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((★))용역계약업무(바탕화면)\(★) WORK 업무(230726~)\입찰공고\2026년\2026년 경쟁입찰 공고[PQ사업수행 TP기술제안] + 사전규격공개\261016 [사전규격공개(일반)] (가격입찰 후 PQ)통복천 유역 침수방지대책 타당성 조사 및 기본계획 수립 용역\261016 평택(안총) 설계내역서[통복천 침수방지 타당성 기본계획]\"/>
    </mc:Choice>
  </mc:AlternateContent>
  <xr:revisionPtr revIDLastSave="0" documentId="13_ncr:1_{FF520260-FF6A-4D50-8FFA-5E63BDE6C433}" xr6:coauthVersionLast="47" xr6:coauthVersionMax="47" xr10:uidLastSave="{00000000-0000-0000-0000-000000000000}"/>
  <bookViews>
    <workbookView xWindow="19080" yWindow="780" windowWidth="29040" windowHeight="15720" tabRatio="914" xr2:uid="{00000000-000D-0000-FFFF-FFFF00000000}"/>
  </bookViews>
  <sheets>
    <sheet name="1.표지" sheetId="29" r:id="rId1"/>
    <sheet name="내역서" sheetId="1" r:id="rId2"/>
    <sheet name="1.기본계획" sheetId="2" r:id="rId3"/>
    <sheet name="일위대가" sheetId="3" r:id="rId4"/>
    <sheet name="보정계수 산출" sheetId="4" r:id="rId5"/>
    <sheet name="적용수량" sheetId="5" r:id="rId6"/>
    <sheet name="적용소요인력" sheetId="14" r:id="rId7"/>
    <sheet name="기준소요인력" sheetId="62" r:id="rId8"/>
    <sheet name="산근1 직접경비" sheetId="8" r:id="rId9"/>
    <sheet name="2. 하천기본계획비" sheetId="52" state="hidden" r:id="rId10"/>
    <sheet name="산근2-0(하천기본계획-수량)" sheetId="51" state="hidden" r:id="rId11"/>
    <sheet name="일위대가2 (하천기본계획)" sheetId="48" state="hidden" r:id="rId12"/>
    <sheet name="산근2-45(출장비)" sheetId="53" state="hidden" r:id="rId13"/>
    <sheet name="하천기본계획(기준소요인력)" sheetId="49" state="hidden" r:id="rId14"/>
    <sheet name="하천기본계획(요율)" sheetId="50" state="hidden" r:id="rId15"/>
    <sheet name="일위대가2 (측량조사)" sheetId="32" state="hidden" r:id="rId16"/>
    <sheet name="산근2-0 (현장조사물량산출)" sheetId="35" state="hidden" r:id="rId17"/>
    <sheet name="산근2-1(측량조사)" sheetId="37" state="hidden" r:id="rId18"/>
    <sheet name="산근2-5(지장물조사)" sheetId="38" state="hidden" r:id="rId19"/>
    <sheet name="산근 2-6 (공공측량성과심사)" sheetId="41" state="hidden" r:id="rId20"/>
    <sheet name="일위대가3 (지반조사)" sheetId="33" state="hidden" r:id="rId21"/>
    <sheet name="산근3-0 (지반조사)" sheetId="36" state="hidden" r:id="rId22"/>
    <sheet name="산근3-1(지반조사 단가)" sheetId="39" state="hidden" r:id="rId23"/>
    <sheet name="산근4-1 (설계안전성검토)" sheetId="40" state="hidden" r:id="rId24"/>
    <sheet name="산근4-2(설계안전보건대장)" sheetId="20" state="hidden" r:id="rId25"/>
    <sheet name="산근4-3(공사기간 적정성 검토)" sheetId="21" state="hidden" r:id="rId26"/>
    <sheet name="5. 비상대처계획" sheetId="59" state="hidden" r:id="rId27"/>
    <sheet name="일위대가5(비상대처계획)" sheetId="55" state="hidden" r:id="rId28"/>
    <sheet name="비상대처계획(보정계수 산출)" sheetId="58" state="hidden" r:id="rId29"/>
    <sheet name="비상대처계획(적용수량)" sheetId="56" state="hidden" r:id="rId30"/>
    <sheet name="비상대처계획(기준소요인력)" sheetId="57" state="hidden" r:id="rId31"/>
    <sheet name="비상대처계획(직접경비)" sheetId="60" state="hidden" r:id="rId32"/>
    <sheet name="산근3-1(공제요율-설계)" sheetId="30" state="hidden" r:id="rId33"/>
    <sheet name="산근2(공제요율-엔지니어링)" sheetId="28" r:id="rId34"/>
    <sheet name="산근3 노임" sheetId="7" r:id="rId35"/>
    <sheet name="산근8 공사비_수정" sheetId="22" state="hidden" r:id="rId36"/>
    <sheet name="타당성조사_출력×" sheetId="61" state="hidden" r:id="rId37"/>
  </sheets>
  <externalReferences>
    <externalReference r:id="rId38"/>
  </externalReferences>
  <definedNames>
    <definedName name="_xlnm.Print_Area" localSheetId="2">'1.기본계획'!$B$1:$N$34</definedName>
    <definedName name="_xlnm.Print_Area" localSheetId="0">'1.표지'!$A$3:$K$47</definedName>
    <definedName name="_xlnm.Print_Area" localSheetId="9">'2. 하천기본계획비'!$B$1:$P$71</definedName>
    <definedName name="_xlnm.Print_Area" localSheetId="26">'5. 비상대처계획'!$B$1:$N$57</definedName>
    <definedName name="_xlnm.Print_Area" localSheetId="7">기준소요인력!$A$1:$J$32</definedName>
    <definedName name="_xlnm.Print_Area" localSheetId="1">내역서!$A$1:$P$15</definedName>
    <definedName name="_xlnm.Print_Area" localSheetId="30">'비상대처계획(기준소요인력)'!$A$1:$J$51</definedName>
    <definedName name="_xlnm.Print_Area" localSheetId="29">'비상대처계획(적용수량)'!$A$1:$K$51</definedName>
    <definedName name="_xlnm.Print_Area" localSheetId="19">'산근 2-6 (공공측량성과심사)'!$A$1:$L$37</definedName>
    <definedName name="_xlnm.Print_Area" localSheetId="33">'산근2(공제요율-엔지니어링)'!$A$1:$L$25</definedName>
    <definedName name="_xlnm.Print_Area" localSheetId="16">'산근2-0 (현장조사물량산출)'!$A$1:$O$15</definedName>
    <definedName name="_xlnm.Print_Area" localSheetId="10">'산근2-0(하천기본계획-수량)'!$A$1:$V$23</definedName>
    <definedName name="_xlnm.Print_Area" localSheetId="17">'산근2-1(측량조사)'!$A$1:$P$102</definedName>
    <definedName name="_xlnm.Print_Area" localSheetId="12">'산근2-45(출장비)'!$A$1:$F$50</definedName>
    <definedName name="_xlnm.Print_Area" localSheetId="18">'산근2-5(지장물조사)'!$A$1:$G$34</definedName>
    <definedName name="_xlnm.Print_Area" localSheetId="34">'산근3 노임'!$A$1:$C$13</definedName>
    <definedName name="_xlnm.Print_Area" localSheetId="21">'산근3-0 (지반조사)'!$A$1:$J$38</definedName>
    <definedName name="_xlnm.Print_Area" localSheetId="32">'산근3-1(공제요율-설계)'!$A$1:$L$25</definedName>
    <definedName name="_xlnm.Print_Area" localSheetId="22">'산근3-1(지반조사 단가)'!$A$1:$E$26</definedName>
    <definedName name="_xlnm.Print_Area" localSheetId="23">'산근4-1 (설계안전성검토)'!$A$1:$K$85</definedName>
    <definedName name="_xlnm.Print_Area" localSheetId="25">'산근4-3(공사기간 적정성 검토)'!$B$1:$N$24</definedName>
    <definedName name="_xlnm.Print_Area" localSheetId="35">'산근8 공사비_수정'!$A$1:$F$21</definedName>
    <definedName name="_xlnm.Print_Area" localSheetId="3">일위대가!$A$1:$M$207</definedName>
    <definedName name="_xlnm.Print_Area" localSheetId="15">'일위대가2 (측량조사)'!$A$1:$M$67</definedName>
    <definedName name="_xlnm.Print_Area" localSheetId="11">'일위대가2 (하천기본계획)'!$A$1:$M$373</definedName>
    <definedName name="_xlnm.Print_Area" localSheetId="20">'일위대가3 (지반조사)'!$A$1:$M$125</definedName>
    <definedName name="_xlnm.Print_Area" localSheetId="27">'일위대가5(비상대처계획)'!$A$1:$M$382</definedName>
    <definedName name="_xlnm.Print_Area" localSheetId="6">적용소요인력!$A$1:$J$32</definedName>
    <definedName name="_xlnm.Print_Area" localSheetId="5">적용수량!$A$1:$AD$32</definedName>
    <definedName name="_xlnm.Print_Area" localSheetId="13">'하천기본계획(기준소요인력)'!$A$1:$Q$123</definedName>
    <definedName name="_xlnm.Print_Area" localSheetId="14">'하천기본계획(요율)'!$A$1:$I$42</definedName>
    <definedName name="_xlnm.Print_Titles" localSheetId="2">'1.기본계획'!$1:$2</definedName>
    <definedName name="_xlnm.Print_Titles" localSheetId="9">'2. 하천기본계획비'!$1:$2</definedName>
    <definedName name="_xlnm.Print_Titles" localSheetId="26">'5. 비상대처계획'!$1:$2</definedName>
    <definedName name="_xlnm.Print_Titles" localSheetId="1">내역서!$1:$5</definedName>
    <definedName name="_xlnm.Print_Titles" localSheetId="29">'비상대처계획(적용수량)'!$2:$3</definedName>
    <definedName name="_xlnm.Print_Titles" localSheetId="3">일위대가!$1:$2</definedName>
    <definedName name="_xlnm.Print_Titles" localSheetId="15">'일위대가2 (측량조사)'!$1:$2</definedName>
    <definedName name="_xlnm.Print_Titles" localSheetId="11">'일위대가2 (하천기본계획)'!$1:$2</definedName>
    <definedName name="_xlnm.Print_Titles" localSheetId="20">'일위대가3 (지반조사)'!$1:$2</definedName>
    <definedName name="_xlnm.Print_Titles" localSheetId="27">'일위대가5(비상대처계획)'!$1:$2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29" l="1"/>
  <c r="A31" i="29"/>
  <c r="I32" i="14" l="1"/>
  <c r="H32" i="14"/>
  <c r="G32" i="14"/>
  <c r="F32" i="14"/>
  <c r="E32" i="14"/>
  <c r="D32" i="14"/>
  <c r="I31" i="14"/>
  <c r="C190" i="3" s="1"/>
  <c r="H31" i="14"/>
  <c r="C189" i="3" s="1"/>
  <c r="G31" i="14"/>
  <c r="C188" i="3" s="1"/>
  <c r="F31" i="14"/>
  <c r="E31" i="14"/>
  <c r="C186" i="3" s="1"/>
  <c r="D31" i="14"/>
  <c r="C185" i="3" s="1"/>
  <c r="I29" i="14"/>
  <c r="H29" i="14"/>
  <c r="G29" i="14"/>
  <c r="F29" i="14"/>
  <c r="E29" i="14"/>
  <c r="D29" i="14"/>
  <c r="I28" i="14"/>
  <c r="H28" i="14"/>
  <c r="G28" i="14"/>
  <c r="F28" i="14"/>
  <c r="E28" i="14"/>
  <c r="D28" i="14"/>
  <c r="I27" i="14"/>
  <c r="H27" i="14"/>
  <c r="G27" i="14"/>
  <c r="F27" i="14"/>
  <c r="E27" i="14"/>
  <c r="D27" i="14"/>
  <c r="I26" i="14"/>
  <c r="H26" i="14"/>
  <c r="G26" i="14"/>
  <c r="F26" i="14"/>
  <c r="E26" i="14"/>
  <c r="D26" i="14"/>
  <c r="I24" i="14"/>
  <c r="H24" i="14"/>
  <c r="G24" i="14"/>
  <c r="F24" i="14"/>
  <c r="E24" i="14"/>
  <c r="D24" i="14"/>
  <c r="I23" i="14"/>
  <c r="H23" i="14"/>
  <c r="G23" i="14"/>
  <c r="F23" i="14"/>
  <c r="E23" i="14"/>
  <c r="D23" i="14"/>
  <c r="I22" i="14"/>
  <c r="H22" i="14"/>
  <c r="G22" i="14"/>
  <c r="F22" i="14"/>
  <c r="E22" i="14"/>
  <c r="D22" i="14"/>
  <c r="I21" i="14"/>
  <c r="H21" i="14"/>
  <c r="G21" i="14"/>
  <c r="F21" i="14"/>
  <c r="E21" i="14"/>
  <c r="D21" i="14"/>
  <c r="I18" i="14"/>
  <c r="H18" i="14"/>
  <c r="G18" i="14"/>
  <c r="F18" i="14"/>
  <c r="E18" i="14"/>
  <c r="D18" i="14"/>
  <c r="I17" i="14"/>
  <c r="H17" i="14"/>
  <c r="G17" i="14"/>
  <c r="F17" i="14"/>
  <c r="E17" i="14"/>
  <c r="D17" i="14"/>
  <c r="I16" i="14"/>
  <c r="H16" i="14"/>
  <c r="G16" i="14"/>
  <c r="F16" i="14"/>
  <c r="E16" i="14"/>
  <c r="D16" i="14"/>
  <c r="I15" i="14"/>
  <c r="H15" i="14"/>
  <c r="G15" i="14"/>
  <c r="F15" i="14"/>
  <c r="E15" i="14"/>
  <c r="D15" i="14"/>
  <c r="I14" i="14"/>
  <c r="H14" i="14"/>
  <c r="G14" i="14"/>
  <c r="F14" i="14"/>
  <c r="E14" i="14"/>
  <c r="D14" i="14"/>
  <c r="I13" i="14"/>
  <c r="H13" i="14"/>
  <c r="G13" i="14"/>
  <c r="F13" i="14"/>
  <c r="E13" i="14"/>
  <c r="D13" i="14"/>
  <c r="I11" i="14"/>
  <c r="H11" i="14"/>
  <c r="G11" i="14"/>
  <c r="F11" i="14"/>
  <c r="E11" i="14"/>
  <c r="D11" i="14"/>
  <c r="I9" i="14"/>
  <c r="H9" i="14"/>
  <c r="G9" i="14"/>
  <c r="F9" i="14"/>
  <c r="E9" i="14"/>
  <c r="D9" i="14"/>
  <c r="I8" i="14"/>
  <c r="H8" i="14"/>
  <c r="G8" i="14"/>
  <c r="F8" i="14"/>
  <c r="E8" i="14"/>
  <c r="D8" i="14"/>
  <c r="I6" i="14"/>
  <c r="H6" i="14"/>
  <c r="G6" i="14"/>
  <c r="F6" i="14"/>
  <c r="E6" i="14"/>
  <c r="D6" i="14"/>
  <c r="I30" i="62"/>
  <c r="H30" i="62"/>
  <c r="G30" i="62"/>
  <c r="F30" i="62"/>
  <c r="E30" i="62"/>
  <c r="D30" i="62"/>
  <c r="I25" i="62"/>
  <c r="H25" i="62"/>
  <c r="G25" i="62"/>
  <c r="F25" i="62"/>
  <c r="F19" i="62" s="1"/>
  <c r="E25" i="62"/>
  <c r="D25" i="62"/>
  <c r="I20" i="62"/>
  <c r="H20" i="62"/>
  <c r="G20" i="62"/>
  <c r="F20" i="62"/>
  <c r="E20" i="62"/>
  <c r="D20" i="62"/>
  <c r="E19" i="62"/>
  <c r="I12" i="62"/>
  <c r="I10" i="62" s="1"/>
  <c r="H12" i="62"/>
  <c r="H10" i="62" s="1"/>
  <c r="G12" i="62"/>
  <c r="G10" i="62" s="1"/>
  <c r="F12" i="62"/>
  <c r="F10" i="62" s="1"/>
  <c r="E12" i="62"/>
  <c r="E10" i="62" s="1"/>
  <c r="D12" i="62"/>
  <c r="D10" i="62" s="1"/>
  <c r="I7" i="62"/>
  <c r="H7" i="62"/>
  <c r="G7" i="62"/>
  <c r="F7" i="62"/>
  <c r="E7" i="62"/>
  <c r="D7" i="62"/>
  <c r="I5" i="62"/>
  <c r="H5" i="62"/>
  <c r="G5" i="62"/>
  <c r="F5" i="62"/>
  <c r="E5" i="62"/>
  <c r="D5" i="62"/>
  <c r="F26" i="4"/>
  <c r="G29" i="4"/>
  <c r="G35" i="4" s="1"/>
  <c r="G30" i="4"/>
  <c r="E43" i="4"/>
  <c r="F48" i="4"/>
  <c r="E29" i="5"/>
  <c r="E28" i="5"/>
  <c r="E27" i="5"/>
  <c r="E22" i="5"/>
  <c r="E11" i="5"/>
  <c r="C187" i="3"/>
  <c r="B192" i="3"/>
  <c r="T11" i="3"/>
  <c r="D19" i="62" l="1"/>
  <c r="G19" i="62"/>
  <c r="H19" i="62"/>
  <c r="I19" i="62"/>
  <c r="D4" i="62"/>
  <c r="E4" i="62"/>
  <c r="F4" i="62"/>
  <c r="G4" i="62"/>
  <c r="H4" i="62"/>
  <c r="I4" i="62"/>
  <c r="E50" i="4"/>
  <c r="E37" i="4"/>
  <c r="G97" i="4" s="1"/>
  <c r="I20" i="14" l="1"/>
  <c r="H20" i="14"/>
  <c r="G20" i="14"/>
  <c r="F20" i="14"/>
  <c r="E20" i="14"/>
  <c r="D20" i="14"/>
  <c r="D7" i="8" l="1"/>
  <c r="D6" i="8"/>
  <c r="F5" i="8"/>
  <c r="F6" i="8" s="1"/>
  <c r="D5" i="8"/>
  <c r="D4" i="8"/>
  <c r="I16" i="28" l="1"/>
  <c r="I18" i="28"/>
  <c r="N13" i="28" l="1"/>
  <c r="O13" i="28"/>
  <c r="N14" i="28"/>
  <c r="O14" i="28"/>
  <c r="D5" i="36" l="1"/>
  <c r="E3" i="22" l="1"/>
  <c r="B12" i="7" l="1"/>
  <c r="B11" i="7"/>
  <c r="B10" i="7"/>
  <c r="B9" i="7"/>
  <c r="B8" i="7"/>
  <c r="B7" i="7"/>
  <c r="B6" i="7"/>
  <c r="B5" i="7"/>
  <c r="C23" i="51" l="1"/>
  <c r="E9" i="22"/>
  <c r="E8" i="22"/>
  <c r="E7" i="22"/>
  <c r="E6" i="22"/>
  <c r="E5" i="22"/>
  <c r="E4" i="22"/>
  <c r="E10" i="22" l="1"/>
  <c r="AD26" i="61"/>
  <c r="AD25" i="61"/>
  <c r="AD22" i="61"/>
  <c r="AD21" i="61"/>
  <c r="AD23" i="61" s="1"/>
  <c r="AD4" i="61" l="1"/>
  <c r="J28" i="61"/>
  <c r="J33" i="61"/>
  <c r="J31" i="61"/>
  <c r="J29" i="61"/>
  <c r="J7" i="61"/>
  <c r="J6" i="61" s="1"/>
  <c r="J26" i="61"/>
  <c r="J27" i="61"/>
  <c r="J24" i="61"/>
  <c r="J25" i="61"/>
  <c r="J23" i="61"/>
  <c r="J22" i="61"/>
  <c r="J21" i="61"/>
  <c r="J20" i="61" s="1"/>
  <c r="J18" i="61"/>
  <c r="J19" i="61"/>
  <c r="J17" i="61"/>
  <c r="J16" i="61"/>
  <c r="J15" i="61"/>
  <c r="J11" i="61"/>
  <c r="J10" i="61"/>
  <c r="J9" i="61"/>
  <c r="J8" i="61"/>
  <c r="I25" i="61"/>
  <c r="I23" i="61"/>
  <c r="I22" i="61"/>
  <c r="I21" i="61"/>
  <c r="I19" i="61"/>
  <c r="I17" i="61"/>
  <c r="I16" i="61"/>
  <c r="I15" i="61"/>
  <c r="I11" i="61"/>
  <c r="I10" i="61"/>
  <c r="I9" i="61"/>
  <c r="I8" i="61"/>
  <c r="I7" i="61"/>
  <c r="I6" i="61" s="1"/>
  <c r="I14" i="61" l="1"/>
  <c r="I13" i="61" s="1"/>
  <c r="I5" i="61" s="1"/>
  <c r="I30" i="61" s="1"/>
  <c r="I20" i="61"/>
  <c r="J14" i="61"/>
  <c r="J13" i="61" s="1"/>
  <c r="J5" i="61" s="1"/>
  <c r="R22" i="61"/>
  <c r="AC4" i="61"/>
  <c r="R13" i="61"/>
  <c r="R4" i="61"/>
  <c r="J30" i="61" l="1"/>
  <c r="J4" i="61" s="1"/>
  <c r="T4" i="61"/>
  <c r="L5" i="61"/>
  <c r="I4" i="61" s="1"/>
  <c r="K48" i="32" l="1"/>
  <c r="K38" i="32"/>
  <c r="K29" i="32"/>
  <c r="K19" i="32"/>
  <c r="K10" i="32"/>
  <c r="D8" i="60" l="1"/>
  <c r="D9" i="60"/>
  <c r="D10" i="60"/>
  <c r="C10" i="60"/>
  <c r="B10" i="60"/>
  <c r="B9" i="60"/>
  <c r="F9" i="60" s="1"/>
  <c r="E16" i="60" s="1"/>
  <c r="F39" i="60"/>
  <c r="F37" i="60" s="1"/>
  <c r="L57" i="59" s="1"/>
  <c r="M57" i="59" s="1"/>
  <c r="F35" i="60"/>
  <c r="F34" i="60"/>
  <c r="F32" i="60" s="1"/>
  <c r="L56" i="59" s="1"/>
  <c r="M56" i="59" s="1"/>
  <c r="F30" i="60"/>
  <c r="F28" i="60"/>
  <c r="C8" i="60"/>
  <c r="F8" i="60" s="1"/>
  <c r="M16" i="59"/>
  <c r="D35" i="58"/>
  <c r="E15" i="56" s="1"/>
  <c r="D34" i="58"/>
  <c r="E14" i="56" s="1"/>
  <c r="D33" i="58"/>
  <c r="E13" i="56" s="1"/>
  <c r="D31" i="58"/>
  <c r="E11" i="56" s="1"/>
  <c r="M6" i="59"/>
  <c r="I6" i="59"/>
  <c r="H9" i="59"/>
  <c r="H8" i="59"/>
  <c r="H7" i="59"/>
  <c r="L5" i="59"/>
  <c r="H5" i="59"/>
  <c r="D12" i="59"/>
  <c r="D16" i="59"/>
  <c r="M45" i="59"/>
  <c r="M32" i="59"/>
  <c r="I32" i="59"/>
  <c r="E6" i="56"/>
  <c r="F6" i="56"/>
  <c r="G6" i="56"/>
  <c r="H6" i="56"/>
  <c r="I6" i="56"/>
  <c r="J6" i="56"/>
  <c r="E7" i="56"/>
  <c r="F7" i="56"/>
  <c r="G7" i="56"/>
  <c r="H7" i="56"/>
  <c r="I7" i="56"/>
  <c r="J7" i="56"/>
  <c r="E8" i="56"/>
  <c r="F8" i="56"/>
  <c r="G8" i="56"/>
  <c r="H8" i="56"/>
  <c r="I8" i="56"/>
  <c r="J8" i="56"/>
  <c r="E9" i="56"/>
  <c r="F9" i="56"/>
  <c r="G9" i="56"/>
  <c r="H9" i="56"/>
  <c r="I9" i="56"/>
  <c r="J9" i="56"/>
  <c r="E10" i="56"/>
  <c r="F10" i="56"/>
  <c r="G10" i="56"/>
  <c r="H10" i="56"/>
  <c r="I10" i="56"/>
  <c r="J10" i="56"/>
  <c r="G11" i="56"/>
  <c r="H11" i="56"/>
  <c r="I11" i="56"/>
  <c r="J11" i="56"/>
  <c r="E12" i="56"/>
  <c r="F12" i="56"/>
  <c r="G12" i="56"/>
  <c r="H12" i="56"/>
  <c r="I12" i="56"/>
  <c r="J12" i="56"/>
  <c r="F13" i="56"/>
  <c r="G13" i="56"/>
  <c r="H13" i="56"/>
  <c r="I13" i="56"/>
  <c r="J13" i="56"/>
  <c r="F14" i="56"/>
  <c r="G14" i="56"/>
  <c r="H14" i="56"/>
  <c r="I14" i="56"/>
  <c r="J14" i="56"/>
  <c r="F15" i="56"/>
  <c r="G15" i="56"/>
  <c r="H15" i="56"/>
  <c r="I15" i="56"/>
  <c r="J15" i="56"/>
  <c r="E16" i="56"/>
  <c r="F16" i="56"/>
  <c r="G16" i="56"/>
  <c r="H16" i="56"/>
  <c r="I16" i="56"/>
  <c r="J16" i="56"/>
  <c r="G17" i="56"/>
  <c r="H17" i="56"/>
  <c r="I17" i="56"/>
  <c r="J17" i="56"/>
  <c r="F18" i="56"/>
  <c r="G18" i="56"/>
  <c r="H18" i="56"/>
  <c r="I18" i="56"/>
  <c r="J18" i="56"/>
  <c r="F19" i="56"/>
  <c r="G19" i="56"/>
  <c r="I19" i="56"/>
  <c r="J19" i="56"/>
  <c r="G20" i="56"/>
  <c r="H20" i="56"/>
  <c r="I20" i="56"/>
  <c r="J20" i="56"/>
  <c r="G21" i="56"/>
  <c r="H21" i="56"/>
  <c r="I21" i="56"/>
  <c r="J21" i="56"/>
  <c r="F22" i="56"/>
  <c r="H22" i="56"/>
  <c r="I22" i="56"/>
  <c r="J22" i="56"/>
  <c r="F23" i="56"/>
  <c r="G23" i="56"/>
  <c r="I23" i="56"/>
  <c r="J23" i="56"/>
  <c r="F24" i="56"/>
  <c r="G24" i="56"/>
  <c r="I24" i="56"/>
  <c r="J24" i="56"/>
  <c r="F25" i="56"/>
  <c r="H25" i="56"/>
  <c r="I25" i="56"/>
  <c r="J25" i="56"/>
  <c r="F26" i="56"/>
  <c r="G26" i="56"/>
  <c r="I26" i="56"/>
  <c r="J26" i="56"/>
  <c r="E27" i="56"/>
  <c r="F27" i="56"/>
  <c r="G27" i="56"/>
  <c r="H27" i="56"/>
  <c r="I27" i="56"/>
  <c r="J27" i="56"/>
  <c r="E28" i="56"/>
  <c r="F28" i="56"/>
  <c r="G28" i="56"/>
  <c r="H28" i="56"/>
  <c r="E29" i="56"/>
  <c r="F29" i="56"/>
  <c r="G29" i="56"/>
  <c r="H29" i="56"/>
  <c r="E30" i="56"/>
  <c r="F30" i="56"/>
  <c r="G30" i="56"/>
  <c r="H30" i="56"/>
  <c r="F31" i="56"/>
  <c r="G31" i="56"/>
  <c r="H31" i="56"/>
  <c r="E32" i="56"/>
  <c r="F32" i="56"/>
  <c r="G32" i="56"/>
  <c r="H32" i="56"/>
  <c r="I32" i="56"/>
  <c r="J32" i="56"/>
  <c r="E33" i="56"/>
  <c r="F33" i="56"/>
  <c r="G33" i="56"/>
  <c r="H33" i="56"/>
  <c r="E34" i="56"/>
  <c r="F34" i="56"/>
  <c r="G34" i="56"/>
  <c r="H34" i="56"/>
  <c r="E35" i="56"/>
  <c r="F35" i="56"/>
  <c r="G35" i="56"/>
  <c r="H35" i="56"/>
  <c r="E36" i="56"/>
  <c r="F36" i="56"/>
  <c r="G36" i="56"/>
  <c r="H36" i="56"/>
  <c r="E37" i="56"/>
  <c r="F37" i="56"/>
  <c r="G37" i="56"/>
  <c r="H37" i="56"/>
  <c r="E38" i="56"/>
  <c r="F38" i="56"/>
  <c r="G38" i="56"/>
  <c r="H38" i="56"/>
  <c r="E39" i="56"/>
  <c r="F39" i="56"/>
  <c r="G39" i="56"/>
  <c r="H39" i="56"/>
  <c r="I39" i="56"/>
  <c r="J39" i="56"/>
  <c r="E40" i="56"/>
  <c r="F40" i="56"/>
  <c r="G40" i="56"/>
  <c r="H40" i="56"/>
  <c r="E41" i="56"/>
  <c r="F41" i="56"/>
  <c r="G41" i="56"/>
  <c r="H41" i="56"/>
  <c r="E42" i="56"/>
  <c r="F42" i="56"/>
  <c r="G42" i="56"/>
  <c r="H42" i="56"/>
  <c r="E43" i="56"/>
  <c r="F43" i="56"/>
  <c r="G43" i="56"/>
  <c r="H43" i="56"/>
  <c r="E44" i="56"/>
  <c r="F44" i="56"/>
  <c r="G44" i="56"/>
  <c r="H44" i="56"/>
  <c r="E45" i="56"/>
  <c r="F45" i="56"/>
  <c r="G45" i="56"/>
  <c r="H45" i="56"/>
  <c r="I45" i="56"/>
  <c r="J45" i="56"/>
  <c r="E46" i="56"/>
  <c r="F46" i="56"/>
  <c r="G46" i="56"/>
  <c r="H46" i="56"/>
  <c r="I46" i="56"/>
  <c r="E47" i="56"/>
  <c r="F47" i="56"/>
  <c r="G47" i="56"/>
  <c r="H47" i="56"/>
  <c r="I47" i="56"/>
  <c r="E48" i="56"/>
  <c r="F48" i="56"/>
  <c r="G48" i="56"/>
  <c r="H48" i="56"/>
  <c r="I48" i="56"/>
  <c r="J48" i="56"/>
  <c r="E49" i="56"/>
  <c r="F49" i="56"/>
  <c r="G49" i="56"/>
  <c r="I49" i="56"/>
  <c r="J49" i="56"/>
  <c r="E50" i="56"/>
  <c r="F50" i="56"/>
  <c r="G50" i="56"/>
  <c r="I50" i="56"/>
  <c r="J50" i="56"/>
  <c r="E51" i="56"/>
  <c r="F51" i="56"/>
  <c r="G51" i="56"/>
  <c r="I51" i="56"/>
  <c r="J51" i="56"/>
  <c r="F5" i="56"/>
  <c r="G5" i="56"/>
  <c r="I5" i="56"/>
  <c r="J5" i="56"/>
  <c r="E5" i="56"/>
  <c r="D38" i="58"/>
  <c r="E18" i="56" s="1"/>
  <c r="D39" i="58"/>
  <c r="E19" i="56" s="1"/>
  <c r="D40" i="58"/>
  <c r="E20" i="56" s="1"/>
  <c r="D41" i="58"/>
  <c r="E21" i="56" s="1"/>
  <c r="D42" i="58"/>
  <c r="E22" i="56" s="1"/>
  <c r="D43" i="58"/>
  <c r="E23" i="56" s="1"/>
  <c r="D44" i="58"/>
  <c r="E24" i="56" s="1"/>
  <c r="D45" i="58"/>
  <c r="E25" i="56" s="1"/>
  <c r="D46" i="58"/>
  <c r="E26" i="56" s="1"/>
  <c r="D37" i="58"/>
  <c r="E17" i="56" s="1"/>
  <c r="B7" i="58"/>
  <c r="B11" i="58" s="1"/>
  <c r="E12" i="58" s="1"/>
  <c r="B4" i="58"/>
  <c r="E5" i="58" s="1"/>
  <c r="E20" i="58"/>
  <c r="I64" i="58" s="1"/>
  <c r="J44" i="56" s="1"/>
  <c r="D51" i="58"/>
  <c r="E31" i="56" s="1"/>
  <c r="E16" i="58"/>
  <c r="H50" i="58" s="1"/>
  <c r="I30" i="56" s="1"/>
  <c r="C380" i="55"/>
  <c r="C379" i="55"/>
  <c r="C378" i="55"/>
  <c r="C377" i="55"/>
  <c r="C376" i="55"/>
  <c r="C375" i="55"/>
  <c r="C369" i="55"/>
  <c r="C368" i="55"/>
  <c r="C367" i="55"/>
  <c r="C366" i="55"/>
  <c r="C365" i="55"/>
  <c r="C364" i="55"/>
  <c r="C360" i="55"/>
  <c r="C359" i="55"/>
  <c r="C358" i="55"/>
  <c r="C357" i="55"/>
  <c r="C356" i="55"/>
  <c r="C355" i="55"/>
  <c r="C349" i="55"/>
  <c r="C348" i="55"/>
  <c r="C347" i="55"/>
  <c r="C346" i="55"/>
  <c r="C345" i="55"/>
  <c r="C344" i="55"/>
  <c r="C340" i="55"/>
  <c r="C339" i="55"/>
  <c r="C338" i="55"/>
  <c r="C337" i="55"/>
  <c r="C336" i="55"/>
  <c r="C335" i="55"/>
  <c r="C329" i="55"/>
  <c r="C328" i="55"/>
  <c r="C327" i="55"/>
  <c r="C326" i="55"/>
  <c r="C325" i="55"/>
  <c r="C324" i="55"/>
  <c r="C320" i="55"/>
  <c r="C319" i="55"/>
  <c r="C318" i="55"/>
  <c r="C317" i="55"/>
  <c r="C316" i="55"/>
  <c r="C315" i="55"/>
  <c r="C309" i="55"/>
  <c r="C308" i="55"/>
  <c r="C307" i="55"/>
  <c r="C306" i="55"/>
  <c r="C305" i="55"/>
  <c r="C304" i="55"/>
  <c r="C300" i="55"/>
  <c r="C299" i="55"/>
  <c r="C298" i="55"/>
  <c r="C297" i="55"/>
  <c r="C296" i="55"/>
  <c r="C295" i="55"/>
  <c r="C289" i="55"/>
  <c r="C288" i="55"/>
  <c r="C287" i="55"/>
  <c r="C286" i="55"/>
  <c r="C285" i="55"/>
  <c r="C284" i="55"/>
  <c r="C280" i="55"/>
  <c r="C279" i="55"/>
  <c r="C278" i="55"/>
  <c r="C277" i="55"/>
  <c r="C276" i="55"/>
  <c r="C275" i="55"/>
  <c r="C269" i="55"/>
  <c r="C268" i="55"/>
  <c r="C267" i="55"/>
  <c r="C266" i="55"/>
  <c r="C265" i="55"/>
  <c r="C264" i="55"/>
  <c r="C260" i="55"/>
  <c r="C259" i="55"/>
  <c r="C258" i="55"/>
  <c r="C257" i="55"/>
  <c r="C256" i="55"/>
  <c r="C255" i="55"/>
  <c r="C249" i="55"/>
  <c r="C248" i="55"/>
  <c r="C247" i="55"/>
  <c r="C246" i="55"/>
  <c r="C245" i="55"/>
  <c r="C244" i="55"/>
  <c r="C240" i="55"/>
  <c r="C239" i="55"/>
  <c r="C238" i="55"/>
  <c r="C237" i="55"/>
  <c r="C236" i="55"/>
  <c r="C235" i="55"/>
  <c r="C229" i="55"/>
  <c r="C228" i="55"/>
  <c r="C227" i="55"/>
  <c r="C226" i="55"/>
  <c r="C225" i="55"/>
  <c r="C224" i="55"/>
  <c r="C220" i="55"/>
  <c r="C219" i="55"/>
  <c r="C218" i="55"/>
  <c r="C217" i="55"/>
  <c r="C216" i="55"/>
  <c r="C215" i="55"/>
  <c r="C209" i="55"/>
  <c r="C208" i="55"/>
  <c r="C207" i="55"/>
  <c r="C206" i="55"/>
  <c r="C205" i="55"/>
  <c r="C204" i="55"/>
  <c r="C200" i="55"/>
  <c r="C199" i="55"/>
  <c r="C198" i="55"/>
  <c r="C197" i="55"/>
  <c r="C196" i="55"/>
  <c r="C195" i="55"/>
  <c r="C189" i="55"/>
  <c r="C188" i="55"/>
  <c r="C187" i="55"/>
  <c r="C186" i="55"/>
  <c r="C185" i="55"/>
  <c r="C184" i="55"/>
  <c r="C180" i="55"/>
  <c r="C179" i="55"/>
  <c r="C178" i="55"/>
  <c r="C177" i="55"/>
  <c r="C176" i="55"/>
  <c r="C175" i="55"/>
  <c r="C169" i="55"/>
  <c r="C168" i="55"/>
  <c r="C167" i="55"/>
  <c r="C166" i="55"/>
  <c r="C165" i="55"/>
  <c r="C164" i="55"/>
  <c r="C160" i="55"/>
  <c r="C159" i="55"/>
  <c r="C158" i="55"/>
  <c r="C157" i="55"/>
  <c r="C156" i="55"/>
  <c r="C155" i="55"/>
  <c r="C149" i="55"/>
  <c r="C148" i="55"/>
  <c r="C147" i="55"/>
  <c r="C146" i="55"/>
  <c r="C145" i="55"/>
  <c r="C144" i="55"/>
  <c r="C140" i="55"/>
  <c r="C139" i="55"/>
  <c r="C138" i="55"/>
  <c r="C137" i="55"/>
  <c r="C136" i="55"/>
  <c r="C135" i="55"/>
  <c r="C129" i="55"/>
  <c r="C128" i="55"/>
  <c r="C127" i="55"/>
  <c r="C126" i="55"/>
  <c r="C125" i="55"/>
  <c r="C124" i="55"/>
  <c r="C120" i="55"/>
  <c r="C119" i="55"/>
  <c r="C118" i="55"/>
  <c r="C117" i="55"/>
  <c r="C116" i="55"/>
  <c r="C115" i="55"/>
  <c r="C109" i="55"/>
  <c r="C108" i="55"/>
  <c r="C107" i="55"/>
  <c r="C106" i="55"/>
  <c r="C105" i="55"/>
  <c r="C104" i="55"/>
  <c r="C100" i="55"/>
  <c r="C99" i="55"/>
  <c r="C98" i="55"/>
  <c r="C97" i="55"/>
  <c r="C96" i="55"/>
  <c r="C95" i="55"/>
  <c r="C89" i="55"/>
  <c r="C88" i="55"/>
  <c r="C87" i="55"/>
  <c r="C86" i="55"/>
  <c r="C85" i="55"/>
  <c r="C84" i="55"/>
  <c r="C80" i="55"/>
  <c r="C79" i="55"/>
  <c r="C78" i="55"/>
  <c r="C77" i="55"/>
  <c r="C76" i="55"/>
  <c r="C75" i="55"/>
  <c r="C69" i="55"/>
  <c r="C68" i="55"/>
  <c r="C67" i="55"/>
  <c r="C66" i="55"/>
  <c r="C65" i="55"/>
  <c r="C64" i="55"/>
  <c r="C60" i="55"/>
  <c r="C59" i="55"/>
  <c r="C58" i="55"/>
  <c r="C57" i="55"/>
  <c r="C56" i="55"/>
  <c r="C55" i="55"/>
  <c r="C49" i="55"/>
  <c r="C48" i="55"/>
  <c r="C47" i="55"/>
  <c r="C46" i="55"/>
  <c r="C45" i="55"/>
  <c r="C44" i="55"/>
  <c r="C40" i="55"/>
  <c r="C39" i="55"/>
  <c r="C38" i="55"/>
  <c r="C37" i="55"/>
  <c r="C36" i="55"/>
  <c r="C35" i="55"/>
  <c r="C29" i="55"/>
  <c r="C28" i="55"/>
  <c r="C27" i="55"/>
  <c r="C26" i="55"/>
  <c r="C25" i="55"/>
  <c r="C24" i="55"/>
  <c r="C19" i="55"/>
  <c r="C18" i="55"/>
  <c r="C17" i="55"/>
  <c r="C16" i="55"/>
  <c r="C15" i="55"/>
  <c r="C14" i="55"/>
  <c r="C9" i="55"/>
  <c r="C8" i="55"/>
  <c r="C7" i="55"/>
  <c r="C6" i="55"/>
  <c r="C5" i="55"/>
  <c r="C4" i="55"/>
  <c r="C7" i="56"/>
  <c r="C8" i="56"/>
  <c r="C9" i="56"/>
  <c r="C11" i="56"/>
  <c r="C13" i="56"/>
  <c r="C14" i="56"/>
  <c r="C15" i="56"/>
  <c r="C17" i="56"/>
  <c r="C18" i="56"/>
  <c r="C19" i="56"/>
  <c r="C20" i="56"/>
  <c r="C21" i="56"/>
  <c r="C22" i="56"/>
  <c r="C23" i="56"/>
  <c r="C24" i="56"/>
  <c r="C25" i="56"/>
  <c r="C26" i="56"/>
  <c r="C28" i="56"/>
  <c r="C29" i="56"/>
  <c r="C30" i="56"/>
  <c r="C31" i="56"/>
  <c r="C33" i="56"/>
  <c r="C34" i="56"/>
  <c r="C35" i="56"/>
  <c r="C36" i="56"/>
  <c r="C37" i="56"/>
  <c r="C38" i="56"/>
  <c r="C40" i="56"/>
  <c r="C41" i="56"/>
  <c r="C42" i="56"/>
  <c r="C43" i="56"/>
  <c r="C44" i="56"/>
  <c r="C46" i="56"/>
  <c r="C47" i="56"/>
  <c r="C49" i="56"/>
  <c r="C50" i="56"/>
  <c r="C51" i="56"/>
  <c r="C5" i="56"/>
  <c r="B7" i="56"/>
  <c r="E7" i="59" s="1"/>
  <c r="B8" i="56"/>
  <c r="C28" i="58" s="1"/>
  <c r="B9" i="56"/>
  <c r="C29" i="58" s="1"/>
  <c r="B11" i="56"/>
  <c r="E11" i="59" s="1"/>
  <c r="B13" i="56"/>
  <c r="C33" i="58" s="1"/>
  <c r="B14" i="56"/>
  <c r="E14" i="59" s="1"/>
  <c r="B15" i="56"/>
  <c r="C35" i="58" s="1"/>
  <c r="B17" i="56"/>
  <c r="E17" i="59" s="1"/>
  <c r="B18" i="56"/>
  <c r="E18" i="59" s="1"/>
  <c r="B19" i="56"/>
  <c r="E19" i="59" s="1"/>
  <c r="B20" i="56"/>
  <c r="E20" i="59" s="1"/>
  <c r="B21" i="56"/>
  <c r="C41" i="58" s="1"/>
  <c r="B22" i="56"/>
  <c r="C42" i="58" s="1"/>
  <c r="B23" i="56"/>
  <c r="E23" i="59" s="1"/>
  <c r="B24" i="56"/>
  <c r="E24" i="59" s="1"/>
  <c r="B25" i="56"/>
  <c r="E25" i="59" s="1"/>
  <c r="B26" i="56"/>
  <c r="E26" i="59" s="1"/>
  <c r="B28" i="56"/>
  <c r="E28" i="59" s="1"/>
  <c r="B29" i="56"/>
  <c r="E29" i="59" s="1"/>
  <c r="B30" i="56"/>
  <c r="E30" i="59" s="1"/>
  <c r="B31" i="56"/>
  <c r="E31" i="59" s="1"/>
  <c r="B33" i="56"/>
  <c r="E33" i="59" s="1"/>
  <c r="B34" i="56"/>
  <c r="C54" i="58" s="1"/>
  <c r="B35" i="56"/>
  <c r="E35" i="59" s="1"/>
  <c r="B36" i="56"/>
  <c r="C56" i="58" s="1"/>
  <c r="B37" i="56"/>
  <c r="C57" i="58" s="1"/>
  <c r="B38" i="56"/>
  <c r="C58" i="58" s="1"/>
  <c r="B40" i="56"/>
  <c r="C60" i="58" s="1"/>
  <c r="B41" i="56"/>
  <c r="C61" i="58" s="1"/>
  <c r="B42" i="56"/>
  <c r="C62" i="58" s="1"/>
  <c r="B43" i="56"/>
  <c r="C63" i="58" s="1"/>
  <c r="B44" i="56"/>
  <c r="E44" i="59" s="1"/>
  <c r="B46" i="56"/>
  <c r="E46" i="59" s="1"/>
  <c r="B47" i="56"/>
  <c r="E47" i="59" s="1"/>
  <c r="B49" i="56"/>
  <c r="E49" i="59" s="1"/>
  <c r="B50" i="56"/>
  <c r="C70" i="58" s="1"/>
  <c r="B51" i="56"/>
  <c r="C71" i="58" s="1"/>
  <c r="B5" i="56"/>
  <c r="E5" i="59" s="1"/>
  <c r="A5" i="56"/>
  <c r="B5" i="59" s="1"/>
  <c r="A6" i="56"/>
  <c r="B6" i="59" s="1"/>
  <c r="A7" i="56"/>
  <c r="B7" i="59" s="1"/>
  <c r="A8" i="56"/>
  <c r="B8" i="59" s="1"/>
  <c r="A9" i="56"/>
  <c r="A29" i="58" s="1"/>
  <c r="A10" i="56"/>
  <c r="A30" i="58" s="1"/>
  <c r="A11" i="56"/>
  <c r="A31" i="58" s="1"/>
  <c r="A12" i="56"/>
  <c r="B12" i="59" s="1"/>
  <c r="A13" i="56"/>
  <c r="B13" i="59" s="1"/>
  <c r="A14" i="56"/>
  <c r="B14" i="59" s="1"/>
  <c r="A15" i="56"/>
  <c r="A35" i="58" s="1"/>
  <c r="A16" i="56"/>
  <c r="A36" i="58" s="1"/>
  <c r="A17" i="56"/>
  <c r="A37" i="58" s="1"/>
  <c r="A18" i="56"/>
  <c r="B18" i="59" s="1"/>
  <c r="A19" i="56"/>
  <c r="A39" i="58" s="1"/>
  <c r="A20" i="56"/>
  <c r="A40" i="58" s="1"/>
  <c r="A21" i="56"/>
  <c r="B21" i="59" s="1"/>
  <c r="A22" i="56"/>
  <c r="B22" i="59" s="1"/>
  <c r="A23" i="56"/>
  <c r="B23" i="59" s="1"/>
  <c r="A24" i="56"/>
  <c r="B24" i="59" s="1"/>
  <c r="A25" i="56"/>
  <c r="A45" i="58" s="1"/>
  <c r="A26" i="56"/>
  <c r="A46" i="58" s="1"/>
  <c r="A27" i="56"/>
  <c r="B27" i="59" s="1"/>
  <c r="A28" i="56"/>
  <c r="B28" i="59" s="1"/>
  <c r="A29" i="56"/>
  <c r="B29" i="59" s="1"/>
  <c r="A30" i="56"/>
  <c r="A50" i="58" s="1"/>
  <c r="A31" i="56"/>
  <c r="B31" i="59" s="1"/>
  <c r="A32" i="56"/>
  <c r="B32" i="59" s="1"/>
  <c r="A33" i="56"/>
  <c r="A53" i="58" s="1"/>
  <c r="A34" i="56"/>
  <c r="A54" i="58" s="1"/>
  <c r="A35" i="56"/>
  <c r="A55" i="58" s="1"/>
  <c r="A36" i="56"/>
  <c r="A56" i="58" s="1"/>
  <c r="A37" i="56"/>
  <c r="B37" i="59" s="1"/>
  <c r="A38" i="56"/>
  <c r="B38" i="59" s="1"/>
  <c r="A39" i="56"/>
  <c r="A59" i="58" s="1"/>
  <c r="A40" i="56"/>
  <c r="A60" i="58" s="1"/>
  <c r="A41" i="56"/>
  <c r="A61" i="58" s="1"/>
  <c r="A42" i="56"/>
  <c r="A62" i="58" s="1"/>
  <c r="A43" i="56"/>
  <c r="A63" i="58" s="1"/>
  <c r="A44" i="56"/>
  <c r="B44" i="59" s="1"/>
  <c r="A45" i="56"/>
  <c r="B45" i="59" s="1"/>
  <c r="A46" i="56"/>
  <c r="B46" i="59" s="1"/>
  <c r="A47" i="56"/>
  <c r="B47" i="59" s="1"/>
  <c r="A48" i="56"/>
  <c r="B48" i="59" s="1"/>
  <c r="A49" i="56"/>
  <c r="A69" i="58" s="1"/>
  <c r="A50" i="56"/>
  <c r="A70" i="58" s="1"/>
  <c r="A51" i="56"/>
  <c r="B51" i="59" s="1"/>
  <c r="A4" i="56"/>
  <c r="I12" i="57"/>
  <c r="E48" i="57"/>
  <c r="F48" i="57"/>
  <c r="G48" i="57"/>
  <c r="H48" i="57"/>
  <c r="I48" i="57"/>
  <c r="D48" i="57"/>
  <c r="E45" i="57"/>
  <c r="F45" i="57"/>
  <c r="G45" i="57"/>
  <c r="H45" i="57"/>
  <c r="I45" i="57"/>
  <c r="D45" i="57"/>
  <c r="E39" i="57"/>
  <c r="F39" i="57"/>
  <c r="G39" i="57"/>
  <c r="H39" i="57"/>
  <c r="I39" i="57"/>
  <c r="D39" i="57"/>
  <c r="E32" i="57"/>
  <c r="F32" i="57"/>
  <c r="G32" i="57"/>
  <c r="H32" i="57"/>
  <c r="I32" i="57"/>
  <c r="D32" i="57"/>
  <c r="E27" i="57"/>
  <c r="F27" i="57"/>
  <c r="G27" i="57"/>
  <c r="H27" i="57"/>
  <c r="I27" i="57"/>
  <c r="D27" i="57"/>
  <c r="E6" i="57"/>
  <c r="F6" i="57"/>
  <c r="G6" i="57"/>
  <c r="H6" i="57"/>
  <c r="I6" i="57"/>
  <c r="D6" i="57"/>
  <c r="A65" i="58" l="1"/>
  <c r="C69" i="58"/>
  <c r="B43" i="59"/>
  <c r="A64" i="58"/>
  <c r="C55" i="58"/>
  <c r="B42" i="59"/>
  <c r="C31" i="58"/>
  <c r="B30" i="59"/>
  <c r="B26" i="59"/>
  <c r="A41" i="58"/>
  <c r="A28" i="58"/>
  <c r="A27" i="58"/>
  <c r="E41" i="59"/>
  <c r="A26" i="58"/>
  <c r="E40" i="59"/>
  <c r="E34" i="59"/>
  <c r="B50" i="59"/>
  <c r="E13" i="59"/>
  <c r="B49" i="59"/>
  <c r="A25" i="58"/>
  <c r="C27" i="58"/>
  <c r="A38" i="58"/>
  <c r="C34" i="58"/>
  <c r="K9" i="56"/>
  <c r="D9" i="59" s="1"/>
  <c r="E51" i="59"/>
  <c r="E50" i="59"/>
  <c r="A33" i="58"/>
  <c r="E43" i="59"/>
  <c r="A34" i="58"/>
  <c r="E8" i="58"/>
  <c r="F45" i="58" s="1"/>
  <c r="G25" i="56" s="1"/>
  <c r="A32" i="58"/>
  <c r="E42" i="59"/>
  <c r="E22" i="59"/>
  <c r="B36" i="59"/>
  <c r="E15" i="59"/>
  <c r="A57" i="58"/>
  <c r="C64" i="58"/>
  <c r="H48" i="58"/>
  <c r="I28" i="56" s="1"/>
  <c r="B25" i="59"/>
  <c r="A52" i="58"/>
  <c r="I49" i="58"/>
  <c r="J29" i="56" s="1"/>
  <c r="K29" i="56" s="1"/>
  <c r="D29" i="59" s="1"/>
  <c r="B20" i="59"/>
  <c r="A51" i="58"/>
  <c r="H49" i="58"/>
  <c r="I29" i="56" s="1"/>
  <c r="K7" i="56"/>
  <c r="D7" i="59" s="1"/>
  <c r="B19" i="59"/>
  <c r="A58" i="58"/>
  <c r="I57" i="58"/>
  <c r="J37" i="56" s="1"/>
  <c r="A49" i="58"/>
  <c r="C53" i="58"/>
  <c r="H62" i="58"/>
  <c r="I42" i="56" s="1"/>
  <c r="A48" i="58"/>
  <c r="C43" i="58"/>
  <c r="I66" i="58"/>
  <c r="J46" i="56" s="1"/>
  <c r="E21" i="59"/>
  <c r="C40" i="58"/>
  <c r="I67" i="58"/>
  <c r="J47" i="56" s="1"/>
  <c r="C37" i="58"/>
  <c r="E37" i="58"/>
  <c r="F17" i="56" s="1"/>
  <c r="E31" i="58"/>
  <c r="F11" i="56" s="1"/>
  <c r="E40" i="58"/>
  <c r="F20" i="56" s="1"/>
  <c r="K20" i="56" s="1"/>
  <c r="D20" i="59" s="1"/>
  <c r="E41" i="58"/>
  <c r="F21" i="56" s="1"/>
  <c r="K21" i="56" s="1"/>
  <c r="D21" i="59" s="1"/>
  <c r="G25" i="58"/>
  <c r="H5" i="56" s="1"/>
  <c r="G69" i="58"/>
  <c r="H49" i="56" s="1"/>
  <c r="G46" i="58"/>
  <c r="H26" i="56" s="1"/>
  <c r="G43" i="58"/>
  <c r="H23" i="56" s="1"/>
  <c r="G44" i="58"/>
  <c r="H24" i="56" s="1"/>
  <c r="G70" i="58"/>
  <c r="H50" i="56" s="1"/>
  <c r="G71" i="58"/>
  <c r="H51" i="56" s="1"/>
  <c r="K51" i="56" s="1"/>
  <c r="D51" i="59" s="1"/>
  <c r="G39" i="58"/>
  <c r="H19" i="56" s="1"/>
  <c r="K5" i="56"/>
  <c r="D5" i="59" s="1"/>
  <c r="I5" i="59" s="1"/>
  <c r="I4" i="59" s="1"/>
  <c r="M55" i="59"/>
  <c r="G55" i="59" s="1"/>
  <c r="G56" i="59"/>
  <c r="C51" i="58"/>
  <c r="C49" i="58"/>
  <c r="I53" i="58"/>
  <c r="J33" i="56" s="1"/>
  <c r="C48" i="58"/>
  <c r="B40" i="59"/>
  <c r="A71" i="58"/>
  <c r="C46" i="58"/>
  <c r="I54" i="58"/>
  <c r="J34" i="56" s="1"/>
  <c r="K34" i="56" s="1"/>
  <c r="D34" i="59" s="1"/>
  <c r="B39" i="59"/>
  <c r="B15" i="59"/>
  <c r="E37" i="59"/>
  <c r="E8" i="59"/>
  <c r="B41" i="59"/>
  <c r="B17" i="59"/>
  <c r="H54" i="58"/>
  <c r="I34" i="56" s="1"/>
  <c r="B16" i="59"/>
  <c r="E38" i="59"/>
  <c r="A47" i="58"/>
  <c r="C45" i="58"/>
  <c r="H55" i="58"/>
  <c r="I35" i="56" s="1"/>
  <c r="E36" i="59"/>
  <c r="E9" i="59"/>
  <c r="C25" i="58"/>
  <c r="C44" i="58"/>
  <c r="I55" i="58"/>
  <c r="J35" i="56" s="1"/>
  <c r="H53" i="58"/>
  <c r="I33" i="56" s="1"/>
  <c r="A44" i="58"/>
  <c r="I56" i="58"/>
  <c r="J36" i="56" s="1"/>
  <c r="B35" i="59"/>
  <c r="B11" i="59"/>
  <c r="C50" i="58"/>
  <c r="A68" i="58"/>
  <c r="H56" i="58"/>
  <c r="I36" i="56" s="1"/>
  <c r="A67" i="58"/>
  <c r="A43" i="58"/>
  <c r="A66" i="58"/>
  <c r="A42" i="58"/>
  <c r="H57" i="58"/>
  <c r="I37" i="56" s="1"/>
  <c r="B34" i="59"/>
  <c r="B10" i="59"/>
  <c r="B33" i="59"/>
  <c r="B9" i="59"/>
  <c r="C67" i="58"/>
  <c r="C39" i="58"/>
  <c r="H58" i="58"/>
  <c r="I38" i="56" s="1"/>
  <c r="C66" i="58"/>
  <c r="C38" i="58"/>
  <c r="I58" i="58"/>
  <c r="J38" i="56" s="1"/>
  <c r="H60" i="58"/>
  <c r="I40" i="56" s="1"/>
  <c r="I60" i="58"/>
  <c r="J40" i="56" s="1"/>
  <c r="H61" i="58"/>
  <c r="I41" i="56" s="1"/>
  <c r="I61" i="58"/>
  <c r="J41" i="56" s="1"/>
  <c r="K14" i="56"/>
  <c r="D14" i="59" s="1"/>
  <c r="I51" i="58"/>
  <c r="J31" i="56" s="1"/>
  <c r="H63" i="58"/>
  <c r="I43" i="56" s="1"/>
  <c r="H51" i="58"/>
  <c r="I31" i="56" s="1"/>
  <c r="I63" i="58"/>
  <c r="J43" i="56" s="1"/>
  <c r="K43" i="56" s="1"/>
  <c r="D43" i="59" s="1"/>
  <c r="I48" i="58"/>
  <c r="J28" i="56" s="1"/>
  <c r="I50" i="58"/>
  <c r="J30" i="56" s="1"/>
  <c r="K30" i="56" s="1"/>
  <c r="D30" i="59" s="1"/>
  <c r="H64" i="58"/>
  <c r="I44" i="56" s="1"/>
  <c r="I62" i="58"/>
  <c r="J42" i="56" s="1"/>
  <c r="K42" i="56" s="1"/>
  <c r="D42" i="59" s="1"/>
  <c r="F26" i="60"/>
  <c r="F23" i="60" s="1"/>
  <c r="L53" i="59" s="1"/>
  <c r="M53" i="59" s="1"/>
  <c r="F10" i="60"/>
  <c r="E21" i="60" s="1"/>
  <c r="F3" i="60"/>
  <c r="L54" i="59" s="1"/>
  <c r="M54" i="59" s="1"/>
  <c r="G54" i="59" s="1"/>
  <c r="G57" i="59"/>
  <c r="F16" i="57"/>
  <c r="G16" i="57"/>
  <c r="H16" i="57"/>
  <c r="I16" i="57"/>
  <c r="I10" i="57" s="1"/>
  <c r="I4" i="57" s="1"/>
  <c r="E16" i="57"/>
  <c r="D16" i="57"/>
  <c r="F12" i="57"/>
  <c r="F10" i="57" s="1"/>
  <c r="F4" i="57" s="1"/>
  <c r="G12" i="57"/>
  <c r="G10" i="57" s="1"/>
  <c r="G4" i="57" s="1"/>
  <c r="H12" i="57"/>
  <c r="E12" i="57"/>
  <c r="D12" i="57"/>
  <c r="K49" i="56"/>
  <c r="D49" i="59" s="1"/>
  <c r="K46" i="56"/>
  <c r="D46" i="59" s="1"/>
  <c r="K26" i="56"/>
  <c r="D26" i="59" s="1"/>
  <c r="K24" i="56"/>
  <c r="D24" i="59" s="1"/>
  <c r="K23" i="56"/>
  <c r="D23" i="59" s="1"/>
  <c r="K18" i="56"/>
  <c r="D18" i="59" s="1"/>
  <c r="K15" i="56"/>
  <c r="D15" i="59" s="1"/>
  <c r="K13" i="56"/>
  <c r="D13" i="59" s="1"/>
  <c r="O3" i="56"/>
  <c r="J3" i="56"/>
  <c r="I3" i="56"/>
  <c r="H3" i="56"/>
  <c r="G3" i="56"/>
  <c r="F3" i="56"/>
  <c r="E3" i="56"/>
  <c r="K37" i="56" l="1"/>
  <c r="D37" i="59" s="1"/>
  <c r="K33" i="56"/>
  <c r="D33" i="59" s="1"/>
  <c r="K35" i="56"/>
  <c r="D35" i="59" s="1"/>
  <c r="K41" i="56"/>
  <c r="D41" i="59" s="1"/>
  <c r="F42" i="58"/>
  <c r="G22" i="56" s="1"/>
  <c r="K22" i="56" s="1"/>
  <c r="D22" i="59" s="1"/>
  <c r="K40" i="56"/>
  <c r="D40" i="59" s="1"/>
  <c r="M5" i="59"/>
  <c r="M4" i="59" s="1"/>
  <c r="M52" i="59"/>
  <c r="G52" i="59" s="1"/>
  <c r="G53" i="59"/>
  <c r="D10" i="57"/>
  <c r="D4" i="57" s="1"/>
  <c r="E10" i="57"/>
  <c r="E4" i="57" s="1"/>
  <c r="H10" i="57"/>
  <c r="H4" i="57" s="1"/>
  <c r="G10" i="59"/>
  <c r="K25" i="56"/>
  <c r="D25" i="59" s="1"/>
  <c r="K31" i="56"/>
  <c r="D31" i="59" s="1"/>
  <c r="K19" i="56"/>
  <c r="D19" i="59" s="1"/>
  <c r="K38" i="56"/>
  <c r="D38" i="59" s="1"/>
  <c r="K8" i="56"/>
  <c r="D8" i="59" s="1"/>
  <c r="K11" i="56"/>
  <c r="D11" i="59" s="1"/>
  <c r="K36" i="56"/>
  <c r="D36" i="59" s="1"/>
  <c r="K44" i="56"/>
  <c r="D44" i="59" s="1"/>
  <c r="K47" i="56"/>
  <c r="D47" i="59" s="1"/>
  <c r="K28" i="56"/>
  <c r="D28" i="59" s="1"/>
  <c r="K17" i="56"/>
  <c r="D17" i="59" s="1"/>
  <c r="K50" i="56"/>
  <c r="D50" i="59" s="1"/>
  <c r="S12" i="55"/>
  <c r="S13" i="55"/>
  <c r="S14" i="55"/>
  <c r="S11" i="55"/>
  <c r="S10" i="55"/>
  <c r="S9" i="55"/>
  <c r="I9" i="55"/>
  <c r="I149" i="55" s="1"/>
  <c r="S8" i="55"/>
  <c r="T8" i="55" s="1"/>
  <c r="I8" i="55"/>
  <c r="I99" i="55" s="1"/>
  <c r="E99" i="55" s="1"/>
  <c r="S7" i="55"/>
  <c r="B11" i="55" s="1"/>
  <c r="I7" i="55"/>
  <c r="E7" i="55" s="1"/>
  <c r="I6" i="55"/>
  <c r="I266" i="55" s="1"/>
  <c r="E266" i="55" s="1"/>
  <c r="I5" i="55"/>
  <c r="I276" i="55" s="1"/>
  <c r="I4" i="55"/>
  <c r="I275" i="55" s="1"/>
  <c r="E8" i="55" l="1"/>
  <c r="E9" i="55"/>
  <c r="I366" i="55"/>
  <c r="E366" i="55" s="1"/>
  <c r="I16" i="55"/>
  <c r="J16" i="55" s="1"/>
  <c r="F16" i="55" s="1"/>
  <c r="T14" i="55"/>
  <c r="B382" i="55"/>
  <c r="B362" i="55"/>
  <c r="B371" i="55"/>
  <c r="I25" i="55"/>
  <c r="J25" i="55" s="1"/>
  <c r="F25" i="55" s="1"/>
  <c r="T13" i="55"/>
  <c r="B342" i="55"/>
  <c r="B351" i="55"/>
  <c r="I36" i="55"/>
  <c r="E36" i="55" s="1"/>
  <c r="B222" i="55"/>
  <c r="B211" i="55"/>
  <c r="I84" i="55"/>
  <c r="J84" i="55" s="1"/>
  <c r="F84" i="55" s="1"/>
  <c r="I315" i="55"/>
  <c r="E315" i="55" s="1"/>
  <c r="T12" i="55"/>
  <c r="B291" i="55"/>
  <c r="B302" i="55"/>
  <c r="B311" i="55"/>
  <c r="B322" i="55"/>
  <c r="B331" i="55"/>
  <c r="I37" i="55"/>
  <c r="J37" i="55" s="1"/>
  <c r="F37" i="55" s="1"/>
  <c r="I45" i="55"/>
  <c r="I96" i="55"/>
  <c r="E96" i="55" s="1"/>
  <c r="I346" i="55"/>
  <c r="E346" i="55" s="1"/>
  <c r="B251" i="55"/>
  <c r="B262" i="55"/>
  <c r="B271" i="55"/>
  <c r="B282" i="55"/>
  <c r="B231" i="55"/>
  <c r="B242" i="55"/>
  <c r="B202" i="55"/>
  <c r="I265" i="55"/>
  <c r="E265" i="55" s="1"/>
  <c r="I164" i="55"/>
  <c r="I288" i="55"/>
  <c r="E288" i="55" s="1"/>
  <c r="I124" i="55"/>
  <c r="I159" i="55"/>
  <c r="J159" i="55" s="1"/>
  <c r="F159" i="55" s="1"/>
  <c r="I166" i="55"/>
  <c r="E166" i="55" s="1"/>
  <c r="I295" i="55"/>
  <c r="E295" i="55" s="1"/>
  <c r="I104" i="55"/>
  <c r="I116" i="55"/>
  <c r="E116" i="55" s="1"/>
  <c r="I15" i="55"/>
  <c r="E15" i="55" s="1"/>
  <c r="E16" i="55"/>
  <c r="I305" i="55"/>
  <c r="E305" i="55" s="1"/>
  <c r="I360" i="55"/>
  <c r="E360" i="55" s="1"/>
  <c r="I184" i="55"/>
  <c r="E184" i="55" s="1"/>
  <c r="I376" i="55"/>
  <c r="E376" i="55" s="1"/>
  <c r="E6" i="55"/>
  <c r="I57" i="55"/>
  <c r="I226" i="55"/>
  <c r="E226" i="55" s="1"/>
  <c r="T9" i="55"/>
  <c r="B182" i="55"/>
  <c r="B171" i="55"/>
  <c r="B162" i="55"/>
  <c r="B151" i="55"/>
  <c r="B142" i="55"/>
  <c r="B122" i="55"/>
  <c r="B131" i="55"/>
  <c r="B71" i="55"/>
  <c r="I245" i="55"/>
  <c r="E245" i="55" s="1"/>
  <c r="I56" i="55"/>
  <c r="E56" i="55" s="1"/>
  <c r="I69" i="55"/>
  <c r="J69" i="55" s="1"/>
  <c r="F69" i="55" s="1"/>
  <c r="I76" i="55"/>
  <c r="E76" i="55" s="1"/>
  <c r="I44" i="55"/>
  <c r="I175" i="55"/>
  <c r="E175" i="55" s="1"/>
  <c r="I255" i="55"/>
  <c r="E255" i="55" s="1"/>
  <c r="I225" i="55"/>
  <c r="E225" i="55" s="1"/>
  <c r="I235" i="55"/>
  <c r="E235" i="55" s="1"/>
  <c r="I77" i="55"/>
  <c r="I256" i="55"/>
  <c r="E256" i="55" s="1"/>
  <c r="J149" i="55"/>
  <c r="F149" i="55" s="1"/>
  <c r="E149" i="55"/>
  <c r="J275" i="55"/>
  <c r="F275" i="55" s="1"/>
  <c r="E275" i="55"/>
  <c r="I79" i="55"/>
  <c r="I228" i="55"/>
  <c r="E228" i="55" s="1"/>
  <c r="I88" i="55"/>
  <c r="I320" i="55"/>
  <c r="E320" i="55" s="1"/>
  <c r="I328" i="55"/>
  <c r="E328" i="55" s="1"/>
  <c r="I89" i="55"/>
  <c r="E89" i="55" s="1"/>
  <c r="B91" i="55"/>
  <c r="I129" i="55"/>
  <c r="I195" i="55"/>
  <c r="I24" i="55"/>
  <c r="I348" i="55"/>
  <c r="E348" i="55" s="1"/>
  <c r="I59" i="55"/>
  <c r="I199" i="55"/>
  <c r="B42" i="55"/>
  <c r="I308" i="55"/>
  <c r="E308" i="55" s="1"/>
  <c r="I169" i="55"/>
  <c r="I119" i="55"/>
  <c r="E119" i="55" s="1"/>
  <c r="I180" i="55"/>
  <c r="E180" i="55" s="1"/>
  <c r="I339" i="55"/>
  <c r="I139" i="55"/>
  <c r="E139" i="55" s="1"/>
  <c r="I64" i="55"/>
  <c r="I200" i="55"/>
  <c r="I39" i="55"/>
  <c r="E39" i="55" s="1"/>
  <c r="I219" i="55"/>
  <c r="B111" i="55"/>
  <c r="I239" i="55"/>
  <c r="E239" i="55" s="1"/>
  <c r="I128" i="55"/>
  <c r="E128" i="55" s="1"/>
  <c r="B21" i="55"/>
  <c r="I144" i="55"/>
  <c r="I28" i="55"/>
  <c r="I65" i="55"/>
  <c r="I148" i="55"/>
  <c r="E148" i="55" s="1"/>
  <c r="I207" i="55"/>
  <c r="E207" i="55" s="1"/>
  <c r="I108" i="55"/>
  <c r="E108" i="55" s="1"/>
  <c r="I319" i="55"/>
  <c r="E319" i="55" s="1"/>
  <c r="I48" i="55"/>
  <c r="I49" i="55"/>
  <c r="I18" i="55"/>
  <c r="E18" i="55" s="1"/>
  <c r="I379" i="55"/>
  <c r="B31" i="55"/>
  <c r="I208" i="55"/>
  <c r="E208" i="55" s="1"/>
  <c r="I280" i="55"/>
  <c r="E280" i="55" s="1"/>
  <c r="I359" i="55"/>
  <c r="I109" i="55"/>
  <c r="E109" i="55" s="1"/>
  <c r="J366" i="55"/>
  <c r="F366" i="55" s="1"/>
  <c r="I179" i="55"/>
  <c r="E179" i="55" s="1"/>
  <c r="I368" i="55"/>
  <c r="E368" i="55" s="1"/>
  <c r="I68" i="55"/>
  <c r="I216" i="55"/>
  <c r="E216" i="55" s="1"/>
  <c r="I285" i="55"/>
  <c r="E285" i="55" s="1"/>
  <c r="B102" i="55"/>
  <c r="B191" i="55"/>
  <c r="B51" i="55"/>
  <c r="B62" i="55"/>
  <c r="B82" i="55"/>
  <c r="J266" i="55"/>
  <c r="F266" i="55" s="1"/>
  <c r="I378" i="55"/>
  <c r="I358" i="55"/>
  <c r="I338" i="55"/>
  <c r="I318" i="55"/>
  <c r="I298" i="55"/>
  <c r="I278" i="55"/>
  <c r="I258" i="55"/>
  <c r="I238" i="55"/>
  <c r="I218" i="55"/>
  <c r="I307" i="55"/>
  <c r="I198" i="55"/>
  <c r="I127" i="55"/>
  <c r="I107" i="55"/>
  <c r="I87" i="55"/>
  <c r="I67" i="55"/>
  <c r="I47" i="55"/>
  <c r="I27" i="55"/>
  <c r="I147" i="55"/>
  <c r="I247" i="55"/>
  <c r="I287" i="55"/>
  <c r="I187" i="55"/>
  <c r="I167" i="55"/>
  <c r="I267" i="55"/>
  <c r="I98" i="55"/>
  <c r="I227" i="55"/>
  <c r="I78" i="55"/>
  <c r="I58" i="55"/>
  <c r="I17" i="55"/>
  <c r="I347" i="55"/>
  <c r="I327" i="55"/>
  <c r="I367" i="55"/>
  <c r="I38" i="55"/>
  <c r="I118" i="55"/>
  <c r="J276" i="55"/>
  <c r="F276" i="55" s="1"/>
  <c r="E276" i="55"/>
  <c r="J7" i="55"/>
  <c r="F7" i="55" s="1"/>
  <c r="T11" i="55"/>
  <c r="I138" i="55"/>
  <c r="I158" i="55"/>
  <c r="I178" i="55"/>
  <c r="J285" i="55"/>
  <c r="F285" i="55" s="1"/>
  <c r="J9" i="55"/>
  <c r="F9" i="55" s="1"/>
  <c r="I300" i="55"/>
  <c r="J5" i="55"/>
  <c r="F5" i="55" s="1"/>
  <c r="I136" i="55"/>
  <c r="J315" i="55"/>
  <c r="I356" i="55"/>
  <c r="I97" i="55"/>
  <c r="I105" i="55"/>
  <c r="I185" i="55"/>
  <c r="I246" i="55"/>
  <c r="I340" i="55"/>
  <c r="J99" i="55"/>
  <c r="F99" i="55" s="1"/>
  <c r="I165" i="55"/>
  <c r="I206" i="55"/>
  <c r="T7" i="55"/>
  <c r="I117" i="55"/>
  <c r="I125" i="55"/>
  <c r="I369" i="55"/>
  <c r="I349" i="55"/>
  <c r="I329" i="55"/>
  <c r="I309" i="55"/>
  <c r="I289" i="55"/>
  <c r="I269" i="55"/>
  <c r="I249" i="55"/>
  <c r="I229" i="55"/>
  <c r="I209" i="55"/>
  <c r="I189" i="55"/>
  <c r="I260" i="55"/>
  <c r="I140" i="55"/>
  <c r="I120" i="55"/>
  <c r="I100" i="55"/>
  <c r="I80" i="55"/>
  <c r="I60" i="55"/>
  <c r="I40" i="55"/>
  <c r="I19" i="55"/>
  <c r="I240" i="55"/>
  <c r="I160" i="55"/>
  <c r="I380" i="55"/>
  <c r="I220" i="55"/>
  <c r="I377" i="55"/>
  <c r="I357" i="55"/>
  <c r="I337" i="55"/>
  <c r="I317" i="55"/>
  <c r="I297" i="55"/>
  <c r="I277" i="55"/>
  <c r="I257" i="55"/>
  <c r="I237" i="55"/>
  <c r="I217" i="55"/>
  <c r="I197" i="55"/>
  <c r="I177" i="55"/>
  <c r="I326" i="55"/>
  <c r="I286" i="55"/>
  <c r="I306" i="55"/>
  <c r="I126" i="55"/>
  <c r="I106" i="55"/>
  <c r="I86" i="55"/>
  <c r="I66" i="55"/>
  <c r="I46" i="55"/>
  <c r="I26" i="55"/>
  <c r="I146" i="55"/>
  <c r="I145" i="55"/>
  <c r="I157" i="55"/>
  <c r="E5" i="55"/>
  <c r="I365" i="55"/>
  <c r="I156" i="55"/>
  <c r="I336" i="55"/>
  <c r="I205" i="55"/>
  <c r="I345" i="55"/>
  <c r="I176" i="55"/>
  <c r="I316" i="55"/>
  <c r="I296" i="55"/>
  <c r="I196" i="55"/>
  <c r="I325" i="55"/>
  <c r="I85" i="55"/>
  <c r="T10" i="55"/>
  <c r="J6" i="55"/>
  <c r="F6" i="55" s="1"/>
  <c r="I29" i="55"/>
  <c r="I137" i="55"/>
  <c r="I186" i="55"/>
  <c r="I236" i="55"/>
  <c r="I204" i="55"/>
  <c r="I335" i="55"/>
  <c r="I155" i="55"/>
  <c r="I259" i="55"/>
  <c r="I248" i="55"/>
  <c r="E4" i="55"/>
  <c r="J8" i="55"/>
  <c r="F8" i="55" s="1"/>
  <c r="I14" i="55"/>
  <c r="I35" i="55"/>
  <c r="I55" i="55"/>
  <c r="I75" i="55"/>
  <c r="I95" i="55"/>
  <c r="I115" i="55"/>
  <c r="I135" i="55"/>
  <c r="I188" i="55"/>
  <c r="I355" i="55"/>
  <c r="I279" i="55"/>
  <c r="I364" i="55"/>
  <c r="I344" i="55"/>
  <c r="I324" i="55"/>
  <c r="I304" i="55"/>
  <c r="I284" i="55"/>
  <c r="I264" i="55"/>
  <c r="I244" i="55"/>
  <c r="I224" i="55"/>
  <c r="J4" i="55"/>
  <c r="I268" i="55"/>
  <c r="I168" i="55"/>
  <c r="I215" i="55"/>
  <c r="I375" i="55"/>
  <c r="I299" i="55"/>
  <c r="E25" i="55" l="1"/>
  <c r="J288" i="55"/>
  <c r="F288" i="55" s="1"/>
  <c r="J166" i="55"/>
  <c r="F166" i="55" s="1"/>
  <c r="J265" i="55"/>
  <c r="F265" i="55" s="1"/>
  <c r="E84" i="55"/>
  <c r="J36" i="55"/>
  <c r="F36" i="55" s="1"/>
  <c r="J139" i="55"/>
  <c r="F139" i="55" s="1"/>
  <c r="J305" i="55"/>
  <c r="F305" i="55" s="1"/>
  <c r="J376" i="55"/>
  <c r="F376" i="55" s="1"/>
  <c r="J346" i="55"/>
  <c r="F346" i="55" s="1"/>
  <c r="J256" i="55"/>
  <c r="F256" i="55" s="1"/>
  <c r="J295" i="55"/>
  <c r="J235" i="55"/>
  <c r="F235" i="55" s="1"/>
  <c r="E37" i="55"/>
  <c r="J45" i="55"/>
  <c r="F45" i="55" s="1"/>
  <c r="E45" i="55"/>
  <c r="J184" i="55"/>
  <c r="F184" i="55" s="1"/>
  <c r="J15" i="55"/>
  <c r="F15" i="55" s="1"/>
  <c r="J116" i="55"/>
  <c r="F116" i="55" s="1"/>
  <c r="J96" i="55"/>
  <c r="F96" i="55" s="1"/>
  <c r="J109" i="55"/>
  <c r="F109" i="55" s="1"/>
  <c r="J108" i="55"/>
  <c r="F108" i="55" s="1"/>
  <c r="J360" i="55"/>
  <c r="F360" i="55" s="1"/>
  <c r="J124" i="55"/>
  <c r="F124" i="55" s="1"/>
  <c r="E124" i="55"/>
  <c r="J179" i="55"/>
  <c r="F179" i="55" s="1"/>
  <c r="J164" i="55"/>
  <c r="F164" i="55" s="1"/>
  <c r="E164" i="55"/>
  <c r="J226" i="55"/>
  <c r="F226" i="55" s="1"/>
  <c r="J104" i="55"/>
  <c r="F104" i="55" s="1"/>
  <c r="E104" i="55"/>
  <c r="E159" i="55"/>
  <c r="J148" i="55"/>
  <c r="F148" i="55" s="1"/>
  <c r="J320" i="55"/>
  <c r="F320" i="55" s="1"/>
  <c r="E69" i="55"/>
  <c r="J228" i="55"/>
  <c r="F228" i="55" s="1"/>
  <c r="J255" i="55"/>
  <c r="F255" i="55" s="1"/>
  <c r="J175" i="55"/>
  <c r="F175" i="55" s="1"/>
  <c r="J56" i="55"/>
  <c r="F56" i="55" s="1"/>
  <c r="J225" i="55"/>
  <c r="F225" i="55" s="1"/>
  <c r="J368" i="55"/>
  <c r="F368" i="55" s="1"/>
  <c r="J89" i="55"/>
  <c r="F89" i="55" s="1"/>
  <c r="J77" i="55"/>
  <c r="F77" i="55" s="1"/>
  <c r="E77" i="55"/>
  <c r="J57" i="55"/>
  <c r="F57" i="55" s="1"/>
  <c r="E57" i="55"/>
  <c r="J44" i="55"/>
  <c r="F44" i="55" s="1"/>
  <c r="E44" i="55"/>
  <c r="J245" i="55"/>
  <c r="F245" i="55" s="1"/>
  <c r="J348" i="55"/>
  <c r="F348" i="55" s="1"/>
  <c r="J328" i="55"/>
  <c r="F328" i="55" s="1"/>
  <c r="J39" i="55"/>
  <c r="F39" i="55" s="1"/>
  <c r="J76" i="55"/>
  <c r="F76" i="55" s="1"/>
  <c r="J239" i="55"/>
  <c r="F239" i="55" s="1"/>
  <c r="J48" i="55"/>
  <c r="F48" i="55" s="1"/>
  <c r="E48" i="55"/>
  <c r="J65" i="55"/>
  <c r="F65" i="55" s="1"/>
  <c r="E65" i="55"/>
  <c r="J195" i="55"/>
  <c r="F195" i="55" s="1"/>
  <c r="E195" i="55"/>
  <c r="J18" i="55"/>
  <c r="F18" i="55" s="1"/>
  <c r="E28" i="55"/>
  <c r="J28" i="55"/>
  <c r="F28" i="55" s="1"/>
  <c r="J129" i="55"/>
  <c r="F129" i="55" s="1"/>
  <c r="E129" i="55"/>
  <c r="J144" i="55"/>
  <c r="F144" i="55" s="1"/>
  <c r="E144" i="55"/>
  <c r="J169" i="55"/>
  <c r="F169" i="55" s="1"/>
  <c r="E169" i="55"/>
  <c r="J280" i="55"/>
  <c r="F280" i="55" s="1"/>
  <c r="J128" i="55"/>
  <c r="F128" i="55" s="1"/>
  <c r="E49" i="55"/>
  <c r="J49" i="55"/>
  <c r="F49" i="55" s="1"/>
  <c r="E88" i="55"/>
  <c r="J88" i="55"/>
  <c r="F88" i="55" s="1"/>
  <c r="J379" i="55"/>
  <c r="F379" i="55" s="1"/>
  <c r="E379" i="55"/>
  <c r="J24" i="55"/>
  <c r="F24" i="55" s="1"/>
  <c r="E24" i="55"/>
  <c r="J180" i="55"/>
  <c r="F180" i="55" s="1"/>
  <c r="J207" i="55"/>
  <c r="F207" i="55" s="1"/>
  <c r="J68" i="55"/>
  <c r="F68" i="55" s="1"/>
  <c r="E68" i="55"/>
  <c r="J219" i="55"/>
  <c r="F219" i="55" s="1"/>
  <c r="E219" i="55"/>
  <c r="J319" i="55"/>
  <c r="F319" i="55" s="1"/>
  <c r="J79" i="55"/>
  <c r="F79" i="55" s="1"/>
  <c r="E79" i="55"/>
  <c r="J119" i="55"/>
  <c r="F119" i="55" s="1"/>
  <c r="J200" i="55"/>
  <c r="F200" i="55" s="1"/>
  <c r="E200" i="55"/>
  <c r="J59" i="55"/>
  <c r="F59" i="55" s="1"/>
  <c r="E59" i="55"/>
  <c r="J308" i="55"/>
  <c r="F308" i="55" s="1"/>
  <c r="J216" i="55"/>
  <c r="F216" i="55" s="1"/>
  <c r="J208" i="55"/>
  <c r="F208" i="55" s="1"/>
  <c r="J64" i="55"/>
  <c r="F64" i="55" s="1"/>
  <c r="E64" i="55"/>
  <c r="J199" i="55"/>
  <c r="F199" i="55" s="1"/>
  <c r="E199" i="55"/>
  <c r="E359" i="55"/>
  <c r="J359" i="55"/>
  <c r="F359" i="55" s="1"/>
  <c r="J339" i="55"/>
  <c r="F339" i="55" s="1"/>
  <c r="E339" i="55"/>
  <c r="E186" i="55"/>
  <c r="J186" i="55"/>
  <c r="F186" i="55" s="1"/>
  <c r="J87" i="55"/>
  <c r="F87" i="55" s="1"/>
  <c r="E87" i="55"/>
  <c r="J197" i="55"/>
  <c r="F197" i="55" s="1"/>
  <c r="E197" i="55"/>
  <c r="J217" i="55"/>
  <c r="F217" i="55" s="1"/>
  <c r="E217" i="55"/>
  <c r="J127" i="55"/>
  <c r="F127" i="55" s="1"/>
  <c r="E127" i="55"/>
  <c r="J277" i="55"/>
  <c r="F277" i="55" s="1"/>
  <c r="E277" i="55"/>
  <c r="E136" i="55"/>
  <c r="J136" i="55"/>
  <c r="F136" i="55" s="1"/>
  <c r="E365" i="55"/>
  <c r="J365" i="55"/>
  <c r="F365" i="55" s="1"/>
  <c r="J357" i="55"/>
  <c r="F357" i="55" s="1"/>
  <c r="E357" i="55"/>
  <c r="J300" i="55"/>
  <c r="F300" i="55" s="1"/>
  <c r="E300" i="55"/>
  <c r="J137" i="55"/>
  <c r="F137" i="55" s="1"/>
  <c r="E137" i="55"/>
  <c r="J35" i="55"/>
  <c r="E35" i="55"/>
  <c r="J165" i="55"/>
  <c r="E165" i="55"/>
  <c r="J14" i="55"/>
  <c r="E14" i="55"/>
  <c r="J336" i="55"/>
  <c r="F336" i="55" s="1"/>
  <c r="E336" i="55"/>
  <c r="J297" i="55"/>
  <c r="F297" i="55" s="1"/>
  <c r="E297" i="55"/>
  <c r="E227" i="55"/>
  <c r="J227" i="55"/>
  <c r="F227" i="55" s="1"/>
  <c r="E98" i="55"/>
  <c r="J98" i="55"/>
  <c r="F98" i="55" s="1"/>
  <c r="J278" i="55"/>
  <c r="F278" i="55" s="1"/>
  <c r="E278" i="55"/>
  <c r="E66" i="55"/>
  <c r="J66" i="55"/>
  <c r="J338" i="55"/>
  <c r="F338" i="55" s="1"/>
  <c r="E338" i="55"/>
  <c r="F4" i="55"/>
  <c r="J10" i="55"/>
  <c r="E325" i="55"/>
  <c r="J325" i="55"/>
  <c r="F325" i="55" s="1"/>
  <c r="J126" i="55"/>
  <c r="F126" i="55" s="1"/>
  <c r="E126" i="55"/>
  <c r="J60" i="55"/>
  <c r="F60" i="55" s="1"/>
  <c r="E60" i="55"/>
  <c r="J125" i="55"/>
  <c r="E125" i="55"/>
  <c r="J80" i="55"/>
  <c r="F80" i="55" s="1"/>
  <c r="E80" i="55"/>
  <c r="J117" i="55"/>
  <c r="F117" i="55" s="1"/>
  <c r="E117" i="55"/>
  <c r="E97" i="55"/>
  <c r="J97" i="55"/>
  <c r="F97" i="55" s="1"/>
  <c r="J287" i="55"/>
  <c r="F287" i="55" s="1"/>
  <c r="E287" i="55"/>
  <c r="J378" i="55"/>
  <c r="F378" i="55" s="1"/>
  <c r="E378" i="55"/>
  <c r="J236" i="55"/>
  <c r="F236" i="55" s="1"/>
  <c r="E236" i="55"/>
  <c r="E189" i="55"/>
  <c r="J189" i="55"/>
  <c r="F189" i="55" s="1"/>
  <c r="J95" i="55"/>
  <c r="E95" i="55"/>
  <c r="E177" i="55"/>
  <c r="J177" i="55"/>
  <c r="F177" i="55" s="1"/>
  <c r="J55" i="55"/>
  <c r="E55" i="55"/>
  <c r="J205" i="55"/>
  <c r="F205" i="55" s="1"/>
  <c r="E205" i="55"/>
  <c r="J356" i="55"/>
  <c r="F356" i="55" s="1"/>
  <c r="E356" i="55"/>
  <c r="J369" i="55"/>
  <c r="F369" i="55" s="1"/>
  <c r="E369" i="55"/>
  <c r="J337" i="55"/>
  <c r="F337" i="55" s="1"/>
  <c r="E337" i="55"/>
  <c r="E267" i="55"/>
  <c r="J267" i="55"/>
  <c r="F267" i="55" s="1"/>
  <c r="E259" i="55"/>
  <c r="J259" i="55"/>
  <c r="F259" i="55" s="1"/>
  <c r="E105" i="55"/>
  <c r="J105" i="55"/>
  <c r="J306" i="55"/>
  <c r="F306" i="55" s="1"/>
  <c r="E306" i="55"/>
  <c r="J100" i="55"/>
  <c r="F100" i="55" s="1"/>
  <c r="E100" i="55"/>
  <c r="J115" i="55"/>
  <c r="E115" i="55"/>
  <c r="J67" i="55"/>
  <c r="F67" i="55" s="1"/>
  <c r="E67" i="55"/>
  <c r="J158" i="55"/>
  <c r="F158" i="55" s="1"/>
  <c r="E158" i="55"/>
  <c r="J206" i="55"/>
  <c r="F206" i="55" s="1"/>
  <c r="E206" i="55"/>
  <c r="J107" i="55"/>
  <c r="F107" i="55" s="1"/>
  <c r="E107" i="55"/>
  <c r="J29" i="55"/>
  <c r="F29" i="55" s="1"/>
  <c r="E29" i="55"/>
  <c r="J269" i="55"/>
  <c r="F269" i="55" s="1"/>
  <c r="E269" i="55"/>
  <c r="J257" i="55"/>
  <c r="F257" i="55" s="1"/>
  <c r="E257" i="55"/>
  <c r="E307" i="55"/>
  <c r="J307" i="55"/>
  <c r="F307" i="55" s="1"/>
  <c r="J145" i="55"/>
  <c r="E145" i="55"/>
  <c r="J298" i="55"/>
  <c r="F298" i="55" s="1"/>
  <c r="E298" i="55"/>
  <c r="E155" i="55"/>
  <c r="J155" i="55"/>
  <c r="J86" i="55"/>
  <c r="F86" i="55" s="1"/>
  <c r="E86" i="55"/>
  <c r="J185" i="55"/>
  <c r="F185" i="55" s="1"/>
  <c r="E185" i="55"/>
  <c r="J279" i="55"/>
  <c r="F279" i="55" s="1"/>
  <c r="E279" i="55"/>
  <c r="E335" i="55"/>
  <c r="J335" i="55"/>
  <c r="J196" i="55"/>
  <c r="E196" i="55"/>
  <c r="J120" i="55"/>
  <c r="F120" i="55" s="1"/>
  <c r="E120" i="55"/>
  <c r="E345" i="55"/>
  <c r="J345" i="55"/>
  <c r="F345" i="55" s="1"/>
  <c r="J78" i="55"/>
  <c r="F78" i="55" s="1"/>
  <c r="E78" i="55"/>
  <c r="J237" i="55"/>
  <c r="F237" i="55" s="1"/>
  <c r="E237" i="55"/>
  <c r="J317" i="55"/>
  <c r="F317" i="55" s="1"/>
  <c r="E317" i="55"/>
  <c r="E160" i="55"/>
  <c r="J160" i="55"/>
  <c r="F160" i="55" s="1"/>
  <c r="J238" i="55"/>
  <c r="F238" i="55" s="1"/>
  <c r="E238" i="55"/>
  <c r="J215" i="55"/>
  <c r="E215" i="55"/>
  <c r="J240" i="55"/>
  <c r="F240" i="55" s="1"/>
  <c r="E240" i="55"/>
  <c r="J46" i="55"/>
  <c r="E46" i="55"/>
  <c r="J224" i="55"/>
  <c r="E224" i="55"/>
  <c r="J296" i="55"/>
  <c r="F296" i="55" s="1"/>
  <c r="E296" i="55"/>
  <c r="J140" i="55"/>
  <c r="F140" i="55" s="1"/>
  <c r="E140" i="55"/>
  <c r="E118" i="55"/>
  <c r="J118" i="55"/>
  <c r="F118" i="55" s="1"/>
  <c r="J247" i="55"/>
  <c r="F247" i="55" s="1"/>
  <c r="E247" i="55"/>
  <c r="J364" i="55"/>
  <c r="E364" i="55"/>
  <c r="J47" i="55"/>
  <c r="F47" i="55" s="1"/>
  <c r="E47" i="55"/>
  <c r="J209" i="55"/>
  <c r="F209" i="55" s="1"/>
  <c r="E209" i="55"/>
  <c r="J75" i="55"/>
  <c r="E75" i="55"/>
  <c r="J309" i="55"/>
  <c r="F309" i="55" s="1"/>
  <c r="E309" i="55"/>
  <c r="J329" i="55"/>
  <c r="F329" i="55" s="1"/>
  <c r="E329" i="55"/>
  <c r="J375" i="55"/>
  <c r="E375" i="55"/>
  <c r="J146" i="55"/>
  <c r="F146" i="55" s="1"/>
  <c r="E146" i="55"/>
  <c r="J318" i="55"/>
  <c r="F318" i="55" s="1"/>
  <c r="E318" i="55"/>
  <c r="E106" i="55"/>
  <c r="J106" i="55"/>
  <c r="F106" i="55" s="1"/>
  <c r="J358" i="55"/>
  <c r="F358" i="55" s="1"/>
  <c r="E358" i="55"/>
  <c r="J244" i="55"/>
  <c r="E244" i="55"/>
  <c r="J286" i="55"/>
  <c r="F286" i="55" s="1"/>
  <c r="E286" i="55"/>
  <c r="J260" i="55"/>
  <c r="F260" i="55" s="1"/>
  <c r="E260" i="55"/>
  <c r="J38" i="55"/>
  <c r="F38" i="55" s="1"/>
  <c r="E38" i="55"/>
  <c r="J147" i="55"/>
  <c r="F147" i="55" s="1"/>
  <c r="E147" i="55"/>
  <c r="E347" i="55"/>
  <c r="J347" i="55"/>
  <c r="F347" i="55" s="1"/>
  <c r="J176" i="55"/>
  <c r="F176" i="55" s="1"/>
  <c r="E176" i="55"/>
  <c r="J198" i="55"/>
  <c r="F198" i="55" s="1"/>
  <c r="E198" i="55"/>
  <c r="E299" i="55"/>
  <c r="J299" i="55"/>
  <c r="F299" i="55" s="1"/>
  <c r="E380" i="55"/>
  <c r="J380" i="55"/>
  <c r="F380" i="55" s="1"/>
  <c r="J156" i="55"/>
  <c r="F156" i="55" s="1"/>
  <c r="E156" i="55"/>
  <c r="J218" i="55"/>
  <c r="F218" i="55" s="1"/>
  <c r="E218" i="55"/>
  <c r="E248" i="55"/>
  <c r="J248" i="55"/>
  <c r="F248" i="55" s="1"/>
  <c r="J26" i="55"/>
  <c r="E26" i="55"/>
  <c r="J340" i="55"/>
  <c r="F340" i="55" s="1"/>
  <c r="E340" i="55"/>
  <c r="J246" i="55"/>
  <c r="F246" i="55" s="1"/>
  <c r="E246" i="55"/>
  <c r="J19" i="55"/>
  <c r="F19" i="55" s="1"/>
  <c r="E19" i="55"/>
  <c r="J167" i="55"/>
  <c r="F167" i="55" s="1"/>
  <c r="E167" i="55"/>
  <c r="J40" i="55"/>
  <c r="F40" i="55" s="1"/>
  <c r="E40" i="55"/>
  <c r="E188" i="55"/>
  <c r="J188" i="55"/>
  <c r="F188" i="55" s="1"/>
  <c r="J367" i="55"/>
  <c r="F367" i="55" s="1"/>
  <c r="E367" i="55"/>
  <c r="E17" i="55"/>
  <c r="J17" i="55"/>
  <c r="F17" i="55" s="1"/>
  <c r="J229" i="55"/>
  <c r="F229" i="55" s="1"/>
  <c r="E229" i="55"/>
  <c r="J58" i="55"/>
  <c r="F58" i="55" s="1"/>
  <c r="E58" i="55"/>
  <c r="J249" i="55"/>
  <c r="F249" i="55" s="1"/>
  <c r="E249" i="55"/>
  <c r="J138" i="55"/>
  <c r="F138" i="55" s="1"/>
  <c r="E138" i="55"/>
  <c r="J289" i="55"/>
  <c r="F289" i="55" s="1"/>
  <c r="E289" i="55"/>
  <c r="E220" i="55"/>
  <c r="J220" i="55"/>
  <c r="F220" i="55" s="1"/>
  <c r="F315" i="55"/>
  <c r="J349" i="55"/>
  <c r="F349" i="55" s="1"/>
  <c r="E349" i="55"/>
  <c r="F295" i="55"/>
  <c r="J258" i="55"/>
  <c r="F258" i="55" s="1"/>
  <c r="E258" i="55"/>
  <c r="E168" i="55"/>
  <c r="J168" i="55"/>
  <c r="F168" i="55" s="1"/>
  <c r="J377" i="55"/>
  <c r="F377" i="55" s="1"/>
  <c r="E377" i="55"/>
  <c r="E85" i="55"/>
  <c r="J85" i="55"/>
  <c r="E268" i="55"/>
  <c r="J268" i="55"/>
  <c r="F268" i="55" s="1"/>
  <c r="J187" i="55"/>
  <c r="F187" i="55" s="1"/>
  <c r="E187" i="55"/>
  <c r="J264" i="55"/>
  <c r="E264" i="55"/>
  <c r="J284" i="55"/>
  <c r="E284" i="55"/>
  <c r="J304" i="55"/>
  <c r="E304" i="55"/>
  <c r="J355" i="55"/>
  <c r="E355" i="55"/>
  <c r="E204" i="55"/>
  <c r="J204" i="55"/>
  <c r="J324" i="55"/>
  <c r="E324" i="55"/>
  <c r="J316" i="55"/>
  <c r="F316" i="55" s="1"/>
  <c r="E316" i="55"/>
  <c r="J157" i="55"/>
  <c r="F157" i="55" s="1"/>
  <c r="E157" i="55"/>
  <c r="J326" i="55"/>
  <c r="F326" i="55" s="1"/>
  <c r="E326" i="55"/>
  <c r="J344" i="55"/>
  <c r="E344" i="55"/>
  <c r="J135" i="55"/>
  <c r="E135" i="55"/>
  <c r="E178" i="55"/>
  <c r="J178" i="55"/>
  <c r="F178" i="55" s="1"/>
  <c r="J327" i="55"/>
  <c r="F327" i="55" s="1"/>
  <c r="E327" i="55"/>
  <c r="J27" i="55"/>
  <c r="F27" i="55" s="1"/>
  <c r="E27" i="55"/>
  <c r="J281" i="55" l="1"/>
  <c r="F165" i="55"/>
  <c r="J170" i="55"/>
  <c r="J171" i="55" s="1"/>
  <c r="J25" i="59" s="1"/>
  <c r="K25" i="59" s="1"/>
  <c r="G25" i="59" s="1"/>
  <c r="F85" i="55"/>
  <c r="J90" i="55"/>
  <c r="J91" i="55" s="1"/>
  <c r="J17" i="59" s="1"/>
  <c r="K17" i="59" s="1"/>
  <c r="J250" i="55"/>
  <c r="J251" i="55" s="1"/>
  <c r="J35" i="59" s="1"/>
  <c r="K35" i="59" s="1"/>
  <c r="G35" i="59" s="1"/>
  <c r="F244" i="55"/>
  <c r="F375" i="55"/>
  <c r="J381" i="55"/>
  <c r="J382" i="55" s="1"/>
  <c r="J51" i="59" s="1"/>
  <c r="K51" i="59" s="1"/>
  <c r="G51" i="59" s="1"/>
  <c r="F26" i="55"/>
  <c r="J30" i="55"/>
  <c r="F335" i="55"/>
  <c r="J341" i="55"/>
  <c r="J342" i="55" s="1"/>
  <c r="J46" i="59" s="1"/>
  <c r="K46" i="59" s="1"/>
  <c r="J161" i="55"/>
  <c r="J162" i="55" s="1"/>
  <c r="J24" i="59" s="1"/>
  <c r="K24" i="59" s="1"/>
  <c r="G24" i="59" s="1"/>
  <c r="F155" i="55"/>
  <c r="J241" i="55"/>
  <c r="J242" i="55" s="1"/>
  <c r="J34" i="59" s="1"/>
  <c r="K34" i="59" s="1"/>
  <c r="G34" i="59" s="1"/>
  <c r="F196" i="55"/>
  <c r="J201" i="55"/>
  <c r="J202" i="55" s="1"/>
  <c r="J29" i="59" s="1"/>
  <c r="K29" i="59" s="1"/>
  <c r="G29" i="59" s="1"/>
  <c r="J141" i="55"/>
  <c r="J142" i="55" s="1"/>
  <c r="J22" i="59" s="1"/>
  <c r="K22" i="59" s="1"/>
  <c r="G22" i="59" s="1"/>
  <c r="F135" i="55"/>
  <c r="J290" i="55"/>
  <c r="J291" i="55" s="1"/>
  <c r="J40" i="59" s="1"/>
  <c r="K40" i="59" s="1"/>
  <c r="F284" i="55"/>
  <c r="J81" i="55"/>
  <c r="J82" i="55" s="1"/>
  <c r="J15" i="59" s="1"/>
  <c r="K15" i="59" s="1"/>
  <c r="G15" i="59" s="1"/>
  <c r="F75" i="55"/>
  <c r="J121" i="55"/>
  <c r="J122" i="55" s="1"/>
  <c r="J20" i="59" s="1"/>
  <c r="K20" i="59" s="1"/>
  <c r="G20" i="59" s="1"/>
  <c r="F115" i="55"/>
  <c r="J370" i="55"/>
  <c r="J371" i="55" s="1"/>
  <c r="J50" i="59" s="1"/>
  <c r="K50" i="59" s="1"/>
  <c r="G50" i="59" s="1"/>
  <c r="F364" i="55"/>
  <c r="J101" i="55"/>
  <c r="J102" i="55" s="1"/>
  <c r="J18" i="59" s="1"/>
  <c r="K18" i="59" s="1"/>
  <c r="G18" i="59" s="1"/>
  <c r="F95" i="55"/>
  <c r="J261" i="55"/>
  <c r="J262" i="55" s="1"/>
  <c r="J36" i="59" s="1"/>
  <c r="K36" i="59" s="1"/>
  <c r="G36" i="59" s="1"/>
  <c r="F105" i="55"/>
  <c r="J110" i="55"/>
  <c r="J111" i="55" s="1"/>
  <c r="J19" i="59" s="1"/>
  <c r="K19" i="59" s="1"/>
  <c r="G19" i="59" s="1"/>
  <c r="J350" i="55"/>
  <c r="J351" i="55" s="1"/>
  <c r="J47" i="59" s="1"/>
  <c r="K47" i="59" s="1"/>
  <c r="G47" i="59" s="1"/>
  <c r="F344" i="55"/>
  <c r="J270" i="55"/>
  <c r="J271" i="55" s="1"/>
  <c r="J37" i="59" s="1"/>
  <c r="K37" i="59" s="1"/>
  <c r="G37" i="59" s="1"/>
  <c r="F264" i="55"/>
  <c r="J41" i="55"/>
  <c r="F35" i="55"/>
  <c r="F10" i="55"/>
  <c r="J11" i="55"/>
  <c r="F215" i="55"/>
  <c r="J221" i="55"/>
  <c r="J222" i="55" s="1"/>
  <c r="J31" i="59" s="1"/>
  <c r="K31" i="59" s="1"/>
  <c r="G31" i="59" s="1"/>
  <c r="J301" i="55"/>
  <c r="J302" i="55" s="1"/>
  <c r="J41" i="59" s="1"/>
  <c r="K41" i="59" s="1"/>
  <c r="G41" i="59" s="1"/>
  <c r="J61" i="55"/>
  <c r="F55" i="55"/>
  <c r="J330" i="55"/>
  <c r="J331" i="55" s="1"/>
  <c r="J44" i="59" s="1"/>
  <c r="K44" i="59" s="1"/>
  <c r="G44" i="59" s="1"/>
  <c r="F324" i="55"/>
  <c r="J210" i="55"/>
  <c r="J211" i="55" s="1"/>
  <c r="J30" i="59" s="1"/>
  <c r="K30" i="59" s="1"/>
  <c r="G30" i="59" s="1"/>
  <c r="F204" i="55"/>
  <c r="F355" i="55"/>
  <c r="J361" i="55"/>
  <c r="J362" i="55" s="1"/>
  <c r="J49" i="59" s="1"/>
  <c r="K49" i="59" s="1"/>
  <c r="F145" i="55"/>
  <c r="J150" i="55"/>
  <c r="J151" i="55" s="1"/>
  <c r="J23" i="59" s="1"/>
  <c r="K23" i="59" s="1"/>
  <c r="G23" i="59" s="1"/>
  <c r="F46" i="55"/>
  <c r="J50" i="55"/>
  <c r="J230" i="55"/>
  <c r="J231" i="55" s="1"/>
  <c r="J33" i="59" s="1"/>
  <c r="K33" i="59" s="1"/>
  <c r="F224" i="55"/>
  <c r="J20" i="55"/>
  <c r="F14" i="55"/>
  <c r="J190" i="55"/>
  <c r="J191" i="55" s="1"/>
  <c r="J28" i="59" s="1"/>
  <c r="K28" i="59" s="1"/>
  <c r="F66" i="55"/>
  <c r="J70" i="55"/>
  <c r="J71" i="55" s="1"/>
  <c r="J14" i="59" s="1"/>
  <c r="K14" i="59" s="1"/>
  <c r="G14" i="59" s="1"/>
  <c r="F281" i="55"/>
  <c r="F125" i="55"/>
  <c r="J130" i="55"/>
  <c r="J131" i="55" s="1"/>
  <c r="J21" i="59" s="1"/>
  <c r="K21" i="59" s="1"/>
  <c r="G21" i="59" s="1"/>
  <c r="J321" i="55"/>
  <c r="J322" i="55" s="1"/>
  <c r="J43" i="59" s="1"/>
  <c r="K43" i="59" s="1"/>
  <c r="G43" i="59" s="1"/>
  <c r="J310" i="55"/>
  <c r="J311" i="55" s="1"/>
  <c r="J42" i="59" s="1"/>
  <c r="K42" i="59" s="1"/>
  <c r="G42" i="59" s="1"/>
  <c r="F304" i="55"/>
  <c r="J181" i="55"/>
  <c r="J182" i="55" s="1"/>
  <c r="J26" i="59" s="1"/>
  <c r="K26" i="59" s="1"/>
  <c r="G26" i="59" s="1"/>
  <c r="G40" i="59" l="1"/>
  <c r="K39" i="59"/>
  <c r="G39" i="59" s="1"/>
  <c r="G28" i="59"/>
  <c r="K27" i="59"/>
  <c r="G27" i="59" s="1"/>
  <c r="F11" i="55"/>
  <c r="E11" i="55" s="1"/>
  <c r="J5" i="59"/>
  <c r="K5" i="59" s="1"/>
  <c r="G33" i="59"/>
  <c r="K16" i="59"/>
  <c r="G16" i="59" s="1"/>
  <c r="G17" i="59"/>
  <c r="G49" i="59"/>
  <c r="K48" i="59"/>
  <c r="G48" i="59" s="1"/>
  <c r="G46" i="59"/>
  <c r="K45" i="59"/>
  <c r="G45" i="59" s="1"/>
  <c r="J282" i="55"/>
  <c r="J38" i="59" s="1"/>
  <c r="K38" i="59" s="1"/>
  <c r="G38" i="59" s="1"/>
  <c r="J31" i="55"/>
  <c r="F30" i="55"/>
  <c r="F121" i="55"/>
  <c r="F122" i="55"/>
  <c r="E122" i="55" s="1"/>
  <c r="F111" i="55"/>
  <c r="E111" i="55" s="1"/>
  <c r="F110" i="55"/>
  <c r="F362" i="55"/>
  <c r="E362" i="55" s="1"/>
  <c r="F361" i="55"/>
  <c r="F382" i="55"/>
  <c r="E382" i="55" s="1"/>
  <c r="F381" i="55"/>
  <c r="F350" i="55"/>
  <c r="F351" i="55"/>
  <c r="E351" i="55" s="1"/>
  <c r="F91" i="55"/>
  <c r="E91" i="55" s="1"/>
  <c r="F90" i="55"/>
  <c r="F171" i="55"/>
  <c r="E171" i="55" s="1"/>
  <c r="F170" i="55"/>
  <c r="F41" i="55"/>
  <c r="J42" i="55"/>
  <c r="F190" i="55"/>
  <c r="F191" i="55"/>
  <c r="E191" i="55" s="1"/>
  <c r="F210" i="55"/>
  <c r="F211" i="55"/>
  <c r="E211" i="55" s="1"/>
  <c r="F290" i="55"/>
  <c r="F291" i="55"/>
  <c r="E291" i="55" s="1"/>
  <c r="F61" i="55"/>
  <c r="J62" i="55"/>
  <c r="F321" i="55"/>
  <c r="F322" i="55"/>
  <c r="E322" i="55" s="1"/>
  <c r="F302" i="55"/>
  <c r="E302" i="55" s="1"/>
  <c r="F301" i="55"/>
  <c r="F262" i="55"/>
  <c r="E262" i="55" s="1"/>
  <c r="F261" i="55"/>
  <c r="F162" i="55"/>
  <c r="E162" i="55" s="1"/>
  <c r="F161" i="55"/>
  <c r="F330" i="55"/>
  <c r="F331" i="55"/>
  <c r="E331" i="55" s="1"/>
  <c r="F230" i="55"/>
  <c r="F231" i="55"/>
  <c r="E231" i="55" s="1"/>
  <c r="F202" i="55"/>
  <c r="E202" i="55" s="1"/>
  <c r="F201" i="55"/>
  <c r="F131" i="55"/>
  <c r="E131" i="55" s="1"/>
  <c r="F130" i="55"/>
  <c r="F222" i="55"/>
  <c r="E222" i="55" s="1"/>
  <c r="F221" i="55"/>
  <c r="F71" i="55"/>
  <c r="E71" i="55" s="1"/>
  <c r="F70" i="55"/>
  <c r="F270" i="55"/>
  <c r="F271" i="55"/>
  <c r="E271" i="55" s="1"/>
  <c r="F250" i="55"/>
  <c r="F251" i="55"/>
  <c r="E251" i="55" s="1"/>
  <c r="F370" i="55"/>
  <c r="F371" i="55"/>
  <c r="E371" i="55" s="1"/>
  <c r="F20" i="55"/>
  <c r="J21" i="55"/>
  <c r="F81" i="55"/>
  <c r="F82" i="55"/>
  <c r="E82" i="55" s="1"/>
  <c r="J51" i="55"/>
  <c r="F50" i="55"/>
  <c r="F310" i="55"/>
  <c r="F311" i="55"/>
  <c r="E311" i="55" s="1"/>
  <c r="F342" i="55"/>
  <c r="E342" i="55" s="1"/>
  <c r="F341" i="55"/>
  <c r="F141" i="55"/>
  <c r="F142" i="55"/>
  <c r="E142" i="55" s="1"/>
  <c r="F182" i="55"/>
  <c r="E182" i="55" s="1"/>
  <c r="F181" i="55"/>
  <c r="F241" i="55"/>
  <c r="F242" i="55"/>
  <c r="E242" i="55" s="1"/>
  <c r="F150" i="55"/>
  <c r="F151" i="55"/>
  <c r="E151" i="55" s="1"/>
  <c r="F101" i="55"/>
  <c r="F102" i="55"/>
  <c r="E102" i="55" s="1"/>
  <c r="F51" i="55" l="1"/>
  <c r="E51" i="55" s="1"/>
  <c r="J11" i="59"/>
  <c r="K11" i="59" s="1"/>
  <c r="G11" i="59" s="1"/>
  <c r="F21" i="55"/>
  <c r="E21" i="55" s="1"/>
  <c r="J7" i="59"/>
  <c r="K7" i="59" s="1"/>
  <c r="F31" i="55"/>
  <c r="E31" i="55" s="1"/>
  <c r="J8" i="59"/>
  <c r="K8" i="59" s="1"/>
  <c r="G8" i="59" s="1"/>
  <c r="K32" i="59"/>
  <c r="G32" i="59" s="1"/>
  <c r="F42" i="55"/>
  <c r="E42" i="55" s="1"/>
  <c r="J9" i="59"/>
  <c r="K9" i="59" s="1"/>
  <c r="G9" i="59" s="1"/>
  <c r="F62" i="55"/>
  <c r="E62" i="55" s="1"/>
  <c r="J13" i="59"/>
  <c r="K13" i="59" s="1"/>
  <c r="F282" i="55"/>
  <c r="E282" i="55" s="1"/>
  <c r="G5" i="59"/>
  <c r="K8" i="33"/>
  <c r="K7" i="33"/>
  <c r="K6" i="33"/>
  <c r="K6" i="59" l="1"/>
  <c r="G7" i="59"/>
  <c r="G13" i="59"/>
  <c r="K12" i="59"/>
  <c r="L15" i="51"/>
  <c r="G6" i="59" l="1"/>
  <c r="K4" i="59"/>
  <c r="G4" i="59" s="1"/>
  <c r="G12" i="59"/>
  <c r="D6" i="36"/>
  <c r="D8" i="36"/>
  <c r="H12" i="40"/>
  <c r="Q14" i="35" l="1"/>
  <c r="M70" i="52"/>
  <c r="K70" i="52"/>
  <c r="M66" i="52"/>
  <c r="K66" i="52"/>
  <c r="M62" i="52"/>
  <c r="K62" i="52"/>
  <c r="K57" i="52"/>
  <c r="O57" i="52"/>
  <c r="K50" i="52"/>
  <c r="K48" i="52" s="1"/>
  <c r="O50" i="52"/>
  <c r="O48" i="52" s="1"/>
  <c r="K42" i="52"/>
  <c r="K40" i="52" s="1"/>
  <c r="K37" i="52"/>
  <c r="O37" i="52"/>
  <c r="K34" i="52"/>
  <c r="O34" i="52"/>
  <c r="O18" i="52"/>
  <c r="O17" i="52" s="1"/>
  <c r="K18" i="52"/>
  <c r="K17" i="52" s="1"/>
  <c r="K8" i="52"/>
  <c r="A373" i="48"/>
  <c r="H373" i="48" s="1"/>
  <c r="A369" i="48"/>
  <c r="H369" i="48" s="1"/>
  <c r="A359" i="48"/>
  <c r="H359" i="48" s="1"/>
  <c r="A345" i="48"/>
  <c r="H345" i="48" s="1"/>
  <c r="L362" i="48"/>
  <c r="F362" i="48" s="1"/>
  <c r="L363" i="48"/>
  <c r="F363" i="48" s="1"/>
  <c r="L364" i="48"/>
  <c r="F364" i="48" s="1"/>
  <c r="L365" i="48"/>
  <c r="L366" i="48"/>
  <c r="L367" i="48"/>
  <c r="L361" i="48"/>
  <c r="F361" i="48" s="1"/>
  <c r="L371" i="48"/>
  <c r="F371" i="48" s="1"/>
  <c r="F372" i="48" s="1"/>
  <c r="E371" i="48"/>
  <c r="F367" i="48"/>
  <c r="E367" i="48"/>
  <c r="F366" i="48"/>
  <c r="E366" i="48"/>
  <c r="F365" i="48"/>
  <c r="E365" i="48"/>
  <c r="E364" i="48"/>
  <c r="E363" i="48"/>
  <c r="E362" i="48"/>
  <c r="E361" i="48"/>
  <c r="K357" i="48"/>
  <c r="E357" i="48" s="1"/>
  <c r="K356" i="48"/>
  <c r="L356" i="48" s="1"/>
  <c r="E356" i="48"/>
  <c r="K355" i="48"/>
  <c r="L355" i="48" s="1"/>
  <c r="E355" i="48"/>
  <c r="K354" i="48"/>
  <c r="L354" i="48" s="1"/>
  <c r="K353" i="48"/>
  <c r="E353" i="48" s="1"/>
  <c r="K352" i="48"/>
  <c r="K351" i="48"/>
  <c r="L351" i="48" s="1"/>
  <c r="K350" i="48"/>
  <c r="L350" i="48" s="1"/>
  <c r="E350" i="48"/>
  <c r="K349" i="48"/>
  <c r="L349" i="48" s="1"/>
  <c r="K348" i="48"/>
  <c r="L348" i="48" s="1"/>
  <c r="K343" i="48"/>
  <c r="L343" i="48" s="1"/>
  <c r="K342" i="48"/>
  <c r="K341" i="48"/>
  <c r="E341" i="48" s="1"/>
  <c r="K340" i="48"/>
  <c r="L340" i="48" s="1"/>
  <c r="K339" i="48"/>
  <c r="L339" i="48" s="1"/>
  <c r="K338" i="48"/>
  <c r="L338" i="48" s="1"/>
  <c r="E338" i="48"/>
  <c r="A310" i="48"/>
  <c r="G308" i="48"/>
  <c r="E308" i="48" s="1"/>
  <c r="G307" i="48"/>
  <c r="E307" i="48" s="1"/>
  <c r="G306" i="48"/>
  <c r="E306" i="48" s="1"/>
  <c r="G305" i="48"/>
  <c r="E305" i="48" s="1"/>
  <c r="G304" i="48"/>
  <c r="E304" i="48" s="1"/>
  <c r="A301" i="48"/>
  <c r="G299" i="48"/>
  <c r="E299" i="48" s="1"/>
  <c r="G298" i="48"/>
  <c r="E298" i="48" s="1"/>
  <c r="G297" i="48"/>
  <c r="E297" i="48" s="1"/>
  <c r="G296" i="48"/>
  <c r="E296" i="48"/>
  <c r="G295" i="48"/>
  <c r="E295" i="48" s="1"/>
  <c r="A293" i="48"/>
  <c r="G291" i="48"/>
  <c r="E291" i="48" s="1"/>
  <c r="G290" i="48"/>
  <c r="E290" i="48" s="1"/>
  <c r="G289" i="48"/>
  <c r="E289" i="48" s="1"/>
  <c r="G288" i="48"/>
  <c r="E288" i="48"/>
  <c r="G287" i="48"/>
  <c r="E287" i="48" s="1"/>
  <c r="A285" i="48"/>
  <c r="G283" i="48"/>
  <c r="E283" i="48" s="1"/>
  <c r="G282" i="48"/>
  <c r="E282" i="48" s="1"/>
  <c r="G281" i="48"/>
  <c r="E281" i="48" s="1"/>
  <c r="G280" i="48"/>
  <c r="E280" i="48" s="1"/>
  <c r="G279" i="48"/>
  <c r="E279" i="48" s="1"/>
  <c r="A276" i="48"/>
  <c r="G274" i="48"/>
  <c r="E274" i="48" s="1"/>
  <c r="G273" i="48"/>
  <c r="E273" i="48" s="1"/>
  <c r="G272" i="48"/>
  <c r="E272" i="48" s="1"/>
  <c r="G271" i="48"/>
  <c r="E271" i="48" s="1"/>
  <c r="G270" i="48"/>
  <c r="E270" i="48" s="1"/>
  <c r="E343" i="48" l="1"/>
  <c r="E349" i="48"/>
  <c r="M61" i="52"/>
  <c r="K39" i="52"/>
  <c r="E351" i="48"/>
  <c r="E354" i="48"/>
  <c r="K61" i="52"/>
  <c r="E339" i="48"/>
  <c r="K5" i="52"/>
  <c r="K4" i="52" s="1"/>
  <c r="E348" i="48"/>
  <c r="E340" i="48"/>
  <c r="L357" i="48"/>
  <c r="F357" i="48" s="1"/>
  <c r="L353" i="48"/>
  <c r="F353" i="48" s="1"/>
  <c r="L341" i="48"/>
  <c r="F341" i="48" s="1"/>
  <c r="F339" i="48"/>
  <c r="F340" i="48"/>
  <c r="F356" i="48"/>
  <c r="L342" i="48"/>
  <c r="F342" i="48" s="1"/>
  <c r="F350" i="48"/>
  <c r="F343" i="48"/>
  <c r="L352" i="48"/>
  <c r="F352" i="48" s="1"/>
  <c r="E342" i="48"/>
  <c r="F368" i="48"/>
  <c r="F349" i="48"/>
  <c r="F351" i="48"/>
  <c r="F354" i="48"/>
  <c r="F355" i="48"/>
  <c r="F348" i="48"/>
  <c r="F338" i="48"/>
  <c r="L372" i="48"/>
  <c r="E352" i="48"/>
  <c r="L368" i="48"/>
  <c r="L369" i="48" s="1"/>
  <c r="N65" i="52" s="1"/>
  <c r="O65" i="52" s="1"/>
  <c r="I65" i="52" s="1"/>
  <c r="A268" i="48"/>
  <c r="G266" i="48"/>
  <c r="E266" i="48" s="1"/>
  <c r="G265" i="48"/>
  <c r="E265" i="48" s="1"/>
  <c r="G264" i="48"/>
  <c r="E264" i="48" s="1"/>
  <c r="G263" i="48"/>
  <c r="E263" i="48" s="1"/>
  <c r="G262" i="48"/>
  <c r="A251" i="48"/>
  <c r="G249" i="48"/>
  <c r="E249" i="48" s="1"/>
  <c r="G248" i="48"/>
  <c r="E248" i="48" s="1"/>
  <c r="G247" i="48"/>
  <c r="E247" i="48" s="1"/>
  <c r="G246" i="48"/>
  <c r="E246" i="48" s="1"/>
  <c r="G245" i="48"/>
  <c r="E245" i="48" s="1"/>
  <c r="A243" i="48"/>
  <c r="G241" i="48"/>
  <c r="E241" i="48" s="1"/>
  <c r="G240" i="48"/>
  <c r="E240" i="48" s="1"/>
  <c r="G239" i="48"/>
  <c r="E239" i="48" s="1"/>
  <c r="G238" i="48"/>
  <c r="E238" i="48" s="1"/>
  <c r="G237" i="48"/>
  <c r="E237" i="48" s="1"/>
  <c r="A235" i="48"/>
  <c r="G233" i="48"/>
  <c r="E233" i="48" s="1"/>
  <c r="G232" i="48"/>
  <c r="E232" i="48" s="1"/>
  <c r="G231" i="48"/>
  <c r="E231" i="48" s="1"/>
  <c r="G230" i="48"/>
  <c r="E230" i="48" s="1"/>
  <c r="G229" i="48"/>
  <c r="E229" i="48" s="1"/>
  <c r="A226" i="48"/>
  <c r="G224" i="48"/>
  <c r="E224" i="48" s="1"/>
  <c r="G223" i="48"/>
  <c r="E223" i="48" s="1"/>
  <c r="G222" i="48"/>
  <c r="E222" i="48" s="1"/>
  <c r="G221" i="48"/>
  <c r="G220" i="48"/>
  <c r="E220" i="48" s="1"/>
  <c r="G216" i="48"/>
  <c r="E216" i="48" s="1"/>
  <c r="G215" i="48"/>
  <c r="E215" i="48" s="1"/>
  <c r="G214" i="48"/>
  <c r="E214" i="48"/>
  <c r="G213" i="48"/>
  <c r="E213" i="48" s="1"/>
  <c r="G212" i="48"/>
  <c r="A218" i="48"/>
  <c r="A50" i="53"/>
  <c r="E47" i="53"/>
  <c r="E49" i="53" s="1"/>
  <c r="E50" i="53" s="1"/>
  <c r="N71" i="52" s="1"/>
  <c r="O71" i="52" s="1"/>
  <c r="E43" i="53"/>
  <c r="B23" i="53" s="1"/>
  <c r="E23" i="53" s="1"/>
  <c r="F23" i="53" s="1"/>
  <c r="E42" i="53"/>
  <c r="B22" i="53" s="1"/>
  <c r="E22" i="53" s="1"/>
  <c r="F22" i="53" s="1"/>
  <c r="E41" i="53"/>
  <c r="B21" i="53" s="1"/>
  <c r="E21" i="53" s="1"/>
  <c r="F21" i="53" s="1"/>
  <c r="E40" i="53"/>
  <c r="B20" i="53" s="1"/>
  <c r="E20" i="53" s="1"/>
  <c r="F20" i="53" s="1"/>
  <c r="E39" i="53"/>
  <c r="B31" i="53" s="1"/>
  <c r="E31" i="53" s="1"/>
  <c r="F31" i="53" s="1"/>
  <c r="E38" i="53"/>
  <c r="B30" i="53" s="1"/>
  <c r="E30" i="53" s="1"/>
  <c r="A28" i="53"/>
  <c r="A27" i="53"/>
  <c r="A16" i="53"/>
  <c r="A15" i="53"/>
  <c r="A4" i="53"/>
  <c r="A3" i="53"/>
  <c r="G60" i="52"/>
  <c r="G59" i="52"/>
  <c r="G58" i="52"/>
  <c r="G56" i="52"/>
  <c r="G55" i="52"/>
  <c r="G54" i="52"/>
  <c r="G53" i="52"/>
  <c r="G52" i="52"/>
  <c r="G51" i="52"/>
  <c r="G50" i="52"/>
  <c r="G49" i="52"/>
  <c r="G47" i="52"/>
  <c r="G46" i="52"/>
  <c r="G45" i="52"/>
  <c r="G44" i="52"/>
  <c r="G43" i="52"/>
  <c r="G42" i="52"/>
  <c r="G41" i="52"/>
  <c r="G38" i="52"/>
  <c r="G36" i="52"/>
  <c r="G35" i="52"/>
  <c r="G33" i="52"/>
  <c r="G32" i="52"/>
  <c r="G31" i="52"/>
  <c r="G30" i="52"/>
  <c r="G28" i="52"/>
  <c r="G27" i="52"/>
  <c r="G26" i="52"/>
  <c r="G25" i="52"/>
  <c r="G23" i="52"/>
  <c r="G22" i="52"/>
  <c r="G21" i="52"/>
  <c r="G20" i="52"/>
  <c r="G19" i="52"/>
  <c r="G16" i="52"/>
  <c r="G15" i="52"/>
  <c r="G14" i="52"/>
  <c r="G13" i="52"/>
  <c r="G12" i="52"/>
  <c r="G11" i="52"/>
  <c r="G9" i="52"/>
  <c r="B32" i="53" l="1"/>
  <c r="E32" i="53" s="1"/>
  <c r="F32" i="53" s="1"/>
  <c r="B34" i="53"/>
  <c r="E34" i="53" s="1"/>
  <c r="F34" i="53" s="1"/>
  <c r="B35" i="53"/>
  <c r="E35" i="53" s="1"/>
  <c r="F35" i="53" s="1"/>
  <c r="B33" i="53"/>
  <c r="E33" i="53" s="1"/>
  <c r="F33" i="53" s="1"/>
  <c r="I71" i="52"/>
  <c r="O70" i="52"/>
  <c r="I70" i="52" s="1"/>
  <c r="B8" i="53"/>
  <c r="E8" i="53" s="1"/>
  <c r="F8" i="53" s="1"/>
  <c r="B9" i="53"/>
  <c r="E9" i="53" s="1"/>
  <c r="F9" i="53" s="1"/>
  <c r="B10" i="53"/>
  <c r="E10" i="53" s="1"/>
  <c r="F10" i="53" s="1"/>
  <c r="B11" i="53"/>
  <c r="E11" i="53" s="1"/>
  <c r="F11" i="53" s="1"/>
  <c r="L373" i="48"/>
  <c r="F373" i="48" s="1"/>
  <c r="L344" i="48"/>
  <c r="L345" i="48" s="1"/>
  <c r="N63" i="52" s="1"/>
  <c r="F344" i="48"/>
  <c r="F345" i="48" s="1"/>
  <c r="F369" i="48"/>
  <c r="L358" i="48"/>
  <c r="L359" i="48" s="1"/>
  <c r="N64" i="52" s="1"/>
  <c r="E262" i="48"/>
  <c r="E221" i="48"/>
  <c r="E212" i="48"/>
  <c r="F30" i="53"/>
  <c r="E29" i="53"/>
  <c r="B18" i="53"/>
  <c r="E18" i="53" s="1"/>
  <c r="B7" i="53"/>
  <c r="E7" i="53" s="1"/>
  <c r="F7" i="53" s="1"/>
  <c r="B6" i="53"/>
  <c r="E6" i="53" s="1"/>
  <c r="B19" i="53"/>
  <c r="E19" i="53" s="1"/>
  <c r="F19" i="53" s="1"/>
  <c r="F358" i="48" l="1"/>
  <c r="F359" i="48" s="1"/>
  <c r="E5" i="53"/>
  <c r="F6" i="53"/>
  <c r="F18" i="53"/>
  <c r="E17" i="53"/>
  <c r="E27" i="53"/>
  <c r="F29" i="53"/>
  <c r="E28" i="53" l="1"/>
  <c r="F28" i="53" s="1"/>
  <c r="F27" i="53"/>
  <c r="N69" i="52" s="1"/>
  <c r="E15" i="53"/>
  <c r="F17" i="53"/>
  <c r="E3" i="53"/>
  <c r="F5" i="53"/>
  <c r="E4" i="53" l="1"/>
  <c r="F4" i="53" s="1"/>
  <c r="F3" i="53"/>
  <c r="N67" i="52" s="1"/>
  <c r="E16" i="53"/>
  <c r="F16" i="53" s="1"/>
  <c r="F15" i="53"/>
  <c r="N68" i="52" s="1"/>
  <c r="G7" i="52" l="1"/>
  <c r="C59" i="52"/>
  <c r="C60" i="52"/>
  <c r="C58" i="52"/>
  <c r="B57" i="52"/>
  <c r="D52" i="52"/>
  <c r="D53" i="52"/>
  <c r="D54" i="52"/>
  <c r="D55" i="52"/>
  <c r="D56" i="52"/>
  <c r="D51" i="52"/>
  <c r="C50" i="52"/>
  <c r="C49" i="52"/>
  <c r="B48" i="52"/>
  <c r="D47" i="52"/>
  <c r="D44" i="52"/>
  <c r="D45" i="52"/>
  <c r="D46" i="52"/>
  <c r="D43" i="52"/>
  <c r="C42" i="52"/>
  <c r="C41" i="52"/>
  <c r="B40" i="52"/>
  <c r="B39" i="52"/>
  <c r="C38" i="52"/>
  <c r="B37" i="52"/>
  <c r="C36" i="52"/>
  <c r="C35" i="52"/>
  <c r="B34" i="52"/>
  <c r="C33" i="52"/>
  <c r="C31" i="52"/>
  <c r="C32" i="52"/>
  <c r="C30" i="52"/>
  <c r="B29" i="52"/>
  <c r="C28" i="52"/>
  <c r="D26" i="52"/>
  <c r="D27" i="52"/>
  <c r="D25" i="52"/>
  <c r="C24" i="52"/>
  <c r="D23" i="52"/>
  <c r="D22" i="52"/>
  <c r="D21" i="52"/>
  <c r="D20" i="52"/>
  <c r="D19" i="52"/>
  <c r="C18" i="52"/>
  <c r="D12" i="52"/>
  <c r="D13" i="52"/>
  <c r="D14" i="52"/>
  <c r="D15" i="52"/>
  <c r="D16" i="52"/>
  <c r="D11" i="52"/>
  <c r="C10" i="52"/>
  <c r="C9" i="52"/>
  <c r="C7" i="52"/>
  <c r="B5" i="52"/>
  <c r="B17" i="52"/>
  <c r="B8" i="52"/>
  <c r="B6" i="52"/>
  <c r="T15" i="51" l="1"/>
  <c r="U15" i="51"/>
  <c r="O46" i="52" l="1"/>
  <c r="O15" i="52"/>
  <c r="O13" i="52" s="1"/>
  <c r="O10" i="52" s="1"/>
  <c r="O8" i="52" s="1"/>
  <c r="O5" i="52" s="1"/>
  <c r="K15" i="52"/>
  <c r="K13" i="52" s="1"/>
  <c r="K10" i="52" s="1"/>
  <c r="A67" i="32"/>
  <c r="O42" i="52" l="1"/>
  <c r="O40" i="52" s="1"/>
  <c r="O39" i="52" s="1"/>
  <c r="O4" i="52" s="1"/>
  <c r="J63" i="32" l="1"/>
  <c r="J66" i="32" s="1"/>
  <c r="H64" i="32"/>
  <c r="H65" i="32"/>
  <c r="J124" i="33"/>
  <c r="L120" i="33"/>
  <c r="L119" i="33"/>
  <c r="K122" i="33"/>
  <c r="E122" i="33" s="1"/>
  <c r="K121" i="33"/>
  <c r="K123" i="33" s="1"/>
  <c r="G120" i="33"/>
  <c r="E120" i="33" s="1"/>
  <c r="G119" i="33"/>
  <c r="E119" i="33" s="1"/>
  <c r="E124" i="33"/>
  <c r="A125" i="33"/>
  <c r="E121" i="33" l="1"/>
  <c r="C16" i="36"/>
  <c r="C14" i="36"/>
  <c r="C17" i="36"/>
  <c r="C15" i="36"/>
  <c r="C18" i="36"/>
  <c r="J67" i="32"/>
  <c r="E123" i="33"/>
  <c r="L123" i="33"/>
  <c r="F123" i="33" s="1"/>
  <c r="L121" i="33"/>
  <c r="F121" i="33" s="1"/>
  <c r="L122" i="33"/>
  <c r="F122" i="33" s="1"/>
  <c r="L124" i="33" l="1"/>
  <c r="M33" i="41" l="1"/>
  <c r="H16" i="40" l="1"/>
  <c r="J15" i="40" s="1"/>
  <c r="G333" i="48"/>
  <c r="G332" i="48"/>
  <c r="E332" i="48" s="1"/>
  <c r="G331" i="48"/>
  <c r="G330" i="48"/>
  <c r="G329" i="48"/>
  <c r="G324" i="48"/>
  <c r="G323" i="48"/>
  <c r="E323" i="48" s="1"/>
  <c r="G322" i="48"/>
  <c r="E322" i="48" s="1"/>
  <c r="G321" i="48"/>
  <c r="E321" i="48" s="1"/>
  <c r="G320" i="48"/>
  <c r="E320" i="48" s="1"/>
  <c r="G316" i="48"/>
  <c r="E316" i="48" s="1"/>
  <c r="G315" i="48"/>
  <c r="E315" i="48" s="1"/>
  <c r="G314" i="48"/>
  <c r="E314" i="48" s="1"/>
  <c r="G313" i="48"/>
  <c r="E313" i="48" s="1"/>
  <c r="G312" i="48"/>
  <c r="E312" i="48" s="1"/>
  <c r="G258" i="48"/>
  <c r="E258" i="48" s="1"/>
  <c r="G257" i="48"/>
  <c r="E257" i="48" s="1"/>
  <c r="G256" i="48"/>
  <c r="E256" i="48" s="1"/>
  <c r="G255" i="48"/>
  <c r="E255" i="48" s="1"/>
  <c r="G254" i="48"/>
  <c r="E254" i="48" s="1"/>
  <c r="G208" i="48"/>
  <c r="E208" i="48" s="1"/>
  <c r="G207" i="48"/>
  <c r="E207" i="48" s="1"/>
  <c r="G206" i="48"/>
  <c r="E206" i="48" s="1"/>
  <c r="G205" i="48"/>
  <c r="E205" i="48" s="1"/>
  <c r="G204" i="48"/>
  <c r="E204" i="48" s="1"/>
  <c r="G199" i="48"/>
  <c r="E199" i="48" s="1"/>
  <c r="G198" i="48"/>
  <c r="E198" i="48" s="1"/>
  <c r="G197" i="48"/>
  <c r="E197" i="48" s="1"/>
  <c r="G196" i="48"/>
  <c r="E196" i="48" s="1"/>
  <c r="G195" i="48"/>
  <c r="G191" i="48"/>
  <c r="G190" i="48"/>
  <c r="E190" i="48" s="1"/>
  <c r="G189" i="48"/>
  <c r="E189" i="48" s="1"/>
  <c r="G188" i="48"/>
  <c r="E188" i="48" s="1"/>
  <c r="G187" i="48"/>
  <c r="E187" i="48" s="1"/>
  <c r="G183" i="48"/>
  <c r="E183" i="48" s="1"/>
  <c r="G182" i="48"/>
  <c r="E182" i="48" s="1"/>
  <c r="G181" i="48"/>
  <c r="E181" i="48" s="1"/>
  <c r="G180" i="48"/>
  <c r="E180" i="48" s="1"/>
  <c r="G179" i="48"/>
  <c r="E179" i="48" s="1"/>
  <c r="G174" i="48"/>
  <c r="E174" i="48" s="1"/>
  <c r="G173" i="48"/>
  <c r="E173" i="48" s="1"/>
  <c r="G172" i="48"/>
  <c r="E172" i="48" s="1"/>
  <c r="G171" i="48"/>
  <c r="E171" i="48" s="1"/>
  <c r="G170" i="48"/>
  <c r="E170" i="48" s="1"/>
  <c r="G166" i="48"/>
  <c r="E166" i="48" s="1"/>
  <c r="G165" i="48"/>
  <c r="G164" i="48"/>
  <c r="G163" i="48"/>
  <c r="E163" i="48" s="1"/>
  <c r="G162" i="48"/>
  <c r="E162" i="48" s="1"/>
  <c r="G158" i="48"/>
  <c r="E158" i="48" s="1"/>
  <c r="G157" i="48"/>
  <c r="E157" i="48" s="1"/>
  <c r="G156" i="48"/>
  <c r="E156" i="48" s="1"/>
  <c r="G155" i="48"/>
  <c r="E155" i="48" s="1"/>
  <c r="G154" i="48"/>
  <c r="E154" i="48" s="1"/>
  <c r="G149" i="48"/>
  <c r="E149" i="48" s="1"/>
  <c r="G148" i="48"/>
  <c r="E148" i="48" s="1"/>
  <c r="G147" i="48"/>
  <c r="E147" i="48" s="1"/>
  <c r="G146" i="48"/>
  <c r="E146" i="48" s="1"/>
  <c r="G145" i="48"/>
  <c r="E145" i="48" s="1"/>
  <c r="G141" i="48"/>
  <c r="E141" i="48" s="1"/>
  <c r="G140" i="48"/>
  <c r="E140" i="48" s="1"/>
  <c r="G139" i="48"/>
  <c r="E139" i="48" s="1"/>
  <c r="G138" i="48"/>
  <c r="E138" i="48" s="1"/>
  <c r="G137" i="48"/>
  <c r="E137" i="48" s="1"/>
  <c r="G133" i="48"/>
  <c r="E133" i="48" s="1"/>
  <c r="G132" i="48"/>
  <c r="E132" i="48" s="1"/>
  <c r="G131" i="48"/>
  <c r="E131" i="48" s="1"/>
  <c r="G130" i="48"/>
  <c r="E130" i="48" s="1"/>
  <c r="G129" i="48"/>
  <c r="E129" i="48" s="1"/>
  <c r="G124" i="48"/>
  <c r="E124" i="48" s="1"/>
  <c r="G123" i="48"/>
  <c r="E123" i="48" s="1"/>
  <c r="G122" i="48"/>
  <c r="E122" i="48" s="1"/>
  <c r="G121" i="48"/>
  <c r="E121" i="48" s="1"/>
  <c r="G120" i="48"/>
  <c r="E120" i="48" s="1"/>
  <c r="G116" i="48"/>
  <c r="E116" i="48" s="1"/>
  <c r="G115" i="48"/>
  <c r="E115" i="48" s="1"/>
  <c r="G114" i="48"/>
  <c r="E114" i="48" s="1"/>
  <c r="G113" i="48"/>
  <c r="E113" i="48" s="1"/>
  <c r="G112" i="48"/>
  <c r="E112" i="48" s="1"/>
  <c r="G108" i="48"/>
  <c r="E108" i="48" s="1"/>
  <c r="G107" i="48"/>
  <c r="E107" i="48" s="1"/>
  <c r="G106" i="48"/>
  <c r="E106" i="48" s="1"/>
  <c r="G105" i="48"/>
  <c r="E105" i="48" s="1"/>
  <c r="G104" i="48"/>
  <c r="E104" i="48" s="1"/>
  <c r="G99" i="48"/>
  <c r="E99" i="48" s="1"/>
  <c r="G98" i="48"/>
  <c r="E98" i="48" s="1"/>
  <c r="G97" i="48"/>
  <c r="E97" i="48" s="1"/>
  <c r="G96" i="48"/>
  <c r="E96" i="48" s="1"/>
  <c r="G95" i="48"/>
  <c r="E95" i="48" s="1"/>
  <c r="G91" i="48"/>
  <c r="E91" i="48" s="1"/>
  <c r="G90" i="48"/>
  <c r="E90" i="48" s="1"/>
  <c r="G89" i="48"/>
  <c r="E89" i="48" s="1"/>
  <c r="G88" i="48"/>
  <c r="E88" i="48" s="1"/>
  <c r="G87" i="48"/>
  <c r="E87" i="48" s="1"/>
  <c r="G83" i="48"/>
  <c r="E83" i="48" s="1"/>
  <c r="G82" i="48"/>
  <c r="E82" i="48" s="1"/>
  <c r="G81" i="48"/>
  <c r="E81" i="48" s="1"/>
  <c r="G80" i="48"/>
  <c r="E80" i="48" s="1"/>
  <c r="G79" i="48"/>
  <c r="E79" i="48" s="1"/>
  <c r="G74" i="48"/>
  <c r="E74" i="48" s="1"/>
  <c r="G73" i="48"/>
  <c r="E73" i="48" s="1"/>
  <c r="G72" i="48"/>
  <c r="E72" i="48" s="1"/>
  <c r="G71" i="48"/>
  <c r="E71" i="48" s="1"/>
  <c r="G70" i="48"/>
  <c r="E70" i="48" s="1"/>
  <c r="G66" i="48"/>
  <c r="E66" i="48" s="1"/>
  <c r="G65" i="48"/>
  <c r="E65" i="48" s="1"/>
  <c r="G64" i="48"/>
  <c r="E64" i="48" s="1"/>
  <c r="G63" i="48"/>
  <c r="E63" i="48" s="1"/>
  <c r="G62" i="48"/>
  <c r="E62" i="48" s="1"/>
  <c r="G58" i="48"/>
  <c r="E58" i="48" s="1"/>
  <c r="G57" i="48"/>
  <c r="E57" i="48" s="1"/>
  <c r="G56" i="48"/>
  <c r="E56" i="48" s="1"/>
  <c r="G55" i="48"/>
  <c r="E55" i="48" s="1"/>
  <c r="G54" i="48"/>
  <c r="E54" i="48" s="1"/>
  <c r="G49" i="48"/>
  <c r="E49" i="48" s="1"/>
  <c r="G48" i="48"/>
  <c r="E48" i="48" s="1"/>
  <c r="G47" i="48"/>
  <c r="E47" i="48" s="1"/>
  <c r="G46" i="48"/>
  <c r="E46" i="48" s="1"/>
  <c r="G45" i="48"/>
  <c r="E45" i="48" s="1"/>
  <c r="G41" i="48"/>
  <c r="G40" i="48"/>
  <c r="E40" i="48" s="1"/>
  <c r="G39" i="48"/>
  <c r="E39" i="48" s="1"/>
  <c r="G38" i="48"/>
  <c r="E38" i="48" s="1"/>
  <c r="G37" i="48"/>
  <c r="E37" i="48" s="1"/>
  <c r="G33" i="48"/>
  <c r="E33" i="48" s="1"/>
  <c r="G32" i="48"/>
  <c r="E32" i="48" s="1"/>
  <c r="G31" i="48"/>
  <c r="E31" i="48" s="1"/>
  <c r="G30" i="48"/>
  <c r="E30" i="48" s="1"/>
  <c r="G29" i="48"/>
  <c r="E29" i="48" s="1"/>
  <c r="G25" i="48"/>
  <c r="E25" i="48" s="1"/>
  <c r="G24" i="48"/>
  <c r="E24" i="48" s="1"/>
  <c r="G23" i="48"/>
  <c r="E23" i="48" s="1"/>
  <c r="G22" i="48"/>
  <c r="E22" i="48" s="1"/>
  <c r="G21" i="48"/>
  <c r="E21" i="48" s="1"/>
  <c r="G17" i="48"/>
  <c r="E17" i="48" s="1"/>
  <c r="L9" i="52" s="1"/>
  <c r="G16" i="48"/>
  <c r="E16" i="48" s="1"/>
  <c r="G15" i="48"/>
  <c r="E15" i="48" s="1"/>
  <c r="G14" i="48"/>
  <c r="E14" i="48" s="1"/>
  <c r="G13" i="48"/>
  <c r="E13" i="48" s="1"/>
  <c r="G9" i="48"/>
  <c r="E9" i="48" s="1"/>
  <c r="G8" i="48"/>
  <c r="E8" i="48" s="1"/>
  <c r="G7" i="48"/>
  <c r="E7" i="48" s="1"/>
  <c r="G6" i="48"/>
  <c r="E6" i="48" s="1"/>
  <c r="G5" i="48"/>
  <c r="E5" i="48" s="1"/>
  <c r="P17" i="51"/>
  <c r="I6" i="51" s="1"/>
  <c r="R15" i="51"/>
  <c r="R17" i="51" s="1"/>
  <c r="M17" i="51"/>
  <c r="J15" i="51"/>
  <c r="V15" i="51"/>
  <c r="P6" i="51"/>
  <c r="O30" i="49" s="1"/>
  <c r="O6" i="51"/>
  <c r="N11" i="49" s="1"/>
  <c r="L6" i="51"/>
  <c r="M11" i="49" s="1"/>
  <c r="R62" i="49"/>
  <c r="I123" i="49" s="1"/>
  <c r="D330" i="48" s="1"/>
  <c r="H330" i="48" s="1"/>
  <c r="F330" i="48" s="1"/>
  <c r="R61" i="49"/>
  <c r="L122" i="49" s="1"/>
  <c r="D324" i="48" s="1"/>
  <c r="R60" i="49"/>
  <c r="K121" i="49" s="1"/>
  <c r="D315" i="48" s="1"/>
  <c r="R52" i="49"/>
  <c r="R58" i="49" s="1"/>
  <c r="I119" i="49" s="1"/>
  <c r="D305" i="48" s="1"/>
  <c r="H305" i="48" s="1"/>
  <c r="F305" i="48" s="1"/>
  <c r="L52" i="49"/>
  <c r="K52" i="49"/>
  <c r="K113" i="49" s="1"/>
  <c r="J52" i="49"/>
  <c r="I52" i="49"/>
  <c r="H52" i="49"/>
  <c r="R51" i="49"/>
  <c r="L112" i="49" s="1"/>
  <c r="R44" i="49"/>
  <c r="L44" i="49"/>
  <c r="K44" i="49"/>
  <c r="J44" i="49"/>
  <c r="I44" i="49"/>
  <c r="H44" i="49"/>
  <c r="R43" i="49"/>
  <c r="L104" i="49" s="1"/>
  <c r="D208" i="48" s="1"/>
  <c r="R40" i="49"/>
  <c r="H101" i="49" s="1"/>
  <c r="D195" i="48" s="1"/>
  <c r="R38" i="49"/>
  <c r="L99" i="49" s="1"/>
  <c r="D191" i="48" s="1"/>
  <c r="R37" i="49"/>
  <c r="R35" i="49"/>
  <c r="I96" i="49" s="1"/>
  <c r="D171" i="48" s="1"/>
  <c r="R34" i="49"/>
  <c r="L95" i="49" s="1"/>
  <c r="D166" i="48" s="1"/>
  <c r="R33" i="49"/>
  <c r="L94" i="49" s="1"/>
  <c r="D158" i="48" s="1"/>
  <c r="R32" i="49"/>
  <c r="K93" i="49" s="1"/>
  <c r="D148" i="48" s="1"/>
  <c r="R30" i="49"/>
  <c r="L91" i="49" s="1"/>
  <c r="D141" i="48" s="1"/>
  <c r="R29" i="49"/>
  <c r="R28" i="49"/>
  <c r="R27" i="49"/>
  <c r="L88" i="49" s="1"/>
  <c r="D116" i="48" s="1"/>
  <c r="R25" i="49"/>
  <c r="J86" i="49" s="1"/>
  <c r="D106" i="48" s="1"/>
  <c r="R24" i="49"/>
  <c r="L85" i="49" s="1"/>
  <c r="D99" i="48" s="1"/>
  <c r="R23" i="49"/>
  <c r="L84" i="49" s="1"/>
  <c r="D91" i="48" s="1"/>
  <c r="R22" i="49"/>
  <c r="H83" i="49" s="1"/>
  <c r="D79" i="48" s="1"/>
  <c r="R21" i="49"/>
  <c r="R18" i="49"/>
  <c r="R17" i="49"/>
  <c r="K78" i="49" s="1"/>
  <c r="D57" i="48" s="1"/>
  <c r="R16" i="49"/>
  <c r="L77" i="49" s="1"/>
  <c r="D49" i="48" s="1"/>
  <c r="R15" i="49"/>
  <c r="L76" i="49" s="1"/>
  <c r="D41" i="48" s="1"/>
  <c r="R14" i="49"/>
  <c r="L75" i="49" s="1"/>
  <c r="D33" i="48" s="1"/>
  <c r="R13" i="49"/>
  <c r="I74" i="49" s="1"/>
  <c r="D22" i="48" s="1"/>
  <c r="R11" i="49"/>
  <c r="R9" i="49"/>
  <c r="A335" i="48"/>
  <c r="E333" i="48"/>
  <c r="E331" i="48"/>
  <c r="E330" i="48"/>
  <c r="E329" i="48"/>
  <c r="A326" i="48"/>
  <c r="A318" i="48"/>
  <c r="A260" i="48"/>
  <c r="D258" i="48"/>
  <c r="A210" i="48"/>
  <c r="A201" i="48"/>
  <c r="A193" i="48"/>
  <c r="A185" i="48"/>
  <c r="A176" i="48"/>
  <c r="A168" i="48"/>
  <c r="E165" i="48"/>
  <c r="E164" i="48"/>
  <c r="A160" i="48"/>
  <c r="A151" i="48"/>
  <c r="A143" i="48"/>
  <c r="A135" i="48"/>
  <c r="A126" i="48"/>
  <c r="A118" i="48"/>
  <c r="A110" i="48"/>
  <c r="A101" i="48"/>
  <c r="A93" i="48"/>
  <c r="A85" i="48"/>
  <c r="A76" i="48"/>
  <c r="A68" i="48"/>
  <c r="A60" i="48"/>
  <c r="A51" i="48"/>
  <c r="A43" i="48"/>
  <c r="A35" i="48"/>
  <c r="A27" i="48"/>
  <c r="A19" i="48"/>
  <c r="A11" i="48"/>
  <c r="L10" i="48"/>
  <c r="L11" i="48" s="1"/>
  <c r="J10" i="48"/>
  <c r="J104" i="49" l="1"/>
  <c r="D206" i="48" s="1"/>
  <c r="K104" i="49"/>
  <c r="D207" i="48" s="1"/>
  <c r="I76" i="49"/>
  <c r="D38" i="48" s="1"/>
  <c r="K76" i="49"/>
  <c r="D40" i="48" s="1"/>
  <c r="H77" i="49"/>
  <c r="D45" i="48" s="1"/>
  <c r="I77" i="49"/>
  <c r="D46" i="48" s="1"/>
  <c r="H46" i="48" s="1"/>
  <c r="F46" i="48" s="1"/>
  <c r="I78" i="49"/>
  <c r="D55" i="48" s="1"/>
  <c r="H104" i="49"/>
  <c r="D204" i="48" s="1"/>
  <c r="I104" i="49"/>
  <c r="D205" i="48" s="1"/>
  <c r="H205" i="48" s="1"/>
  <c r="F205" i="48" s="1"/>
  <c r="J113" i="49"/>
  <c r="L101" i="49"/>
  <c r="D199" i="48" s="1"/>
  <c r="L113" i="49"/>
  <c r="J77" i="49"/>
  <c r="D47" i="48" s="1"/>
  <c r="K77" i="49"/>
  <c r="D48" i="48" s="1"/>
  <c r="H78" i="49"/>
  <c r="D54" i="48" s="1"/>
  <c r="L78" i="49"/>
  <c r="D58" i="48" s="1"/>
  <c r="I101" i="49"/>
  <c r="D196" i="48" s="1"/>
  <c r="H113" i="49"/>
  <c r="J101" i="49"/>
  <c r="D197" i="48" s="1"/>
  <c r="I113" i="49"/>
  <c r="K101" i="49"/>
  <c r="D198" i="48" s="1"/>
  <c r="H198" i="48" s="1"/>
  <c r="F198" i="48" s="1"/>
  <c r="K123" i="49"/>
  <c r="D332" i="48" s="1"/>
  <c r="L123" i="49"/>
  <c r="D333" i="48" s="1"/>
  <c r="H333" i="48" s="1"/>
  <c r="F333" i="48" s="1"/>
  <c r="J78" i="49"/>
  <c r="D56" i="48" s="1"/>
  <c r="Q11" i="49"/>
  <c r="F9" i="52" s="1"/>
  <c r="M9" i="52" s="1"/>
  <c r="H85" i="49"/>
  <c r="D95" i="48" s="1"/>
  <c r="I85" i="49"/>
  <c r="D96" i="48" s="1"/>
  <c r="H96" i="48" s="1"/>
  <c r="F96" i="48" s="1"/>
  <c r="J123" i="49"/>
  <c r="D331" i="48" s="1"/>
  <c r="H331" i="48" s="1"/>
  <c r="F331" i="48" s="1"/>
  <c r="L93" i="49"/>
  <c r="D149" i="48" s="1"/>
  <c r="J96" i="49"/>
  <c r="D172" i="48" s="1"/>
  <c r="K96" i="49"/>
  <c r="D173" i="48" s="1"/>
  <c r="L96" i="49"/>
  <c r="D174" i="48" s="1"/>
  <c r="H174" i="48" s="1"/>
  <c r="F174" i="48" s="1"/>
  <c r="K122" i="49"/>
  <c r="D323" i="48" s="1"/>
  <c r="H323" i="48" s="1"/>
  <c r="F323" i="48" s="1"/>
  <c r="I99" i="49"/>
  <c r="D188" i="48" s="1"/>
  <c r="H188" i="48" s="1"/>
  <c r="F188" i="48" s="1"/>
  <c r="K99" i="49"/>
  <c r="D190" i="48" s="1"/>
  <c r="H190" i="48" s="1"/>
  <c r="F190" i="48" s="1"/>
  <c r="K85" i="49"/>
  <c r="D98" i="48" s="1"/>
  <c r="H98" i="48" s="1"/>
  <c r="F98" i="48" s="1"/>
  <c r="H88" i="49"/>
  <c r="D112" i="48" s="1"/>
  <c r="H112" i="48" s="1"/>
  <c r="F112" i="48" s="1"/>
  <c r="H158" i="48"/>
  <c r="F158" i="48" s="1"/>
  <c r="H57" i="48"/>
  <c r="F57" i="48" s="1"/>
  <c r="H91" i="49"/>
  <c r="D137" i="48" s="1"/>
  <c r="H137" i="48" s="1"/>
  <c r="F137" i="48" s="1"/>
  <c r="I83" i="49"/>
  <c r="D80" i="48" s="1"/>
  <c r="H80" i="48" s="1"/>
  <c r="F80" i="48" s="1"/>
  <c r="J83" i="49"/>
  <c r="D81" i="48" s="1"/>
  <c r="H81" i="48" s="1"/>
  <c r="F81" i="48" s="1"/>
  <c r="J74" i="49"/>
  <c r="D23" i="48" s="1"/>
  <c r="H23" i="48" s="1"/>
  <c r="F23" i="48" s="1"/>
  <c r="K83" i="49"/>
  <c r="D82" i="48" s="1"/>
  <c r="H82" i="48" s="1"/>
  <c r="F82" i="48" s="1"/>
  <c r="K74" i="49"/>
  <c r="D24" i="48" s="1"/>
  <c r="H24" i="48" s="1"/>
  <c r="F24" i="48" s="1"/>
  <c r="L83" i="49"/>
  <c r="D83" i="48" s="1"/>
  <c r="H83" i="48" s="1"/>
  <c r="F83" i="48" s="1"/>
  <c r="H93" i="49"/>
  <c r="D145" i="48" s="1"/>
  <c r="H145" i="48" s="1"/>
  <c r="F145" i="48" s="1"/>
  <c r="H112" i="49"/>
  <c r="D254" i="48" s="1"/>
  <c r="H254" i="48" s="1"/>
  <c r="F254" i="48" s="1"/>
  <c r="L74" i="49"/>
  <c r="D25" i="48" s="1"/>
  <c r="H25" i="48" s="1"/>
  <c r="F25" i="48" s="1"/>
  <c r="H84" i="49"/>
  <c r="D87" i="48" s="1"/>
  <c r="H87" i="48" s="1"/>
  <c r="F87" i="48" s="1"/>
  <c r="I93" i="49"/>
  <c r="D146" i="48" s="1"/>
  <c r="H146" i="48" s="1"/>
  <c r="F146" i="48" s="1"/>
  <c r="I112" i="49"/>
  <c r="D255" i="48" s="1"/>
  <c r="H255" i="48" s="1"/>
  <c r="F255" i="48" s="1"/>
  <c r="H75" i="49"/>
  <c r="D29" i="48" s="1"/>
  <c r="H29" i="48" s="1"/>
  <c r="F29" i="48" s="1"/>
  <c r="I84" i="49"/>
  <c r="D88" i="48" s="1"/>
  <c r="H88" i="48" s="1"/>
  <c r="F88" i="48" s="1"/>
  <c r="J93" i="49"/>
  <c r="D147" i="48" s="1"/>
  <c r="H147" i="48" s="1"/>
  <c r="F147" i="48" s="1"/>
  <c r="J112" i="49"/>
  <c r="D256" i="48" s="1"/>
  <c r="J85" i="49"/>
  <c r="D97" i="48" s="1"/>
  <c r="H97" i="48" s="1"/>
  <c r="F97" i="48" s="1"/>
  <c r="H116" i="48"/>
  <c r="F116" i="48" s="1"/>
  <c r="H47" i="48"/>
  <c r="F47" i="48" s="1"/>
  <c r="H86" i="49"/>
  <c r="D104" i="48" s="1"/>
  <c r="H104" i="48" s="1"/>
  <c r="F104" i="48" s="1"/>
  <c r="H49" i="48"/>
  <c r="F49" i="48" s="1"/>
  <c r="K86" i="49"/>
  <c r="D107" i="48" s="1"/>
  <c r="H107" i="48" s="1"/>
  <c r="F107" i="48" s="1"/>
  <c r="L86" i="49"/>
  <c r="D108" i="48" s="1"/>
  <c r="H108" i="48" s="1"/>
  <c r="F108" i="48" s="1"/>
  <c r="I88" i="49"/>
  <c r="D113" i="48" s="1"/>
  <c r="H113" i="48" s="1"/>
  <c r="F113" i="48" s="1"/>
  <c r="J88" i="49"/>
  <c r="D114" i="48" s="1"/>
  <c r="H114" i="48" s="1"/>
  <c r="F114" i="48" s="1"/>
  <c r="E22" i="51"/>
  <c r="G22" i="51" s="1"/>
  <c r="F67" i="52"/>
  <c r="O67" i="52" s="1"/>
  <c r="F69" i="52"/>
  <c r="O69" i="52" s="1"/>
  <c r="I69" i="52" s="1"/>
  <c r="F68" i="52"/>
  <c r="O68" i="52" s="1"/>
  <c r="I68" i="52" s="1"/>
  <c r="F64" i="52"/>
  <c r="O64" i="52" s="1"/>
  <c r="I64" i="52" s="1"/>
  <c r="F63" i="52"/>
  <c r="O63" i="52" s="1"/>
  <c r="K88" i="49"/>
  <c r="D115" i="48" s="1"/>
  <c r="H115" i="48" s="1"/>
  <c r="F115" i="48" s="1"/>
  <c r="H74" i="49"/>
  <c r="D21" i="48" s="1"/>
  <c r="H21" i="48" s="1"/>
  <c r="F21" i="48" s="1"/>
  <c r="I91" i="49"/>
  <c r="D138" i="48" s="1"/>
  <c r="H138" i="48" s="1"/>
  <c r="F138" i="48" s="1"/>
  <c r="J91" i="49"/>
  <c r="D139" i="48" s="1"/>
  <c r="H139" i="48" s="1"/>
  <c r="F139" i="48" s="1"/>
  <c r="K91" i="49"/>
  <c r="D140" i="48" s="1"/>
  <c r="H140" i="48" s="1"/>
  <c r="F140" i="48" s="1"/>
  <c r="K75" i="49"/>
  <c r="D32" i="48" s="1"/>
  <c r="H32" i="48" s="1"/>
  <c r="F32" i="48" s="1"/>
  <c r="K84" i="49"/>
  <c r="D90" i="48" s="1"/>
  <c r="H90" i="48" s="1"/>
  <c r="F90" i="48" s="1"/>
  <c r="K112" i="49"/>
  <c r="D257" i="48" s="1"/>
  <c r="H257" i="48" s="1"/>
  <c r="F257" i="48" s="1"/>
  <c r="H55" i="48"/>
  <c r="F55" i="48" s="1"/>
  <c r="J11" i="48"/>
  <c r="H149" i="48"/>
  <c r="F149" i="48" s="1"/>
  <c r="H54" i="48"/>
  <c r="F54" i="48" s="1"/>
  <c r="H256" i="48"/>
  <c r="F256" i="48" s="1"/>
  <c r="H172" i="48"/>
  <c r="F172" i="48" s="1"/>
  <c r="H171" i="48"/>
  <c r="F171" i="48" s="1"/>
  <c r="H91" i="48"/>
  <c r="F91" i="48" s="1"/>
  <c r="H95" i="48"/>
  <c r="F95" i="48" s="1"/>
  <c r="H48" i="48"/>
  <c r="F48" i="48" s="1"/>
  <c r="H141" i="48"/>
  <c r="F141" i="48" s="1"/>
  <c r="H58" i="48"/>
  <c r="F58" i="48" s="1"/>
  <c r="H56" i="48"/>
  <c r="F56" i="48" s="1"/>
  <c r="H195" i="48"/>
  <c r="F195" i="48" s="1"/>
  <c r="H41" i="48"/>
  <c r="F41" i="48" s="1"/>
  <c r="H191" i="48"/>
  <c r="F191" i="48" s="1"/>
  <c r="H40" i="48"/>
  <c r="F40" i="48" s="1"/>
  <c r="H197" i="48"/>
  <c r="F197" i="48" s="1"/>
  <c r="H206" i="48"/>
  <c r="F206" i="48" s="1"/>
  <c r="H207" i="48"/>
  <c r="F207" i="48" s="1"/>
  <c r="H324" i="48"/>
  <c r="F324" i="48" s="1"/>
  <c r="H204" i="48"/>
  <c r="H208" i="48"/>
  <c r="F208" i="48" s="1"/>
  <c r="H38" i="48"/>
  <c r="F38" i="48" s="1"/>
  <c r="E41" i="48"/>
  <c r="H45" i="48"/>
  <c r="F45" i="48" s="1"/>
  <c r="H199" i="48"/>
  <c r="F199" i="48" s="1"/>
  <c r="O38" i="49"/>
  <c r="R6" i="51"/>
  <c r="P104" i="49" s="1"/>
  <c r="O86" i="49"/>
  <c r="P52" i="49"/>
  <c r="P54" i="49"/>
  <c r="O37" i="49"/>
  <c r="O18" i="49"/>
  <c r="P108" i="49"/>
  <c r="O13" i="49"/>
  <c r="O83" i="49"/>
  <c r="O28" i="49"/>
  <c r="O91" i="49"/>
  <c r="N72" i="49"/>
  <c r="P112" i="49"/>
  <c r="O35" i="49"/>
  <c r="O22" i="49"/>
  <c r="O25" i="49"/>
  <c r="P115" i="49"/>
  <c r="J6" i="51"/>
  <c r="M122" i="49" s="1"/>
  <c r="N21" i="49"/>
  <c r="N29" i="49"/>
  <c r="K6" i="51"/>
  <c r="H332" i="48"/>
  <c r="F332" i="48" s="1"/>
  <c r="E324" i="48"/>
  <c r="H315" i="48"/>
  <c r="F315" i="48" s="1"/>
  <c r="E195" i="48"/>
  <c r="H196" i="48"/>
  <c r="F196" i="48" s="1"/>
  <c r="H173" i="48"/>
  <c r="F173" i="48" s="1"/>
  <c r="H166" i="48"/>
  <c r="F166" i="48" s="1"/>
  <c r="H148" i="48"/>
  <c r="F148" i="48" s="1"/>
  <c r="H106" i="48"/>
  <c r="F106" i="48" s="1"/>
  <c r="H99" i="48"/>
  <c r="F99" i="48" s="1"/>
  <c r="H33" i="48"/>
  <c r="F33" i="48" s="1"/>
  <c r="K119" i="49"/>
  <c r="D307" i="48" s="1"/>
  <c r="H307" i="48" s="1"/>
  <c r="F307" i="48" s="1"/>
  <c r="H258" i="48"/>
  <c r="F258" i="48" s="1"/>
  <c r="L119" i="49"/>
  <c r="D308" i="48" s="1"/>
  <c r="H308" i="48" s="1"/>
  <c r="F308" i="48" s="1"/>
  <c r="L98" i="49"/>
  <c r="D183" i="48" s="1"/>
  <c r="H183" i="48" s="1"/>
  <c r="F183" i="48" s="1"/>
  <c r="K98" i="49"/>
  <c r="D182" i="48" s="1"/>
  <c r="H182" i="48" s="1"/>
  <c r="F182" i="48" s="1"/>
  <c r="J98" i="49"/>
  <c r="D181" i="48" s="1"/>
  <c r="H181" i="48" s="1"/>
  <c r="F181" i="48" s="1"/>
  <c r="I98" i="49"/>
  <c r="D180" i="48" s="1"/>
  <c r="H180" i="48" s="1"/>
  <c r="F180" i="48" s="1"/>
  <c r="H98" i="49"/>
  <c r="D179" i="48" s="1"/>
  <c r="H179" i="48" s="1"/>
  <c r="M21" i="49"/>
  <c r="M82" i="49"/>
  <c r="M77" i="49"/>
  <c r="M95" i="49"/>
  <c r="M88" i="49"/>
  <c r="M76" i="49"/>
  <c r="M72" i="49"/>
  <c r="M27" i="49"/>
  <c r="M90" i="49"/>
  <c r="M34" i="49"/>
  <c r="M17" i="49"/>
  <c r="M94" i="49"/>
  <c r="M16" i="49"/>
  <c r="M33" i="49"/>
  <c r="M75" i="49"/>
  <c r="M15" i="49"/>
  <c r="M78" i="49"/>
  <c r="M14" i="49"/>
  <c r="J119" i="49"/>
  <c r="D306" i="48" s="1"/>
  <c r="H306" i="48" s="1"/>
  <c r="F306" i="48" s="1"/>
  <c r="L82" i="49"/>
  <c r="D74" i="48" s="1"/>
  <c r="H74" i="48" s="1"/>
  <c r="F74" i="48" s="1"/>
  <c r="I82" i="49"/>
  <c r="D71" i="48" s="1"/>
  <c r="H71" i="48" s="1"/>
  <c r="F71" i="48" s="1"/>
  <c r="K82" i="49"/>
  <c r="D73" i="48" s="1"/>
  <c r="H73" i="48" s="1"/>
  <c r="F73" i="48" s="1"/>
  <c r="J82" i="49"/>
  <c r="D72" i="48" s="1"/>
  <c r="H72" i="48" s="1"/>
  <c r="F72" i="48" s="1"/>
  <c r="H82" i="49"/>
  <c r="D70" i="48" s="1"/>
  <c r="H70" i="48" s="1"/>
  <c r="L70" i="49"/>
  <c r="D9" i="48" s="1"/>
  <c r="H9" i="48" s="1"/>
  <c r="F9" i="48" s="1"/>
  <c r="K70" i="49"/>
  <c r="D8" i="48" s="1"/>
  <c r="H8" i="48" s="1"/>
  <c r="F8" i="48" s="1"/>
  <c r="J70" i="49"/>
  <c r="D7" i="48" s="1"/>
  <c r="H7" i="48" s="1"/>
  <c r="F7" i="48" s="1"/>
  <c r="I70" i="49"/>
  <c r="D6" i="48" s="1"/>
  <c r="H6" i="48" s="1"/>
  <c r="F6" i="48" s="1"/>
  <c r="H70" i="49"/>
  <c r="D5" i="48" s="1"/>
  <c r="H5" i="48" s="1"/>
  <c r="R57" i="49"/>
  <c r="R56" i="49"/>
  <c r="R55" i="49"/>
  <c r="R54" i="49"/>
  <c r="R53" i="49"/>
  <c r="L90" i="49"/>
  <c r="D133" i="48" s="1"/>
  <c r="H133" i="48" s="1"/>
  <c r="F133" i="48" s="1"/>
  <c r="K90" i="49"/>
  <c r="D132" i="48" s="1"/>
  <c r="H132" i="48" s="1"/>
  <c r="F132" i="48" s="1"/>
  <c r="J90" i="49"/>
  <c r="D131" i="48" s="1"/>
  <c r="H131" i="48" s="1"/>
  <c r="F131" i="48" s="1"/>
  <c r="I90" i="49"/>
  <c r="D130" i="48" s="1"/>
  <c r="H130" i="48" s="1"/>
  <c r="F130" i="48" s="1"/>
  <c r="H90" i="49"/>
  <c r="D129" i="48" s="1"/>
  <c r="H129" i="48" s="1"/>
  <c r="N82" i="49"/>
  <c r="N77" i="49"/>
  <c r="N27" i="49"/>
  <c r="N90" i="49"/>
  <c r="N76" i="49"/>
  <c r="N34" i="49"/>
  <c r="N17" i="49"/>
  <c r="N94" i="49"/>
  <c r="N16" i="49"/>
  <c r="N33" i="49"/>
  <c r="N75" i="49"/>
  <c r="N15" i="49"/>
  <c r="N78" i="49"/>
  <c r="N14" i="49"/>
  <c r="N88" i="49"/>
  <c r="L72" i="49"/>
  <c r="D17" i="48" s="1"/>
  <c r="H17" i="48" s="1"/>
  <c r="F17" i="48" s="1"/>
  <c r="K72" i="49"/>
  <c r="D16" i="48" s="1"/>
  <c r="H16" i="48" s="1"/>
  <c r="F16" i="48" s="1"/>
  <c r="J72" i="49"/>
  <c r="D15" i="48" s="1"/>
  <c r="H15" i="48" s="1"/>
  <c r="F15" i="48" s="1"/>
  <c r="I72" i="49"/>
  <c r="D14" i="48" s="1"/>
  <c r="H14" i="48" s="1"/>
  <c r="F14" i="48" s="1"/>
  <c r="H72" i="49"/>
  <c r="D13" i="48" s="1"/>
  <c r="H13" i="48" s="1"/>
  <c r="I105" i="49"/>
  <c r="N95" i="49"/>
  <c r="R49" i="49"/>
  <c r="L105" i="49"/>
  <c r="R48" i="49"/>
  <c r="K105" i="49"/>
  <c r="H105" i="49"/>
  <c r="R47" i="49"/>
  <c r="R46" i="49"/>
  <c r="J105" i="49"/>
  <c r="H22" i="48"/>
  <c r="F22" i="48" s="1"/>
  <c r="H79" i="48"/>
  <c r="R45" i="49"/>
  <c r="L121" i="49"/>
  <c r="D316" i="48" s="1"/>
  <c r="H316" i="48" s="1"/>
  <c r="F316" i="48" s="1"/>
  <c r="J121" i="49"/>
  <c r="D314" i="48" s="1"/>
  <c r="H314" i="48" s="1"/>
  <c r="F314" i="48" s="1"/>
  <c r="I121" i="49"/>
  <c r="D313" i="48" s="1"/>
  <c r="H313" i="48" s="1"/>
  <c r="F313" i="48" s="1"/>
  <c r="H121" i="49"/>
  <c r="D312" i="48" s="1"/>
  <c r="H312" i="48" s="1"/>
  <c r="L79" i="49"/>
  <c r="D66" i="48" s="1"/>
  <c r="H66" i="48" s="1"/>
  <c r="F66" i="48" s="1"/>
  <c r="K79" i="49"/>
  <c r="D65" i="48" s="1"/>
  <c r="H65" i="48" s="1"/>
  <c r="F65" i="48" s="1"/>
  <c r="J79" i="49"/>
  <c r="D64" i="48" s="1"/>
  <c r="H64" i="48" s="1"/>
  <c r="F64" i="48" s="1"/>
  <c r="I79" i="49"/>
  <c r="D63" i="48" s="1"/>
  <c r="H63" i="48" s="1"/>
  <c r="F63" i="48" s="1"/>
  <c r="H79" i="49"/>
  <c r="D62" i="48" s="1"/>
  <c r="H62" i="48" s="1"/>
  <c r="L89" i="49"/>
  <c r="D124" i="48" s="1"/>
  <c r="H124" i="48" s="1"/>
  <c r="F124" i="48" s="1"/>
  <c r="K89" i="49"/>
  <c r="D123" i="48" s="1"/>
  <c r="H123" i="48" s="1"/>
  <c r="F123" i="48" s="1"/>
  <c r="J89" i="49"/>
  <c r="D122" i="48" s="1"/>
  <c r="H122" i="48" s="1"/>
  <c r="F122" i="48" s="1"/>
  <c r="I89" i="49"/>
  <c r="D121" i="48" s="1"/>
  <c r="H121" i="48" s="1"/>
  <c r="F121" i="48" s="1"/>
  <c r="H89" i="49"/>
  <c r="D120" i="48" s="1"/>
  <c r="H120" i="48" s="1"/>
  <c r="H96" i="49"/>
  <c r="D170" i="48" s="1"/>
  <c r="H170" i="48" s="1"/>
  <c r="H119" i="49"/>
  <c r="D304" i="48" s="1"/>
  <c r="H304" i="48" s="1"/>
  <c r="M29" i="49"/>
  <c r="Q29" i="49" s="1"/>
  <c r="F27" i="52" s="1"/>
  <c r="I75" i="49"/>
  <c r="D30" i="48" s="1"/>
  <c r="H30" i="48" s="1"/>
  <c r="F30" i="48" s="1"/>
  <c r="J75" i="49"/>
  <c r="D31" i="48" s="1"/>
  <c r="H31" i="48" s="1"/>
  <c r="F31" i="48" s="1"/>
  <c r="J84" i="49"/>
  <c r="D89" i="48" s="1"/>
  <c r="H89" i="48" s="1"/>
  <c r="F89" i="48" s="1"/>
  <c r="O101" i="49"/>
  <c r="O96" i="49"/>
  <c r="O93" i="49"/>
  <c r="O89" i="49"/>
  <c r="O85" i="49"/>
  <c r="O74" i="49"/>
  <c r="O60" i="49"/>
  <c r="O23" i="49"/>
  <c r="O40" i="49"/>
  <c r="O84" i="49"/>
  <c r="H94" i="49"/>
  <c r="D154" i="48" s="1"/>
  <c r="H154" i="48" s="1"/>
  <c r="P109" i="49"/>
  <c r="P106" i="49"/>
  <c r="P62" i="49"/>
  <c r="P55" i="49"/>
  <c r="P53" i="49"/>
  <c r="P47" i="49"/>
  <c r="I94" i="49"/>
  <c r="D155" i="48" s="1"/>
  <c r="H155" i="48" s="1"/>
  <c r="F155" i="48" s="1"/>
  <c r="O32" i="49"/>
  <c r="J94" i="49"/>
  <c r="D156" i="48" s="1"/>
  <c r="H156" i="48" s="1"/>
  <c r="F156" i="48" s="1"/>
  <c r="O98" i="49"/>
  <c r="O121" i="49"/>
  <c r="F15" i="51"/>
  <c r="F17" i="51" s="1"/>
  <c r="K94" i="49"/>
  <c r="D157" i="48" s="1"/>
  <c r="H157" i="48" s="1"/>
  <c r="F157" i="48" s="1"/>
  <c r="O24" i="49"/>
  <c r="H76" i="49"/>
  <c r="D37" i="48" s="1"/>
  <c r="H37" i="48" s="1"/>
  <c r="O79" i="49"/>
  <c r="H99" i="49"/>
  <c r="D187" i="48" s="1"/>
  <c r="H187" i="48" s="1"/>
  <c r="H122" i="49"/>
  <c r="D320" i="48" s="1"/>
  <c r="H320" i="48" s="1"/>
  <c r="E191" i="48"/>
  <c r="P56" i="49"/>
  <c r="I122" i="49"/>
  <c r="D321" i="48" s="1"/>
  <c r="H321" i="48" s="1"/>
  <c r="F321" i="48" s="1"/>
  <c r="P49" i="49"/>
  <c r="O70" i="49"/>
  <c r="J76" i="49"/>
  <c r="D39" i="48" s="1"/>
  <c r="H39" i="48" s="1"/>
  <c r="F39" i="48" s="1"/>
  <c r="J99" i="49"/>
  <c r="D189" i="48" s="1"/>
  <c r="H189" i="48" s="1"/>
  <c r="F189" i="48" s="1"/>
  <c r="J122" i="49"/>
  <c r="D322" i="48" s="1"/>
  <c r="H322" i="48" s="1"/>
  <c r="F322" i="48" s="1"/>
  <c r="H95" i="49"/>
  <c r="D162" i="48" s="1"/>
  <c r="H162" i="48" s="1"/>
  <c r="I86" i="49"/>
  <c r="D105" i="48" s="1"/>
  <c r="H105" i="48" s="1"/>
  <c r="F105" i="48" s="1"/>
  <c r="I95" i="49"/>
  <c r="D163" i="48" s="1"/>
  <c r="H163" i="48" s="1"/>
  <c r="F163" i="48" s="1"/>
  <c r="O99" i="49"/>
  <c r="J95" i="49"/>
  <c r="D164" i="48" s="1"/>
  <c r="H164" i="48" s="1"/>
  <c r="F164" i="48" s="1"/>
  <c r="H123" i="49"/>
  <c r="D329" i="48" s="1"/>
  <c r="H329" i="48" s="1"/>
  <c r="O9" i="49"/>
  <c r="K95" i="49"/>
  <c r="D165" i="48" s="1"/>
  <c r="H165" i="48" s="1"/>
  <c r="F165" i="48" s="1"/>
  <c r="Q76" i="49" l="1"/>
  <c r="Q88" i="49"/>
  <c r="Q95" i="49"/>
  <c r="Q82" i="49"/>
  <c r="Q77" i="49"/>
  <c r="M35" i="49"/>
  <c r="Q35" i="49" s="1"/>
  <c r="F33" i="52" s="1"/>
  <c r="Q21" i="49"/>
  <c r="F19" i="52" s="1"/>
  <c r="P105" i="49"/>
  <c r="F304" i="48"/>
  <c r="H309" i="48"/>
  <c r="M107" i="49"/>
  <c r="Q14" i="49"/>
  <c r="F12" i="52" s="1"/>
  <c r="O66" i="52"/>
  <c r="I66" i="52" s="1"/>
  <c r="I67" i="52"/>
  <c r="P119" i="49"/>
  <c r="Q78" i="49"/>
  <c r="P123" i="49"/>
  <c r="Q15" i="49"/>
  <c r="F13" i="52" s="1"/>
  <c r="P107" i="49"/>
  <c r="Q75" i="49"/>
  <c r="Q33" i="49"/>
  <c r="F31" i="52" s="1"/>
  <c r="P57" i="49"/>
  <c r="P43" i="49"/>
  <c r="M104" i="49"/>
  <c r="Q104" i="49" s="1"/>
  <c r="Q16" i="49"/>
  <c r="F14" i="52" s="1"/>
  <c r="P61" i="49"/>
  <c r="M54" i="49"/>
  <c r="Q54" i="49" s="1"/>
  <c r="F52" i="52" s="1"/>
  <c r="M62" i="49"/>
  <c r="Q62" i="49" s="1"/>
  <c r="F60" i="52" s="1"/>
  <c r="Q34" i="49"/>
  <c r="F32" i="52" s="1"/>
  <c r="M79" i="49"/>
  <c r="Q79" i="49" s="1"/>
  <c r="Q90" i="49"/>
  <c r="P117" i="49"/>
  <c r="P48" i="49"/>
  <c r="M84" i="49"/>
  <c r="Q84" i="49" s="1"/>
  <c r="Q27" i="49"/>
  <c r="F25" i="52" s="1"/>
  <c r="P45" i="49"/>
  <c r="I63" i="52"/>
  <c r="O62" i="52"/>
  <c r="P113" i="49"/>
  <c r="P44" i="49"/>
  <c r="P114" i="49"/>
  <c r="P116" i="49"/>
  <c r="P46" i="49"/>
  <c r="P122" i="49"/>
  <c r="Q122" i="49" s="1"/>
  <c r="Q94" i="49"/>
  <c r="P58" i="49"/>
  <c r="Q17" i="49"/>
  <c r="F15" i="52" s="1"/>
  <c r="P118" i="49"/>
  <c r="P51" i="49"/>
  <c r="M60" i="49"/>
  <c r="Q60" i="49" s="1"/>
  <c r="F58" i="52" s="1"/>
  <c r="M28" i="49"/>
  <c r="Q28" i="49" s="1"/>
  <c r="F26" i="52" s="1"/>
  <c r="Q72" i="49"/>
  <c r="P110" i="49"/>
  <c r="H59" i="48"/>
  <c r="F59" i="48" s="1"/>
  <c r="F60" i="48" s="1"/>
  <c r="H142" i="48"/>
  <c r="F142" i="48" s="1"/>
  <c r="F143" i="48" s="1"/>
  <c r="H209" i="48"/>
  <c r="H210" i="48" s="1"/>
  <c r="L41" i="52" s="1"/>
  <c r="H117" i="48"/>
  <c r="F117" i="48" s="1"/>
  <c r="F118" i="48" s="1"/>
  <c r="F204" i="48"/>
  <c r="H50" i="48"/>
  <c r="M83" i="49"/>
  <c r="Q83" i="49" s="1"/>
  <c r="M86" i="49"/>
  <c r="Q86" i="49" s="1"/>
  <c r="M52" i="49"/>
  <c r="Q52" i="49" s="1"/>
  <c r="F50" i="52" s="1"/>
  <c r="M37" i="49"/>
  <c r="Q37" i="49" s="1"/>
  <c r="F35" i="52" s="1"/>
  <c r="M18" i="49"/>
  <c r="Q18" i="49" s="1"/>
  <c r="F16" i="52" s="1"/>
  <c r="M61" i="49"/>
  <c r="Q61" i="49" s="1"/>
  <c r="F59" i="52" s="1"/>
  <c r="M22" i="49"/>
  <c r="Q22" i="49" s="1"/>
  <c r="F20" i="52" s="1"/>
  <c r="M45" i="49"/>
  <c r="M46" i="49"/>
  <c r="M110" i="49"/>
  <c r="M24" i="49"/>
  <c r="Q24" i="49" s="1"/>
  <c r="F22" i="52" s="1"/>
  <c r="M56" i="49"/>
  <c r="Q56" i="49" s="1"/>
  <c r="F54" i="52" s="1"/>
  <c r="M25" i="49"/>
  <c r="Q25" i="49" s="1"/>
  <c r="F23" i="52" s="1"/>
  <c r="M51" i="49"/>
  <c r="M113" i="49"/>
  <c r="M23" i="49"/>
  <c r="Q23" i="49" s="1"/>
  <c r="F21" i="52" s="1"/>
  <c r="M47" i="49"/>
  <c r="Q47" i="49" s="1"/>
  <c r="F45" i="52" s="1"/>
  <c r="M112" i="49"/>
  <c r="Q112" i="49" s="1"/>
  <c r="M85" i="49"/>
  <c r="Q85" i="49" s="1"/>
  <c r="M93" i="49"/>
  <c r="Q93" i="49" s="1"/>
  <c r="M96" i="49"/>
  <c r="Q96" i="49" s="1"/>
  <c r="M106" i="49"/>
  <c r="Q106" i="49" s="1"/>
  <c r="M109" i="49"/>
  <c r="Q109" i="49" s="1"/>
  <c r="M57" i="49"/>
  <c r="M116" i="49"/>
  <c r="M99" i="49"/>
  <c r="Q99" i="49" s="1"/>
  <c r="M105" i="49"/>
  <c r="M108" i="49"/>
  <c r="Q108" i="49" s="1"/>
  <c r="M115" i="49"/>
  <c r="Q115" i="49" s="1"/>
  <c r="M121" i="49"/>
  <c r="Q121" i="49" s="1"/>
  <c r="M43" i="49"/>
  <c r="M74" i="49"/>
  <c r="Q74" i="49" s="1"/>
  <c r="M49" i="49"/>
  <c r="Q49" i="49" s="1"/>
  <c r="F47" i="52" s="1"/>
  <c r="M70" i="49"/>
  <c r="Q70" i="49" s="1"/>
  <c r="M117" i="49"/>
  <c r="Q117" i="49" s="1"/>
  <c r="M114" i="49"/>
  <c r="M9" i="49"/>
  <c r="Q9" i="49" s="1"/>
  <c r="F7" i="52" s="1"/>
  <c r="M119" i="49"/>
  <c r="Q119" i="49" s="1"/>
  <c r="M91" i="49"/>
  <c r="Q91" i="49" s="1"/>
  <c r="M32" i="49"/>
  <c r="Q32" i="49" s="1"/>
  <c r="F30" i="52" s="1"/>
  <c r="M118" i="49"/>
  <c r="M89" i="49"/>
  <c r="Q89" i="49" s="1"/>
  <c r="M38" i="49"/>
  <c r="Q38" i="49" s="1"/>
  <c r="F36" i="52" s="1"/>
  <c r="M44" i="49"/>
  <c r="M123" i="49"/>
  <c r="M40" i="49"/>
  <c r="Q40" i="49" s="1"/>
  <c r="F38" i="52" s="1"/>
  <c r="M48" i="49"/>
  <c r="M98" i="49"/>
  <c r="Q98" i="49" s="1"/>
  <c r="M55" i="49"/>
  <c r="Q55" i="49" s="1"/>
  <c r="F53" i="52" s="1"/>
  <c r="M101" i="49"/>
  <c r="Q101" i="49" s="1"/>
  <c r="M58" i="49"/>
  <c r="M30" i="49"/>
  <c r="Q30" i="49" s="1"/>
  <c r="F28" i="52" s="1"/>
  <c r="M53" i="49"/>
  <c r="Q53" i="49" s="1"/>
  <c r="F51" i="52" s="1"/>
  <c r="M13" i="49"/>
  <c r="Q13" i="49" s="1"/>
  <c r="F11" i="52" s="1"/>
  <c r="H200" i="48"/>
  <c r="H150" i="48"/>
  <c r="H109" i="48"/>
  <c r="H110" i="48" s="1"/>
  <c r="L23" i="52" s="1"/>
  <c r="H100" i="48"/>
  <c r="F100" i="48" s="1"/>
  <c r="F101" i="48" s="1"/>
  <c r="H134" i="48"/>
  <c r="F129" i="48"/>
  <c r="H75" i="48"/>
  <c r="F70" i="48"/>
  <c r="K114" i="49"/>
  <c r="D265" i="48" s="1"/>
  <c r="H265" i="48" s="1"/>
  <c r="F265" i="48" s="1"/>
  <c r="L114" i="49"/>
  <c r="D266" i="48" s="1"/>
  <c r="H266" i="48" s="1"/>
  <c r="F266" i="48" s="1"/>
  <c r="J114" i="49"/>
  <c r="D264" i="48" s="1"/>
  <c r="H264" i="48" s="1"/>
  <c r="F264" i="48" s="1"/>
  <c r="I114" i="49"/>
  <c r="D263" i="48" s="1"/>
  <c r="H263" i="48" s="1"/>
  <c r="F263" i="48" s="1"/>
  <c r="H114" i="49"/>
  <c r="D262" i="48" s="1"/>
  <c r="H262" i="48" s="1"/>
  <c r="K110" i="49"/>
  <c r="D248" i="48" s="1"/>
  <c r="H248" i="48" s="1"/>
  <c r="F248" i="48" s="1"/>
  <c r="J110" i="49"/>
  <c r="D247" i="48" s="1"/>
  <c r="H247" i="48" s="1"/>
  <c r="F247" i="48" s="1"/>
  <c r="I110" i="49"/>
  <c r="D246" i="48" s="1"/>
  <c r="H246" i="48" s="1"/>
  <c r="F246" i="48" s="1"/>
  <c r="H110" i="49"/>
  <c r="D245" i="48" s="1"/>
  <c r="H245" i="48" s="1"/>
  <c r="L110" i="49"/>
  <c r="D249" i="48" s="1"/>
  <c r="H249" i="48" s="1"/>
  <c r="F249" i="48" s="1"/>
  <c r="L116" i="49"/>
  <c r="D283" i="48" s="1"/>
  <c r="H283" i="48" s="1"/>
  <c r="F283" i="48" s="1"/>
  <c r="K116" i="49"/>
  <c r="D282" i="48" s="1"/>
  <c r="H282" i="48" s="1"/>
  <c r="F282" i="48" s="1"/>
  <c r="J116" i="49"/>
  <c r="D281" i="48" s="1"/>
  <c r="H281" i="48" s="1"/>
  <c r="F281" i="48" s="1"/>
  <c r="H116" i="49"/>
  <c r="D279" i="48" s="1"/>
  <c r="H279" i="48" s="1"/>
  <c r="I116" i="49"/>
  <c r="D280" i="48" s="1"/>
  <c r="H280" i="48" s="1"/>
  <c r="F280" i="48" s="1"/>
  <c r="L117" i="49"/>
  <c r="D291" i="48" s="1"/>
  <c r="H291" i="48" s="1"/>
  <c r="F291" i="48" s="1"/>
  <c r="K117" i="49"/>
  <c r="D290" i="48" s="1"/>
  <c r="H290" i="48" s="1"/>
  <c r="F290" i="48" s="1"/>
  <c r="J117" i="49"/>
  <c r="D289" i="48" s="1"/>
  <c r="H289" i="48" s="1"/>
  <c r="F289" i="48" s="1"/>
  <c r="I117" i="49"/>
  <c r="D288" i="48" s="1"/>
  <c r="H288" i="48" s="1"/>
  <c r="F288" i="48" s="1"/>
  <c r="H117" i="49"/>
  <c r="D287" i="48" s="1"/>
  <c r="H287" i="48" s="1"/>
  <c r="H34" i="48"/>
  <c r="L118" i="49"/>
  <c r="D299" i="48" s="1"/>
  <c r="H299" i="48" s="1"/>
  <c r="F299" i="48" s="1"/>
  <c r="K118" i="49"/>
  <c r="D298" i="48" s="1"/>
  <c r="H298" i="48" s="1"/>
  <c r="F298" i="48" s="1"/>
  <c r="J118" i="49"/>
  <c r="D297" i="48" s="1"/>
  <c r="H297" i="48" s="1"/>
  <c r="F297" i="48" s="1"/>
  <c r="H118" i="49"/>
  <c r="D295" i="48" s="1"/>
  <c r="H295" i="48" s="1"/>
  <c r="I118" i="49"/>
  <c r="D296" i="48" s="1"/>
  <c r="H296" i="48" s="1"/>
  <c r="F296" i="48" s="1"/>
  <c r="H167" i="48"/>
  <c r="F162" i="48"/>
  <c r="F329" i="48"/>
  <c r="H334" i="48"/>
  <c r="F79" i="48"/>
  <c r="H84" i="48"/>
  <c r="H10" i="48"/>
  <c r="F5" i="48"/>
  <c r="H317" i="48"/>
  <c r="F312" i="48"/>
  <c r="L115" i="49"/>
  <c r="D274" i="48" s="1"/>
  <c r="H274" i="48" s="1"/>
  <c r="F274" i="48" s="1"/>
  <c r="K115" i="49"/>
  <c r="D273" i="48" s="1"/>
  <c r="H273" i="48" s="1"/>
  <c r="F273" i="48" s="1"/>
  <c r="I115" i="49"/>
  <c r="D271" i="48" s="1"/>
  <c r="H271" i="48" s="1"/>
  <c r="F271" i="48" s="1"/>
  <c r="J115" i="49"/>
  <c r="D272" i="48" s="1"/>
  <c r="H272" i="48" s="1"/>
  <c r="F272" i="48" s="1"/>
  <c r="H115" i="49"/>
  <c r="D270" i="48" s="1"/>
  <c r="H270" i="48" s="1"/>
  <c r="L106" i="49"/>
  <c r="D216" i="48" s="1"/>
  <c r="H216" i="48" s="1"/>
  <c r="F216" i="48" s="1"/>
  <c r="J106" i="49"/>
  <c r="D214" i="48" s="1"/>
  <c r="H214" i="48" s="1"/>
  <c r="F214" i="48" s="1"/>
  <c r="K106" i="49"/>
  <c r="D215" i="48" s="1"/>
  <c r="H215" i="48" s="1"/>
  <c r="F215" i="48" s="1"/>
  <c r="I106" i="49"/>
  <c r="D213" i="48" s="1"/>
  <c r="H213" i="48" s="1"/>
  <c r="F213" i="48" s="1"/>
  <c r="H106" i="49"/>
  <c r="D212" i="48" s="1"/>
  <c r="H212" i="48" s="1"/>
  <c r="H192" i="48"/>
  <c r="F187" i="48"/>
  <c r="H92" i="48"/>
  <c r="H67" i="48"/>
  <c r="F62" i="48"/>
  <c r="H259" i="48"/>
  <c r="H159" i="48"/>
  <c r="F154" i="48"/>
  <c r="F179" i="48"/>
  <c r="H184" i="48"/>
  <c r="H42" i="48"/>
  <c r="F37" i="48"/>
  <c r="H175" i="48"/>
  <c r="F170" i="48"/>
  <c r="L107" i="49"/>
  <c r="D224" i="48" s="1"/>
  <c r="H224" i="48" s="1"/>
  <c r="F224" i="48" s="1"/>
  <c r="H107" i="49"/>
  <c r="D220" i="48" s="1"/>
  <c r="H220" i="48" s="1"/>
  <c r="K107" i="49"/>
  <c r="D223" i="48" s="1"/>
  <c r="H223" i="48" s="1"/>
  <c r="F223" i="48" s="1"/>
  <c r="J107" i="49"/>
  <c r="D222" i="48" s="1"/>
  <c r="H222" i="48" s="1"/>
  <c r="F222" i="48" s="1"/>
  <c r="I107" i="49"/>
  <c r="D221" i="48" s="1"/>
  <c r="H221" i="48" s="1"/>
  <c r="F221" i="48" s="1"/>
  <c r="L109" i="49"/>
  <c r="D241" i="48" s="1"/>
  <c r="H241" i="48" s="1"/>
  <c r="F241" i="48" s="1"/>
  <c r="K109" i="49"/>
  <c r="D240" i="48" s="1"/>
  <c r="H240" i="48" s="1"/>
  <c r="F240" i="48" s="1"/>
  <c r="J109" i="49"/>
  <c r="D239" i="48" s="1"/>
  <c r="H239" i="48" s="1"/>
  <c r="F239" i="48" s="1"/>
  <c r="I109" i="49"/>
  <c r="D238" i="48" s="1"/>
  <c r="H238" i="48" s="1"/>
  <c r="F238" i="48" s="1"/>
  <c r="H109" i="49"/>
  <c r="D237" i="48" s="1"/>
  <c r="H237" i="48" s="1"/>
  <c r="F13" i="48"/>
  <c r="H18" i="48"/>
  <c r="F320" i="48"/>
  <c r="H325" i="48"/>
  <c r="H125" i="48"/>
  <c r="F120" i="48"/>
  <c r="L108" i="49"/>
  <c r="D233" i="48" s="1"/>
  <c r="H233" i="48" s="1"/>
  <c r="F233" i="48" s="1"/>
  <c r="K108" i="49"/>
  <c r="D232" i="48" s="1"/>
  <c r="H232" i="48" s="1"/>
  <c r="F232" i="48" s="1"/>
  <c r="J108" i="49"/>
  <c r="D231" i="48" s="1"/>
  <c r="H231" i="48" s="1"/>
  <c r="F231" i="48" s="1"/>
  <c r="I108" i="49"/>
  <c r="D230" i="48" s="1"/>
  <c r="H230" i="48" s="1"/>
  <c r="F230" i="48" s="1"/>
  <c r="H108" i="49"/>
  <c r="D229" i="48" s="1"/>
  <c r="H229" i="48" s="1"/>
  <c r="H26" i="48"/>
  <c r="H60" i="48" l="1"/>
  <c r="L15" i="52" s="1"/>
  <c r="H118" i="48"/>
  <c r="L25" i="52" s="1"/>
  <c r="M25" i="52" s="1"/>
  <c r="Q51" i="49"/>
  <c r="F49" i="52" s="1"/>
  <c r="M15" i="52"/>
  <c r="I15" i="52" s="1"/>
  <c r="Q58" i="49"/>
  <c r="F56" i="52" s="1"/>
  <c r="Q116" i="49"/>
  <c r="Q123" i="49"/>
  <c r="M23" i="52"/>
  <c r="I23" i="52" s="1"/>
  <c r="Q44" i="49"/>
  <c r="F42" i="52" s="1"/>
  <c r="Q57" i="49"/>
  <c r="F55" i="52" s="1"/>
  <c r="Q118" i="49"/>
  <c r="F287" i="48"/>
  <c r="H292" i="48"/>
  <c r="F237" i="48"/>
  <c r="H242" i="48"/>
  <c r="Q107" i="49"/>
  <c r="H143" i="48"/>
  <c r="L28" i="52" s="1"/>
  <c r="M28" i="52" s="1"/>
  <c r="I28" i="52" s="1"/>
  <c r="F212" i="48"/>
  <c r="H217" i="48"/>
  <c r="Q43" i="49"/>
  <c r="F41" i="52" s="1"/>
  <c r="M41" i="52" s="1"/>
  <c r="F309" i="48"/>
  <c r="F310" i="48" s="1"/>
  <c r="H310" i="48"/>
  <c r="L56" i="52" s="1"/>
  <c r="F209" i="48"/>
  <c r="F210" i="48" s="1"/>
  <c r="F295" i="48"/>
  <c r="H300" i="48"/>
  <c r="Q110" i="49"/>
  <c r="F262" i="48"/>
  <c r="H267" i="48"/>
  <c r="F220" i="48"/>
  <c r="H225" i="48"/>
  <c r="Q45" i="49"/>
  <c r="F43" i="52" s="1"/>
  <c r="F270" i="48"/>
  <c r="H275" i="48"/>
  <c r="F279" i="48"/>
  <c r="H284" i="48"/>
  <c r="O61" i="52"/>
  <c r="I62" i="52"/>
  <c r="Q114" i="49"/>
  <c r="Q113" i="49"/>
  <c r="F245" i="48"/>
  <c r="H250" i="48"/>
  <c r="F109" i="48"/>
  <c r="F110" i="48" s="1"/>
  <c r="Q46" i="49"/>
  <c r="F44" i="52" s="1"/>
  <c r="F229" i="48"/>
  <c r="H234" i="48"/>
  <c r="Q48" i="49"/>
  <c r="F46" i="52" s="1"/>
  <c r="Q105" i="49"/>
  <c r="I25" i="52"/>
  <c r="F50" i="48"/>
  <c r="F51" i="48" s="1"/>
  <c r="H51" i="48"/>
  <c r="L14" i="52" s="1"/>
  <c r="M14" i="52" s="1"/>
  <c r="I14" i="52" s="1"/>
  <c r="F200" i="48"/>
  <c r="F201" i="48" s="1"/>
  <c r="H201" i="48"/>
  <c r="L38" i="52" s="1"/>
  <c r="M38" i="52" s="1"/>
  <c r="F150" i="48"/>
  <c r="F151" i="48" s="1"/>
  <c r="H151" i="48"/>
  <c r="L30" i="52" s="1"/>
  <c r="M30" i="52" s="1"/>
  <c r="H101" i="48"/>
  <c r="L22" i="52" s="1"/>
  <c r="M22" i="52" s="1"/>
  <c r="I22" i="52" s="1"/>
  <c r="F192" i="48"/>
  <c r="F193" i="48" s="1"/>
  <c r="H193" i="48"/>
  <c r="L36" i="52" s="1"/>
  <c r="M36" i="52" s="1"/>
  <c r="I36" i="52" s="1"/>
  <c r="F167" i="48"/>
  <c r="F168" i="48" s="1"/>
  <c r="H168" i="48"/>
  <c r="L32" i="52" s="1"/>
  <c r="M32" i="52" s="1"/>
  <c r="I32" i="52" s="1"/>
  <c r="F125" i="48"/>
  <c r="F126" i="48" s="1"/>
  <c r="H126" i="48"/>
  <c r="L26" i="52" s="1"/>
  <c r="M26" i="52" s="1"/>
  <c r="I26" i="52" s="1"/>
  <c r="F42" i="48"/>
  <c r="F43" i="48" s="1"/>
  <c r="H43" i="48"/>
  <c r="L13" i="52" s="1"/>
  <c r="M13" i="52" s="1"/>
  <c r="I13" i="52" s="1"/>
  <c r="F184" i="48"/>
  <c r="F185" i="48" s="1"/>
  <c r="H185" i="48"/>
  <c r="L35" i="52" s="1"/>
  <c r="M35" i="52" s="1"/>
  <c r="F26" i="48"/>
  <c r="F27" i="48" s="1"/>
  <c r="H27" i="48"/>
  <c r="L11" i="52" s="1"/>
  <c r="M11" i="52" s="1"/>
  <c r="F34" i="48"/>
  <c r="F35" i="48" s="1"/>
  <c r="H35" i="48"/>
  <c r="L12" i="52" s="1"/>
  <c r="M12" i="52" s="1"/>
  <c r="I12" i="52" s="1"/>
  <c r="F67" i="48"/>
  <c r="F68" i="48" s="1"/>
  <c r="H68" i="48"/>
  <c r="L16" i="52" s="1"/>
  <c r="M16" i="52" s="1"/>
  <c r="I16" i="52" s="1"/>
  <c r="F10" i="48"/>
  <c r="F11" i="48" s="1"/>
  <c r="H11" i="48"/>
  <c r="L7" i="52" s="1"/>
  <c r="M7" i="52" s="1"/>
  <c r="H176" i="48"/>
  <c r="L33" i="52" s="1"/>
  <c r="M33" i="52" s="1"/>
  <c r="I33" i="52" s="1"/>
  <c r="F175" i="48"/>
  <c r="F176" i="48" s="1"/>
  <c r="F317" i="48"/>
  <c r="F318" i="48" s="1"/>
  <c r="H318" i="48"/>
  <c r="L58" i="52" s="1"/>
  <c r="M58" i="52" s="1"/>
  <c r="F92" i="48"/>
  <c r="F93" i="48" s="1"/>
  <c r="H93" i="48"/>
  <c r="L21" i="52" s="1"/>
  <c r="M21" i="52" s="1"/>
  <c r="I21" i="52" s="1"/>
  <c r="F84" i="48"/>
  <c r="F85" i="48" s="1"/>
  <c r="H85" i="48"/>
  <c r="L20" i="52" s="1"/>
  <c r="M20" i="52" s="1"/>
  <c r="I20" i="52" s="1"/>
  <c r="H326" i="48"/>
  <c r="L59" i="52" s="1"/>
  <c r="M59" i="52" s="1"/>
  <c r="I59" i="52" s="1"/>
  <c r="F325" i="48"/>
  <c r="F326" i="48" s="1"/>
  <c r="F159" i="48"/>
  <c r="F160" i="48" s="1"/>
  <c r="H160" i="48"/>
  <c r="L31" i="52" s="1"/>
  <c r="M31" i="52" s="1"/>
  <c r="I31" i="52" s="1"/>
  <c r="F334" i="48"/>
  <c r="F335" i="48" s="1"/>
  <c r="H335" i="48"/>
  <c r="L60" i="52" s="1"/>
  <c r="M60" i="52" s="1"/>
  <c r="I60" i="52" s="1"/>
  <c r="H19" i="48"/>
  <c r="F18" i="48"/>
  <c r="F19" i="48" s="1"/>
  <c r="H76" i="48"/>
  <c r="L19" i="52" s="1"/>
  <c r="M19" i="52" s="1"/>
  <c r="F75" i="48"/>
  <c r="F76" i="48" s="1"/>
  <c r="F259" i="48"/>
  <c r="F260" i="48" s="1"/>
  <c r="H260" i="48"/>
  <c r="L49" i="52" s="1"/>
  <c r="M49" i="52" s="1"/>
  <c r="F134" i="48"/>
  <c r="F135" i="48" s="1"/>
  <c r="H135" i="48"/>
  <c r="L27" i="52" s="1"/>
  <c r="M27" i="52" s="1"/>
  <c r="I27" i="52" s="1"/>
  <c r="M56" i="52" l="1"/>
  <c r="I56" i="52" s="1"/>
  <c r="I41" i="52"/>
  <c r="F234" i="48"/>
  <c r="F235" i="48" s="1"/>
  <c r="H235" i="48"/>
  <c r="L45" i="52" s="1"/>
  <c r="M45" i="52" s="1"/>
  <c r="I45" i="52" s="1"/>
  <c r="F300" i="48"/>
  <c r="F301" i="48" s="1"/>
  <c r="H301" i="48"/>
  <c r="L55" i="52" s="1"/>
  <c r="M55" i="52" s="1"/>
  <c r="I55" i="52" s="1"/>
  <c r="F284" i="48"/>
  <c r="F285" i="48" s="1"/>
  <c r="H285" i="48"/>
  <c r="L53" i="52" s="1"/>
  <c r="M53" i="52" s="1"/>
  <c r="I53" i="52" s="1"/>
  <c r="H293" i="48"/>
  <c r="L54" i="52" s="1"/>
  <c r="M54" i="52" s="1"/>
  <c r="I54" i="52" s="1"/>
  <c r="F292" i="48"/>
  <c r="F293" i="48" s="1"/>
  <c r="F225" i="48"/>
  <c r="F226" i="48" s="1"/>
  <c r="H226" i="48"/>
  <c r="L44" i="52" s="1"/>
  <c r="M44" i="52" s="1"/>
  <c r="I44" i="52" s="1"/>
  <c r="F267" i="48"/>
  <c r="F268" i="48" s="1"/>
  <c r="H268" i="48"/>
  <c r="L51" i="52" s="1"/>
  <c r="M51" i="52" s="1"/>
  <c r="F250" i="48"/>
  <c r="F251" i="48" s="1"/>
  <c r="H251" i="48"/>
  <c r="L47" i="52" s="1"/>
  <c r="M47" i="52" s="1"/>
  <c r="I47" i="52" s="1"/>
  <c r="H218" i="48"/>
  <c r="L43" i="52" s="1"/>
  <c r="M43" i="52" s="1"/>
  <c r="F217" i="48"/>
  <c r="F218" i="48" s="1"/>
  <c r="I61" i="52"/>
  <c r="F242" i="48"/>
  <c r="F243" i="48" s="1"/>
  <c r="H243" i="48"/>
  <c r="L46" i="52" s="1"/>
  <c r="M46" i="52" s="1"/>
  <c r="I46" i="52" s="1"/>
  <c r="F275" i="48"/>
  <c r="F276" i="48" s="1"/>
  <c r="H276" i="48"/>
  <c r="L52" i="52" s="1"/>
  <c r="M52" i="52" s="1"/>
  <c r="I52" i="52" s="1"/>
  <c r="M34" i="52"/>
  <c r="I34" i="52" s="1"/>
  <c r="I35" i="52"/>
  <c r="M37" i="52"/>
  <c r="I37" i="52" s="1"/>
  <c r="I38" i="52"/>
  <c r="M29" i="52"/>
  <c r="I29" i="52" s="1"/>
  <c r="I30" i="52"/>
  <c r="M18" i="52"/>
  <c r="I19" i="52"/>
  <c r="M57" i="52"/>
  <c r="I57" i="52" s="1"/>
  <c r="I58" i="52"/>
  <c r="M10" i="52"/>
  <c r="I11" i="52"/>
  <c r="I49" i="52"/>
  <c r="M24" i="52"/>
  <c r="I24" i="52" s="1"/>
  <c r="I9" i="52"/>
  <c r="M6" i="52"/>
  <c r="I7" i="52"/>
  <c r="I113" i="33"/>
  <c r="K107" i="33"/>
  <c r="K106" i="33"/>
  <c r="K105" i="33"/>
  <c r="K104" i="33"/>
  <c r="K103" i="33"/>
  <c r="K102" i="33"/>
  <c r="K101" i="33"/>
  <c r="K100" i="33"/>
  <c r="K96" i="33"/>
  <c r="K94" i="33"/>
  <c r="K87" i="33"/>
  <c r="K85" i="33"/>
  <c r="I84" i="33"/>
  <c r="I83" i="33"/>
  <c r="K74" i="33"/>
  <c r="K72" i="33"/>
  <c r="I71" i="33"/>
  <c r="I70" i="33"/>
  <c r="I69" i="33"/>
  <c r="I68" i="33"/>
  <c r="G79" i="33"/>
  <c r="G64" i="33"/>
  <c r="G50" i="33"/>
  <c r="G35" i="33"/>
  <c r="K60" i="33"/>
  <c r="K58" i="33"/>
  <c r="I57" i="33"/>
  <c r="I56" i="33"/>
  <c r="I55" i="33"/>
  <c r="I54" i="33"/>
  <c r="K46" i="33"/>
  <c r="K44" i="33"/>
  <c r="I43" i="33"/>
  <c r="I42" i="33"/>
  <c r="I41" i="33"/>
  <c r="I40" i="33"/>
  <c r="I39" i="33"/>
  <c r="K31" i="33"/>
  <c r="K29" i="33"/>
  <c r="I28" i="33"/>
  <c r="I27" i="33"/>
  <c r="I26" i="33"/>
  <c r="I25" i="33"/>
  <c r="I24" i="33"/>
  <c r="K112" i="33"/>
  <c r="K111" i="33"/>
  <c r="K93" i="33"/>
  <c r="K92" i="33"/>
  <c r="K91" i="33"/>
  <c r="K82" i="33"/>
  <c r="K81" i="33"/>
  <c r="K80" i="33"/>
  <c r="K67" i="33"/>
  <c r="K66" i="33"/>
  <c r="K65" i="33"/>
  <c r="K53" i="33"/>
  <c r="K52" i="33"/>
  <c r="K51" i="33"/>
  <c r="K38" i="33"/>
  <c r="K37" i="33"/>
  <c r="K36" i="33"/>
  <c r="K23" i="33"/>
  <c r="K22" i="33"/>
  <c r="K21" i="33"/>
  <c r="G20" i="33"/>
  <c r="G5" i="33"/>
  <c r="K16" i="33"/>
  <c r="I13" i="33"/>
  <c r="I12" i="33"/>
  <c r="I11" i="33"/>
  <c r="I10" i="33"/>
  <c r="I9" i="33"/>
  <c r="Q2" i="32"/>
  <c r="P2" i="32"/>
  <c r="K14" i="33"/>
  <c r="G56" i="32"/>
  <c r="G55" i="32"/>
  <c r="G54" i="32"/>
  <c r="G53" i="32"/>
  <c r="G52" i="32"/>
  <c r="G47" i="32"/>
  <c r="G46" i="32"/>
  <c r="G45" i="32"/>
  <c r="G44" i="32"/>
  <c r="G43" i="32"/>
  <c r="G37" i="32"/>
  <c r="G36" i="32"/>
  <c r="G35" i="32"/>
  <c r="G34" i="32"/>
  <c r="G33" i="32"/>
  <c r="G28" i="32"/>
  <c r="G27" i="32"/>
  <c r="G26" i="32"/>
  <c r="G25" i="32"/>
  <c r="G24" i="32"/>
  <c r="G18" i="32"/>
  <c r="G17" i="32"/>
  <c r="G16" i="32"/>
  <c r="G15" i="32"/>
  <c r="G14" i="32"/>
  <c r="G9" i="32"/>
  <c r="G8" i="32"/>
  <c r="G7" i="32"/>
  <c r="G6" i="32"/>
  <c r="G5" i="32"/>
  <c r="M50" i="52" l="1"/>
  <c r="I51" i="52"/>
  <c r="M42" i="52"/>
  <c r="I43" i="52"/>
  <c r="I10" i="52"/>
  <c r="M8" i="52"/>
  <c r="I8" i="52" s="1"/>
  <c r="M17" i="52"/>
  <c r="I17" i="52" s="1"/>
  <c r="I18" i="52"/>
  <c r="I6" i="52"/>
  <c r="I42" i="52" l="1"/>
  <c r="M40" i="52"/>
  <c r="I50" i="52"/>
  <c r="M48" i="52"/>
  <c r="I48" i="52" s="1"/>
  <c r="M5" i="52"/>
  <c r="N30" i="41"/>
  <c r="M32" i="41"/>
  <c r="M31" i="41"/>
  <c r="I5" i="52" l="1"/>
  <c r="I40" i="52"/>
  <c r="M39" i="52"/>
  <c r="I39" i="52" s="1"/>
  <c r="N33" i="41"/>
  <c r="E33" i="41" s="1"/>
  <c r="G62" i="32" s="1"/>
  <c r="E62" i="32" s="1"/>
  <c r="N31" i="41"/>
  <c r="E31" i="41" s="1"/>
  <c r="G60" i="32" s="1"/>
  <c r="E60" i="32" s="1"/>
  <c r="N32" i="41"/>
  <c r="E32" i="41" s="1"/>
  <c r="G61" i="32" s="1"/>
  <c r="E61" i="32" s="1"/>
  <c r="I85" i="40"/>
  <c r="H85" i="40"/>
  <c r="G85" i="40"/>
  <c r="F85" i="40"/>
  <c r="I84" i="40"/>
  <c r="H84" i="40"/>
  <c r="G84" i="40"/>
  <c r="F84" i="40"/>
  <c r="I83" i="40"/>
  <c r="H83" i="40"/>
  <c r="G83" i="40"/>
  <c r="F83" i="40"/>
  <c r="I82" i="40"/>
  <c r="H82" i="40"/>
  <c r="G82" i="40"/>
  <c r="F82" i="40"/>
  <c r="I81" i="40"/>
  <c r="H81" i="40"/>
  <c r="G81" i="40"/>
  <c r="F81" i="40"/>
  <c r="E81" i="40"/>
  <c r="I79" i="40"/>
  <c r="H79" i="40"/>
  <c r="G79" i="40"/>
  <c r="F79" i="40"/>
  <c r="I78" i="40"/>
  <c r="H78" i="40"/>
  <c r="G78" i="40"/>
  <c r="F78" i="40"/>
  <c r="I77" i="40"/>
  <c r="H77" i="40"/>
  <c r="G77" i="40"/>
  <c r="F77" i="40"/>
  <c r="I76" i="40"/>
  <c r="H76" i="40"/>
  <c r="G76" i="40"/>
  <c r="F76" i="40"/>
  <c r="I74" i="40"/>
  <c r="H74" i="40"/>
  <c r="G74" i="40"/>
  <c r="F74" i="40"/>
  <c r="E74" i="40"/>
  <c r="I73" i="40"/>
  <c r="H73" i="40"/>
  <c r="G73" i="40"/>
  <c r="F73" i="40"/>
  <c r="E73" i="40"/>
  <c r="I71" i="40"/>
  <c r="H71" i="40"/>
  <c r="G71" i="40"/>
  <c r="F71" i="40"/>
  <c r="E71" i="40"/>
  <c r="I70" i="40"/>
  <c r="H70" i="40"/>
  <c r="G70" i="40"/>
  <c r="F70" i="40"/>
  <c r="I69" i="40"/>
  <c r="H69" i="40"/>
  <c r="G69" i="40"/>
  <c r="F69" i="40"/>
  <c r="E69" i="40"/>
  <c r="I68" i="40"/>
  <c r="H68" i="40"/>
  <c r="G68" i="40"/>
  <c r="F68" i="40"/>
  <c r="E68" i="40"/>
  <c r="I67" i="40"/>
  <c r="H67" i="40"/>
  <c r="G67" i="40"/>
  <c r="F67" i="40"/>
  <c r="E67" i="40"/>
  <c r="I65" i="40"/>
  <c r="H65" i="40"/>
  <c r="G65" i="40"/>
  <c r="F65" i="40"/>
  <c r="E65" i="40"/>
  <c r="I64" i="40"/>
  <c r="H64" i="40"/>
  <c r="G64" i="40"/>
  <c r="F64" i="40"/>
  <c r="E64" i="40"/>
  <c r="I61" i="40"/>
  <c r="H61" i="40"/>
  <c r="G61" i="40"/>
  <c r="F61" i="40"/>
  <c r="E61" i="40"/>
  <c r="I51" i="40"/>
  <c r="H51" i="40"/>
  <c r="G51" i="40"/>
  <c r="F51" i="40"/>
  <c r="F43" i="40" s="1"/>
  <c r="E51" i="40"/>
  <c r="I46" i="40"/>
  <c r="H46" i="40"/>
  <c r="G46" i="40"/>
  <c r="F46" i="40"/>
  <c r="E46" i="40"/>
  <c r="I37" i="40"/>
  <c r="H37" i="40"/>
  <c r="G37" i="40"/>
  <c r="F37" i="40"/>
  <c r="E37" i="40"/>
  <c r="I34" i="40"/>
  <c r="H34" i="40"/>
  <c r="G34" i="40"/>
  <c r="F34" i="40"/>
  <c r="E34" i="40"/>
  <c r="I32" i="40"/>
  <c r="H32" i="40"/>
  <c r="G32" i="40"/>
  <c r="F32" i="40"/>
  <c r="E32" i="40"/>
  <c r="J12" i="40"/>
  <c r="G43" i="40" l="1"/>
  <c r="H43" i="40"/>
  <c r="I43" i="40"/>
  <c r="E43" i="40"/>
  <c r="H33" i="40"/>
  <c r="H80" i="40"/>
  <c r="E33" i="40"/>
  <c r="F33" i="40"/>
  <c r="I33" i="40"/>
  <c r="F75" i="40"/>
  <c r="G33" i="40"/>
  <c r="I80" i="40"/>
  <c r="M4" i="52"/>
  <c r="G80" i="40"/>
  <c r="F80" i="40"/>
  <c r="E63" i="40"/>
  <c r="I66" i="40"/>
  <c r="H66" i="40"/>
  <c r="G75" i="40"/>
  <c r="G72" i="40" s="1"/>
  <c r="H75" i="40"/>
  <c r="H72" i="40" s="1"/>
  <c r="G63" i="40"/>
  <c r="H63" i="40"/>
  <c r="I63" i="40"/>
  <c r="I75" i="40"/>
  <c r="F63" i="40"/>
  <c r="F66" i="40"/>
  <c r="G66" i="40"/>
  <c r="E76" i="40"/>
  <c r="E85" i="40"/>
  <c r="E70" i="40"/>
  <c r="E66" i="40" s="1"/>
  <c r="E84" i="40"/>
  <c r="E79" i="40"/>
  <c r="E83" i="40"/>
  <c r="E78" i="40"/>
  <c r="E82" i="40"/>
  <c r="E80" i="40" s="1"/>
  <c r="E77" i="40"/>
  <c r="I72" i="40" l="1"/>
  <c r="I62" i="40" s="1"/>
  <c r="I24" i="40" s="1"/>
  <c r="F72" i="40"/>
  <c r="F62" i="40" s="1"/>
  <c r="F24" i="40" s="1"/>
  <c r="I4" i="52"/>
  <c r="G62" i="40"/>
  <c r="G24" i="40" s="1"/>
  <c r="H62" i="40"/>
  <c r="H24" i="40" s="1"/>
  <c r="E75" i="40"/>
  <c r="E72" i="40" s="1"/>
  <c r="E62" i="40" s="1"/>
  <c r="E24" i="40" s="1"/>
  <c r="B8" i="39" l="1"/>
  <c r="E27" i="38"/>
  <c r="D27" i="38"/>
  <c r="C27" i="38"/>
  <c r="B27" i="38"/>
  <c r="E14" i="38"/>
  <c r="D14" i="38"/>
  <c r="C14" i="38"/>
  <c r="B14" i="38"/>
  <c r="L96" i="37"/>
  <c r="J96" i="37"/>
  <c r="H96" i="37"/>
  <c r="F96" i="37"/>
  <c r="D96" i="37"/>
  <c r="L95" i="37"/>
  <c r="J95" i="37"/>
  <c r="H95" i="37"/>
  <c r="F95" i="37"/>
  <c r="D95" i="37"/>
  <c r="F92" i="37"/>
  <c r="AA91" i="37"/>
  <c r="L100" i="37" s="1"/>
  <c r="W81" i="37"/>
  <c r="R81" i="37" s="1"/>
  <c r="H85" i="37" s="1"/>
  <c r="N74" i="37"/>
  <c r="L74" i="37"/>
  <c r="J74" i="37"/>
  <c r="H74" i="37"/>
  <c r="F74" i="37"/>
  <c r="N73" i="37"/>
  <c r="L73" i="37"/>
  <c r="J73" i="37"/>
  <c r="H73" i="37"/>
  <c r="F73" i="37"/>
  <c r="N72" i="37"/>
  <c r="L72" i="37"/>
  <c r="J72" i="37"/>
  <c r="H72" i="37"/>
  <c r="F72" i="37"/>
  <c r="M61" i="37"/>
  <c r="J61" i="37"/>
  <c r="G61" i="37"/>
  <c r="V56" i="37"/>
  <c r="U56" i="37"/>
  <c r="V55" i="37"/>
  <c r="E73" i="37" s="1"/>
  <c r="U55" i="37"/>
  <c r="V54" i="37"/>
  <c r="E72" i="37" s="1"/>
  <c r="U54" i="37"/>
  <c r="G42" i="37"/>
  <c r="E17" i="37"/>
  <c r="X13" i="37" s="1"/>
  <c r="D17" i="37"/>
  <c r="X4" i="37" s="1"/>
  <c r="D14" i="37"/>
  <c r="F12" i="37"/>
  <c r="D12" i="37"/>
  <c r="D11" i="37"/>
  <c r="D10" i="37"/>
  <c r="D9" i="37"/>
  <c r="Y4" i="37"/>
  <c r="R3" i="37"/>
  <c r="D27" i="36"/>
  <c r="D26" i="36"/>
  <c r="D25" i="36"/>
  <c r="D24" i="36"/>
  <c r="D19" i="36"/>
  <c r="G18" i="36"/>
  <c r="G28" i="36" s="1"/>
  <c r="G17" i="36"/>
  <c r="G27" i="36" s="1"/>
  <c r="G16" i="36"/>
  <c r="G26" i="36" s="1"/>
  <c r="G15" i="36"/>
  <c r="G25" i="36" s="1"/>
  <c r="G14" i="36"/>
  <c r="W15" i="35"/>
  <c r="J11" i="35" s="1"/>
  <c r="V14" i="35"/>
  <c r="J12" i="35" s="1"/>
  <c r="F12" i="35"/>
  <c r="C15" i="38" s="1"/>
  <c r="C28" i="38" s="1"/>
  <c r="V7" i="35"/>
  <c r="V6" i="35"/>
  <c r="A117" i="33"/>
  <c r="E115" i="33"/>
  <c r="J114" i="33"/>
  <c r="H114" i="33"/>
  <c r="L113" i="33"/>
  <c r="E113" i="33"/>
  <c r="H113" i="33"/>
  <c r="L112" i="33"/>
  <c r="J112" i="33"/>
  <c r="H112" i="33"/>
  <c r="L111" i="33"/>
  <c r="J111" i="33"/>
  <c r="H111" i="33"/>
  <c r="E111" i="33"/>
  <c r="A109" i="33"/>
  <c r="E107" i="33"/>
  <c r="E106" i="33"/>
  <c r="E105" i="33"/>
  <c r="E104" i="33"/>
  <c r="E103" i="33"/>
  <c r="E102" i="33"/>
  <c r="E101" i="33"/>
  <c r="E100" i="33"/>
  <c r="A98" i="33"/>
  <c r="L96" i="33"/>
  <c r="J96" i="33"/>
  <c r="H96" i="33"/>
  <c r="E96" i="33"/>
  <c r="I95" i="33"/>
  <c r="J95" i="33" s="1"/>
  <c r="H95" i="33"/>
  <c r="L94" i="33"/>
  <c r="J94" i="33"/>
  <c r="L93" i="33"/>
  <c r="H93" i="33"/>
  <c r="L92" i="33"/>
  <c r="H92" i="33"/>
  <c r="E92" i="33"/>
  <c r="J91" i="33"/>
  <c r="H91" i="33"/>
  <c r="A89" i="33"/>
  <c r="L87" i="33"/>
  <c r="J87" i="33"/>
  <c r="H87" i="33"/>
  <c r="E86" i="33"/>
  <c r="L85" i="33"/>
  <c r="L86" i="33" s="1"/>
  <c r="F86" i="33" s="1"/>
  <c r="E85" i="33"/>
  <c r="E84" i="33"/>
  <c r="J83" i="33"/>
  <c r="L82" i="33"/>
  <c r="G82" i="33"/>
  <c r="H82" i="33" s="1"/>
  <c r="E82" i="33"/>
  <c r="L81" i="33"/>
  <c r="G81" i="33"/>
  <c r="H81" i="33" s="1"/>
  <c r="L80" i="33"/>
  <c r="G80" i="33"/>
  <c r="H80" i="33" s="1"/>
  <c r="H79" i="33"/>
  <c r="F79" i="33" s="1"/>
  <c r="E79" i="33"/>
  <c r="A76" i="33"/>
  <c r="L74" i="33"/>
  <c r="J74" i="33"/>
  <c r="H74" i="33"/>
  <c r="E74" i="33"/>
  <c r="H73" i="33"/>
  <c r="E73" i="33"/>
  <c r="L72" i="33"/>
  <c r="J72" i="33"/>
  <c r="J73" i="33" s="1"/>
  <c r="H72" i="33"/>
  <c r="E72" i="33"/>
  <c r="L71" i="33"/>
  <c r="E71" i="33"/>
  <c r="H71" i="33"/>
  <c r="L70" i="33"/>
  <c r="J70" i="33"/>
  <c r="H70" i="33"/>
  <c r="E70" i="33"/>
  <c r="L69" i="33"/>
  <c r="E69" i="33"/>
  <c r="H69" i="33"/>
  <c r="L68" i="33"/>
  <c r="J68" i="33"/>
  <c r="H68" i="33"/>
  <c r="L67" i="33"/>
  <c r="H67" i="33"/>
  <c r="E67" i="33"/>
  <c r="L66" i="33"/>
  <c r="H66" i="33"/>
  <c r="L65" i="33"/>
  <c r="H65" i="33"/>
  <c r="E65" i="33"/>
  <c r="E64" i="33"/>
  <c r="A62" i="33"/>
  <c r="L60" i="33"/>
  <c r="J60" i="33"/>
  <c r="H60" i="33"/>
  <c r="H59" i="33"/>
  <c r="E59" i="33"/>
  <c r="E58" i="33"/>
  <c r="J58" i="33"/>
  <c r="J59" i="33" s="1"/>
  <c r="H58" i="33"/>
  <c r="L57" i="33"/>
  <c r="J57" i="33"/>
  <c r="H57" i="33"/>
  <c r="L56" i="33"/>
  <c r="J56" i="33"/>
  <c r="H56" i="33"/>
  <c r="E56" i="33"/>
  <c r="L55" i="33"/>
  <c r="J55" i="33"/>
  <c r="H55" i="33"/>
  <c r="E55" i="33"/>
  <c r="L54" i="33"/>
  <c r="J54" i="33"/>
  <c r="H54" i="33"/>
  <c r="E54" i="33"/>
  <c r="L53" i="33"/>
  <c r="H53" i="33"/>
  <c r="L52" i="33"/>
  <c r="H52" i="33"/>
  <c r="E52" i="33"/>
  <c r="L51" i="33"/>
  <c r="H51" i="33"/>
  <c r="H50" i="33"/>
  <c r="A48" i="33"/>
  <c r="L46" i="33"/>
  <c r="J46" i="33"/>
  <c r="H46" i="33"/>
  <c r="E46" i="33"/>
  <c r="H45" i="33"/>
  <c r="E45" i="33"/>
  <c r="J44" i="33"/>
  <c r="J45" i="33" s="1"/>
  <c r="H44" i="33"/>
  <c r="L43" i="33"/>
  <c r="J43" i="33"/>
  <c r="H43" i="33"/>
  <c r="L42" i="33"/>
  <c r="J42" i="33"/>
  <c r="H42" i="33"/>
  <c r="E42" i="33"/>
  <c r="L41" i="33"/>
  <c r="J41" i="33"/>
  <c r="H41" i="33"/>
  <c r="L40" i="33"/>
  <c r="E40" i="33"/>
  <c r="H40" i="33"/>
  <c r="L39" i="33"/>
  <c r="J39" i="33"/>
  <c r="H39" i="33"/>
  <c r="L38" i="33"/>
  <c r="J38" i="33"/>
  <c r="G38" i="33"/>
  <c r="H38" i="33" s="1"/>
  <c r="L37" i="33"/>
  <c r="J37" i="33"/>
  <c r="G37" i="33"/>
  <c r="H37" i="33" s="1"/>
  <c r="J36" i="33"/>
  <c r="G36" i="33"/>
  <c r="H36" i="33" s="1"/>
  <c r="L35" i="33"/>
  <c r="J35" i="33"/>
  <c r="H35" i="33"/>
  <c r="A33" i="33"/>
  <c r="E31" i="33"/>
  <c r="J31" i="33"/>
  <c r="H31" i="33"/>
  <c r="H30" i="33"/>
  <c r="E30" i="33"/>
  <c r="L29" i="33"/>
  <c r="L30" i="33" s="1"/>
  <c r="J29" i="33"/>
  <c r="J30" i="33" s="1"/>
  <c r="H29" i="33"/>
  <c r="L28" i="33"/>
  <c r="J28" i="33"/>
  <c r="H28" i="33"/>
  <c r="L27" i="33"/>
  <c r="J27" i="33"/>
  <c r="H27" i="33"/>
  <c r="L26" i="33"/>
  <c r="J26" i="33"/>
  <c r="H26" i="33"/>
  <c r="L25" i="33"/>
  <c r="J25" i="33"/>
  <c r="H25" i="33"/>
  <c r="E25" i="33"/>
  <c r="L24" i="33"/>
  <c r="J24" i="33"/>
  <c r="H24" i="33"/>
  <c r="E24" i="33"/>
  <c r="L23" i="33"/>
  <c r="J23" i="33"/>
  <c r="H23" i="33"/>
  <c r="L22" i="33"/>
  <c r="J22" i="33"/>
  <c r="H22" i="33"/>
  <c r="L21" i="33"/>
  <c r="J21" i="33"/>
  <c r="H21" i="33"/>
  <c r="E21" i="33"/>
  <c r="L20" i="33"/>
  <c r="J20" i="33"/>
  <c r="H20" i="33"/>
  <c r="E20" i="33"/>
  <c r="A18" i="33"/>
  <c r="L16" i="33"/>
  <c r="J16" i="33"/>
  <c r="H16" i="33"/>
  <c r="E16" i="33"/>
  <c r="H15" i="33"/>
  <c r="E15" i="33"/>
  <c r="L14" i="33"/>
  <c r="J14" i="33"/>
  <c r="J15" i="33" s="1"/>
  <c r="H14" i="33"/>
  <c r="L13" i="33"/>
  <c r="E13" i="33"/>
  <c r="H13" i="33"/>
  <c r="L12" i="33"/>
  <c r="J12" i="33"/>
  <c r="H12" i="33"/>
  <c r="L11" i="33"/>
  <c r="J11" i="33"/>
  <c r="H11" i="33"/>
  <c r="L10" i="33"/>
  <c r="J10" i="33"/>
  <c r="H10" i="33"/>
  <c r="E10" i="33"/>
  <c r="L9" i="33"/>
  <c r="E9" i="33"/>
  <c r="H9" i="33"/>
  <c r="L8" i="33"/>
  <c r="J8" i="33"/>
  <c r="H8" i="33"/>
  <c r="E7" i="33"/>
  <c r="J7" i="33"/>
  <c r="H7" i="33"/>
  <c r="L6" i="33"/>
  <c r="J6" i="33"/>
  <c r="H6" i="33"/>
  <c r="L5" i="33"/>
  <c r="J5" i="33"/>
  <c r="E5" i="33"/>
  <c r="A58" i="32"/>
  <c r="J57" i="32"/>
  <c r="E56" i="32"/>
  <c r="E55" i="32"/>
  <c r="E54" i="32"/>
  <c r="E53" i="32"/>
  <c r="E52" i="32"/>
  <c r="A50" i="32"/>
  <c r="J49" i="32"/>
  <c r="E48" i="32"/>
  <c r="E47" i="32"/>
  <c r="E46" i="32"/>
  <c r="E45" i="32"/>
  <c r="E44" i="32"/>
  <c r="L43" i="32"/>
  <c r="H43" i="32"/>
  <c r="E43" i="32"/>
  <c r="A40" i="32"/>
  <c r="J39" i="32"/>
  <c r="E38" i="32"/>
  <c r="E37" i="32"/>
  <c r="E35" i="32"/>
  <c r="E34" i="32"/>
  <c r="L33" i="32"/>
  <c r="H33" i="32"/>
  <c r="F33" i="32" s="1"/>
  <c r="E33" i="32"/>
  <c r="A31" i="32"/>
  <c r="J30" i="32"/>
  <c r="L29" i="32"/>
  <c r="H29" i="32"/>
  <c r="E29" i="32"/>
  <c r="E28" i="32"/>
  <c r="E27" i="32"/>
  <c r="E26" i="32"/>
  <c r="L24" i="32"/>
  <c r="H24" i="32"/>
  <c r="E24" i="32"/>
  <c r="A21" i="32"/>
  <c r="J20" i="32"/>
  <c r="E19" i="32"/>
  <c r="E18" i="32"/>
  <c r="E17" i="32"/>
  <c r="E16" i="32"/>
  <c r="E15" i="32"/>
  <c r="E14" i="32"/>
  <c r="D14" i="32"/>
  <c r="L14" i="32" s="1"/>
  <c r="A12" i="32"/>
  <c r="J11" i="32"/>
  <c r="E10" i="32"/>
  <c r="E9" i="32"/>
  <c r="E8" i="32"/>
  <c r="E7" i="32"/>
  <c r="E6" i="32"/>
  <c r="E5" i="32"/>
  <c r="D97" i="37" l="1"/>
  <c r="D98" i="37" s="1"/>
  <c r="D34" i="32" s="1"/>
  <c r="L34" i="32" s="1"/>
  <c r="F24" i="32"/>
  <c r="F97" i="37"/>
  <c r="F98" i="37" s="1"/>
  <c r="D35" i="32" s="1"/>
  <c r="H35" i="32" s="1"/>
  <c r="J50" i="32"/>
  <c r="D99" i="37"/>
  <c r="F99" i="37"/>
  <c r="E95" i="33"/>
  <c r="E6" i="35"/>
  <c r="L97" i="37"/>
  <c r="L98" i="37" s="1"/>
  <c r="D38" i="32" s="1"/>
  <c r="H38" i="32" s="1"/>
  <c r="F14" i="38"/>
  <c r="F93" i="33"/>
  <c r="F27" i="38"/>
  <c r="F92" i="33"/>
  <c r="H97" i="37"/>
  <c r="H98" i="37" s="1"/>
  <c r="D36" i="32" s="1"/>
  <c r="L36" i="32" s="1"/>
  <c r="J97" i="37"/>
  <c r="J98" i="37" s="1"/>
  <c r="D37" i="32" s="1"/>
  <c r="L37" i="32" s="1"/>
  <c r="E36" i="33"/>
  <c r="F81" i="33"/>
  <c r="F82" i="33"/>
  <c r="F94" i="33"/>
  <c r="E74" i="37"/>
  <c r="G74" i="37" s="1"/>
  <c r="D86" i="37"/>
  <c r="I72" i="37"/>
  <c r="H86" i="37"/>
  <c r="K72" i="37"/>
  <c r="J86" i="37"/>
  <c r="M72" i="37"/>
  <c r="O72" i="37"/>
  <c r="I73" i="37"/>
  <c r="F26" i="33"/>
  <c r="G19" i="36"/>
  <c r="G73" i="37"/>
  <c r="K73" i="37"/>
  <c r="M73" i="37"/>
  <c r="F111" i="33"/>
  <c r="J85" i="37"/>
  <c r="G72" i="37"/>
  <c r="F86" i="37"/>
  <c r="O73" i="37"/>
  <c r="F10" i="33"/>
  <c r="E81" i="33"/>
  <c r="J31" i="32"/>
  <c r="J12" i="32"/>
  <c r="J40" i="32"/>
  <c r="J21" i="32"/>
  <c r="J58" i="32"/>
  <c r="D78" i="37"/>
  <c r="G24" i="36"/>
  <c r="F39" i="33"/>
  <c r="F42" i="33"/>
  <c r="F43" i="33"/>
  <c r="F66" i="33"/>
  <c r="F55" i="33"/>
  <c r="F25" i="33"/>
  <c r="F11" i="33"/>
  <c r="F52" i="33"/>
  <c r="F6" i="33"/>
  <c r="F67" i="33"/>
  <c r="F28" i="33"/>
  <c r="H115" i="33"/>
  <c r="H116" i="33" s="1"/>
  <c r="H117" i="33" s="1"/>
  <c r="H61" i="33"/>
  <c r="H62" i="33" s="1"/>
  <c r="F23" i="33"/>
  <c r="J125" i="33"/>
  <c r="L125" i="33"/>
  <c r="H119" i="33"/>
  <c r="H120" i="33" s="1"/>
  <c r="F120" i="33" s="1"/>
  <c r="F53" i="33"/>
  <c r="F24" i="33"/>
  <c r="F70" i="33"/>
  <c r="F41" i="33"/>
  <c r="F27" i="33"/>
  <c r="F46" i="33"/>
  <c r="F96" i="33"/>
  <c r="F85" i="33"/>
  <c r="F16" i="33"/>
  <c r="F8" i="33"/>
  <c r="H14" i="32"/>
  <c r="F14" i="32" s="1"/>
  <c r="E36" i="32"/>
  <c r="E11" i="33"/>
  <c r="E66" i="33"/>
  <c r="E87" i="33"/>
  <c r="F87" i="33"/>
  <c r="F74" i="33"/>
  <c r="E22" i="33"/>
  <c r="E29" i="33"/>
  <c r="F56" i="33"/>
  <c r="F112" i="33"/>
  <c r="E50" i="33"/>
  <c r="F30" i="33"/>
  <c r="F50" i="33"/>
  <c r="F29" i="32"/>
  <c r="F57" i="33"/>
  <c r="E14" i="33"/>
  <c r="E41" i="33"/>
  <c r="E51" i="33"/>
  <c r="F80" i="33"/>
  <c r="L88" i="33"/>
  <c r="L89" i="33" s="1"/>
  <c r="E93" i="33"/>
  <c r="L73" i="33"/>
  <c r="F73" i="33" s="1"/>
  <c r="F72" i="33"/>
  <c r="F43" i="32"/>
  <c r="J61" i="33"/>
  <c r="J62" i="33" s="1"/>
  <c r="F60" i="33"/>
  <c r="H34" i="32"/>
  <c r="K114" i="33"/>
  <c r="L114" i="33" s="1"/>
  <c r="F114" i="33" s="1"/>
  <c r="E57" i="33"/>
  <c r="E26" i="33"/>
  <c r="J84" i="33"/>
  <c r="F84" i="33" s="1"/>
  <c r="L7" i="33"/>
  <c r="F7" i="33" s="1"/>
  <c r="L35" i="32"/>
  <c r="F35" i="32" s="1"/>
  <c r="E6" i="33"/>
  <c r="F12" i="33"/>
  <c r="E27" i="33"/>
  <c r="E37" i="33"/>
  <c r="H37" i="32"/>
  <c r="F37" i="32" s="1"/>
  <c r="E25" i="32"/>
  <c r="F37" i="33"/>
  <c r="J71" i="33"/>
  <c r="F71" i="33" s="1"/>
  <c r="J13" i="33"/>
  <c r="F13" i="33" s="1"/>
  <c r="F22" i="33"/>
  <c r="E28" i="33"/>
  <c r="E38" i="33"/>
  <c r="F54" i="33"/>
  <c r="E60" i="33"/>
  <c r="J40" i="33"/>
  <c r="F40" i="33" s="1"/>
  <c r="E23" i="33"/>
  <c r="F38" i="33"/>
  <c r="D100" i="37"/>
  <c r="D101" i="37" s="1"/>
  <c r="D102" i="37" s="1"/>
  <c r="D44" i="32" s="1"/>
  <c r="L44" i="32" s="1"/>
  <c r="D84" i="37"/>
  <c r="D87" i="37" s="1"/>
  <c r="D88" i="37" s="1"/>
  <c r="D25" i="32" s="1"/>
  <c r="L25" i="32" s="1"/>
  <c r="F100" i="37"/>
  <c r="F101" i="37" s="1"/>
  <c r="F102" i="37" s="1"/>
  <c r="D45" i="32" s="1"/>
  <c r="L45" i="32" s="1"/>
  <c r="H99" i="37"/>
  <c r="F84" i="37"/>
  <c r="F87" i="37" s="1"/>
  <c r="F88" i="37" s="1"/>
  <c r="D26" i="32" s="1"/>
  <c r="H26" i="32" s="1"/>
  <c r="H100" i="37"/>
  <c r="H84" i="37"/>
  <c r="J100" i="37"/>
  <c r="J99" i="37"/>
  <c r="J101" i="37" s="1"/>
  <c r="J102" i="37" s="1"/>
  <c r="D47" i="32" s="1"/>
  <c r="L47" i="32" s="1"/>
  <c r="F85" i="37"/>
  <c r="L99" i="37"/>
  <c r="L101" i="37" s="1"/>
  <c r="L102" i="37" s="1"/>
  <c r="D48" i="32" s="1"/>
  <c r="L48" i="32" s="1"/>
  <c r="J84" i="37"/>
  <c r="D85" i="37"/>
  <c r="L15" i="33"/>
  <c r="F14" i="33"/>
  <c r="F51" i="33"/>
  <c r="J32" i="33"/>
  <c r="J33" i="33" s="1"/>
  <c r="L95" i="33"/>
  <c r="F95" i="33" s="1"/>
  <c r="H5" i="33"/>
  <c r="J69" i="33"/>
  <c r="F69" i="33" s="1"/>
  <c r="H32" i="33"/>
  <c r="H33" i="33" s="1"/>
  <c r="F20" i="33"/>
  <c r="J113" i="33"/>
  <c r="J115" i="33" s="1"/>
  <c r="J116" i="33" s="1"/>
  <c r="J117" i="33" s="1"/>
  <c r="F68" i="33"/>
  <c r="J9" i="33"/>
  <c r="F9" i="33" s="1"/>
  <c r="E44" i="33"/>
  <c r="L44" i="33"/>
  <c r="L31" i="33"/>
  <c r="F31" i="33" s="1"/>
  <c r="H64" i="33"/>
  <c r="L36" i="33"/>
  <c r="F36" i="33" s="1"/>
  <c r="H97" i="33"/>
  <c r="H98" i="33" s="1"/>
  <c r="F83" i="33"/>
  <c r="L58" i="33"/>
  <c r="L59" i="33" s="1"/>
  <c r="F59" i="33" s="1"/>
  <c r="H47" i="33"/>
  <c r="H48" i="33" s="1"/>
  <c r="F35" i="33"/>
  <c r="F65" i="33"/>
  <c r="E80" i="33"/>
  <c r="J97" i="33"/>
  <c r="J98" i="33" s="1"/>
  <c r="F21" i="33"/>
  <c r="H88" i="33"/>
  <c r="H89" i="33" s="1"/>
  <c r="E91" i="33"/>
  <c r="L91" i="33"/>
  <c r="F29" i="33"/>
  <c r="E35" i="33"/>
  <c r="E53" i="33"/>
  <c r="E94" i="33"/>
  <c r="E8" i="33"/>
  <c r="E12" i="33"/>
  <c r="E112" i="33"/>
  <c r="E39" i="33"/>
  <c r="E43" i="33"/>
  <c r="E68" i="33"/>
  <c r="E83" i="33"/>
  <c r="L38" i="32" l="1"/>
  <c r="F38" i="32" s="1"/>
  <c r="H36" i="32"/>
  <c r="F36" i="32" s="1"/>
  <c r="G75" i="37"/>
  <c r="D15" i="32" s="1"/>
  <c r="B10" i="38"/>
  <c r="F8" i="38" s="1"/>
  <c r="D55" i="32" s="1"/>
  <c r="L55" i="32" s="1"/>
  <c r="H45" i="32"/>
  <c r="F45" i="32" s="1"/>
  <c r="O74" i="37"/>
  <c r="H48" i="32"/>
  <c r="F48" i="32" s="1"/>
  <c r="L15" i="32"/>
  <c r="H15" i="32"/>
  <c r="O75" i="37"/>
  <c r="D19" i="32" s="1"/>
  <c r="F113" i="33"/>
  <c r="J87" i="37"/>
  <c r="J88" i="37" s="1"/>
  <c r="D28" i="32" s="1"/>
  <c r="H47" i="32"/>
  <c r="F47" i="32" s="1"/>
  <c r="H44" i="32"/>
  <c r="F44" i="32" s="1"/>
  <c r="H87" i="37"/>
  <c r="H88" i="37" s="1"/>
  <c r="D27" i="32" s="1"/>
  <c r="K74" i="37"/>
  <c r="K75" i="37" s="1"/>
  <c r="D17" i="32" s="1"/>
  <c r="H25" i="32"/>
  <c r="F25" i="32" s="1"/>
  <c r="L26" i="32"/>
  <c r="F26" i="32" s="1"/>
  <c r="M74" i="37"/>
  <c r="M75" i="37" s="1"/>
  <c r="D18" i="32" s="1"/>
  <c r="I74" i="37"/>
  <c r="I75" i="37" s="1"/>
  <c r="D16" i="32" s="1"/>
  <c r="H124" i="33"/>
  <c r="F119" i="33"/>
  <c r="L75" i="33"/>
  <c r="L76" i="33" s="1"/>
  <c r="L17" i="33"/>
  <c r="L18" i="33" s="1"/>
  <c r="J47" i="33"/>
  <c r="J48" i="33" s="1"/>
  <c r="J88" i="33"/>
  <c r="J89" i="33" s="1"/>
  <c r="F58" i="33"/>
  <c r="F15" i="33"/>
  <c r="H39" i="32"/>
  <c r="F34" i="32"/>
  <c r="E14" i="36"/>
  <c r="C24" i="36"/>
  <c r="E24" i="36" s="1"/>
  <c r="J17" i="33"/>
  <c r="J18" i="33" s="1"/>
  <c r="J75" i="33"/>
  <c r="J76" i="33" s="1"/>
  <c r="E114" i="33"/>
  <c r="L39" i="32"/>
  <c r="L40" i="32" s="1"/>
  <c r="H101" i="37"/>
  <c r="H102" i="37" s="1"/>
  <c r="D46" i="32" s="1"/>
  <c r="F64" i="33"/>
  <c r="H75" i="33"/>
  <c r="L45" i="33"/>
  <c r="F45" i="33" s="1"/>
  <c r="F44" i="33"/>
  <c r="L32" i="33"/>
  <c r="L33" i="33" s="1"/>
  <c r="L61" i="33"/>
  <c r="F88" i="33"/>
  <c r="L115" i="33"/>
  <c r="L116" i="33" s="1"/>
  <c r="L117" i="33" s="1"/>
  <c r="L97" i="33"/>
  <c r="L98" i="33" s="1"/>
  <c r="F91" i="33"/>
  <c r="F5" i="33"/>
  <c r="H17" i="33"/>
  <c r="P18" i="30"/>
  <c r="P17" i="30"/>
  <c r="P16" i="30"/>
  <c r="P15" i="30"/>
  <c r="P14" i="30"/>
  <c r="H55" i="32" l="1"/>
  <c r="F55" i="32" s="1"/>
  <c r="F15" i="32"/>
  <c r="D8" i="38"/>
  <c r="D53" i="32" s="1"/>
  <c r="L53" i="32" s="1"/>
  <c r="E8" i="38"/>
  <c r="D54" i="32" s="1"/>
  <c r="L54" i="32" s="1"/>
  <c r="C8" i="38"/>
  <c r="D52" i="32" s="1"/>
  <c r="H53" i="32"/>
  <c r="F53" i="32" s="1"/>
  <c r="G8" i="38"/>
  <c r="D56" i="32" s="1"/>
  <c r="H54" i="32"/>
  <c r="F54" i="32" s="1"/>
  <c r="L18" i="32"/>
  <c r="H18" i="32"/>
  <c r="H17" i="32"/>
  <c r="L17" i="32"/>
  <c r="F17" i="32" s="1"/>
  <c r="L19" i="32"/>
  <c r="H19" i="32"/>
  <c r="H16" i="32"/>
  <c r="L16" i="32"/>
  <c r="F89" i="33"/>
  <c r="H28" i="32"/>
  <c r="L28" i="32"/>
  <c r="L27" i="32"/>
  <c r="H27" i="32"/>
  <c r="L46" i="32"/>
  <c r="L49" i="32" s="1"/>
  <c r="L50" i="32" s="1"/>
  <c r="H46" i="32"/>
  <c r="F46" i="32" s="1"/>
  <c r="F32" i="33"/>
  <c r="F117" i="33"/>
  <c r="F33" i="33"/>
  <c r="F98" i="33"/>
  <c r="F124" i="33"/>
  <c r="H125" i="33"/>
  <c r="F97" i="33"/>
  <c r="H40" i="32"/>
  <c r="F39" i="32"/>
  <c r="F115" i="33"/>
  <c r="C25" i="36"/>
  <c r="E25" i="36" s="1"/>
  <c r="E15" i="36"/>
  <c r="F61" i="33"/>
  <c r="L62" i="33"/>
  <c r="F75" i="33"/>
  <c r="H76" i="33"/>
  <c r="F17" i="33"/>
  <c r="H18" i="33"/>
  <c r="L47" i="33"/>
  <c r="F116" i="33"/>
  <c r="M46" i="29"/>
  <c r="C21" i="29"/>
  <c r="A15" i="29"/>
  <c r="H20" i="32" l="1"/>
  <c r="H21" i="32" s="1"/>
  <c r="L30" i="32"/>
  <c r="L31" i="32" s="1"/>
  <c r="F18" i="32"/>
  <c r="H52" i="32"/>
  <c r="L52" i="32"/>
  <c r="H56" i="32"/>
  <c r="L56" i="32"/>
  <c r="L57" i="32" s="1"/>
  <c r="L58" i="32" s="1"/>
  <c r="F27" i="32"/>
  <c r="F19" i="32"/>
  <c r="F76" i="33"/>
  <c r="F16" i="32"/>
  <c r="L20" i="32"/>
  <c r="F125" i="33"/>
  <c r="H30" i="32"/>
  <c r="H49" i="32"/>
  <c r="F28" i="32"/>
  <c r="F40" i="32"/>
  <c r="F62" i="33"/>
  <c r="F18" i="33"/>
  <c r="C26" i="36"/>
  <c r="E26" i="36" s="1"/>
  <c r="E16" i="36"/>
  <c r="L48" i="33"/>
  <c r="F47" i="33"/>
  <c r="F52" i="32" l="1"/>
  <c r="F56" i="32"/>
  <c r="H57" i="32"/>
  <c r="H31" i="32"/>
  <c r="F30" i="32"/>
  <c r="F49" i="32"/>
  <c r="H50" i="32"/>
  <c r="L21" i="32"/>
  <c r="F20" i="32"/>
  <c r="F48" i="33"/>
  <c r="E17" i="36"/>
  <c r="E18" i="36"/>
  <c r="C27" i="36"/>
  <c r="M12" i="1"/>
  <c r="K12" i="1"/>
  <c r="F57" i="32" l="1"/>
  <c r="H58" i="32"/>
  <c r="F50" i="32"/>
  <c r="F21" i="32"/>
  <c r="F31" i="32"/>
  <c r="E19" i="36"/>
  <c r="C28" i="36"/>
  <c r="E28" i="36" s="1"/>
  <c r="E27" i="36"/>
  <c r="P13" i="28" l="1"/>
  <c r="P14" i="28"/>
  <c r="F58" i="32"/>
  <c r="E29" i="36"/>
  <c r="C32" i="5" l="1"/>
  <c r="B32" i="5"/>
  <c r="A32" i="5"/>
  <c r="C31" i="5"/>
  <c r="B31" i="5"/>
  <c r="A31" i="5"/>
  <c r="A30" i="5"/>
  <c r="C29" i="5"/>
  <c r="B29" i="5"/>
  <c r="A29" i="5"/>
  <c r="C28" i="5"/>
  <c r="B28" i="5"/>
  <c r="A28" i="5"/>
  <c r="C27" i="5"/>
  <c r="B27" i="5"/>
  <c r="A27" i="5"/>
  <c r="C26" i="5"/>
  <c r="B26" i="5"/>
  <c r="A26" i="5"/>
  <c r="A25" i="5"/>
  <c r="C24" i="5"/>
  <c r="B24" i="5"/>
  <c r="A24" i="5"/>
  <c r="C23" i="5"/>
  <c r="B23" i="5"/>
  <c r="A23" i="5"/>
  <c r="C22" i="5"/>
  <c r="B22" i="5"/>
  <c r="A22" i="5"/>
  <c r="C21" i="5"/>
  <c r="B21" i="5"/>
  <c r="A21" i="5"/>
  <c r="A20" i="5"/>
  <c r="A19" i="5"/>
  <c r="C18" i="5"/>
  <c r="B18" i="5"/>
  <c r="A18" i="5"/>
  <c r="C17" i="5"/>
  <c r="B17" i="5"/>
  <c r="A17" i="5"/>
  <c r="C16" i="5"/>
  <c r="B16" i="5"/>
  <c r="A16" i="5"/>
  <c r="C15" i="5"/>
  <c r="B15" i="5"/>
  <c r="A15" i="5"/>
  <c r="C14" i="5"/>
  <c r="B14" i="5"/>
  <c r="A14" i="5"/>
  <c r="C13" i="5"/>
  <c r="B13" i="5"/>
  <c r="A13" i="5"/>
  <c r="A12" i="5"/>
  <c r="C11" i="5"/>
  <c r="B11" i="5"/>
  <c r="A11" i="5"/>
  <c r="A10" i="5"/>
  <c r="C9" i="5"/>
  <c r="B9" i="5"/>
  <c r="A9" i="5"/>
  <c r="C8" i="5"/>
  <c r="B8" i="5"/>
  <c r="A8" i="5"/>
  <c r="A7" i="5"/>
  <c r="C6" i="5"/>
  <c r="B6" i="5"/>
  <c r="A6" i="5"/>
  <c r="A5" i="5"/>
  <c r="C200" i="3"/>
  <c r="C199" i="3"/>
  <c r="C198" i="3"/>
  <c r="C197" i="3"/>
  <c r="C196" i="3"/>
  <c r="C195" i="3"/>
  <c r="C180" i="3"/>
  <c r="C179" i="3"/>
  <c r="C178" i="3"/>
  <c r="C177" i="3"/>
  <c r="C176" i="3"/>
  <c r="C175" i="3"/>
  <c r="C169" i="3"/>
  <c r="C168" i="3"/>
  <c r="C167" i="3"/>
  <c r="C166" i="3"/>
  <c r="C165" i="3"/>
  <c r="C164" i="3"/>
  <c r="C160" i="3"/>
  <c r="C159" i="3"/>
  <c r="C158" i="3"/>
  <c r="C157" i="3"/>
  <c r="C156" i="3"/>
  <c r="C155" i="3"/>
  <c r="C150" i="3"/>
  <c r="C149" i="3"/>
  <c r="C148" i="3"/>
  <c r="C147" i="3"/>
  <c r="C146" i="3"/>
  <c r="C145" i="3"/>
  <c r="C139" i="3"/>
  <c r="C138" i="3"/>
  <c r="C137" i="3"/>
  <c r="C136" i="3"/>
  <c r="C135" i="3"/>
  <c r="C134" i="3"/>
  <c r="C130" i="3"/>
  <c r="C129" i="3"/>
  <c r="C128" i="3"/>
  <c r="C127" i="3"/>
  <c r="C126" i="3"/>
  <c r="C125" i="3"/>
  <c r="C119" i="3"/>
  <c r="C118" i="3"/>
  <c r="C117" i="3"/>
  <c r="C116" i="3"/>
  <c r="C115" i="3"/>
  <c r="C114" i="3"/>
  <c r="C110" i="3"/>
  <c r="C109" i="3"/>
  <c r="C108" i="3"/>
  <c r="C107" i="3"/>
  <c r="C106" i="3"/>
  <c r="C105" i="3"/>
  <c r="C99" i="3"/>
  <c r="C98" i="3"/>
  <c r="C97" i="3"/>
  <c r="C96" i="3"/>
  <c r="C95" i="3"/>
  <c r="C94" i="3"/>
  <c r="C90" i="3"/>
  <c r="C89" i="3"/>
  <c r="C88" i="3"/>
  <c r="C87" i="3"/>
  <c r="C86" i="3"/>
  <c r="C85" i="3"/>
  <c r="C79" i="3"/>
  <c r="C78" i="3"/>
  <c r="C77" i="3"/>
  <c r="C76" i="3"/>
  <c r="C75" i="3"/>
  <c r="C74" i="3"/>
  <c r="C70" i="3"/>
  <c r="C69" i="3"/>
  <c r="C68" i="3"/>
  <c r="C67" i="3"/>
  <c r="C66" i="3"/>
  <c r="C65" i="3"/>
  <c r="C60" i="3"/>
  <c r="C59" i="3"/>
  <c r="C58" i="3"/>
  <c r="C57" i="3"/>
  <c r="C56" i="3"/>
  <c r="C55" i="3"/>
  <c r="C51" i="3"/>
  <c r="C50" i="3"/>
  <c r="C49" i="3"/>
  <c r="C48" i="3"/>
  <c r="C47" i="3"/>
  <c r="C46" i="3"/>
  <c r="C40" i="3"/>
  <c r="C39" i="3"/>
  <c r="C38" i="3"/>
  <c r="C37" i="3"/>
  <c r="C36" i="3"/>
  <c r="C35" i="3"/>
  <c r="C31" i="3"/>
  <c r="C30" i="3"/>
  <c r="C29" i="3"/>
  <c r="C28" i="3"/>
  <c r="C27" i="3"/>
  <c r="C26" i="3"/>
  <c r="C20" i="3"/>
  <c r="C19" i="3"/>
  <c r="C18" i="3"/>
  <c r="C17" i="3"/>
  <c r="C16" i="3"/>
  <c r="C15" i="3"/>
  <c r="C9" i="3"/>
  <c r="C8" i="3"/>
  <c r="C7" i="3"/>
  <c r="C6" i="3"/>
  <c r="C5" i="3"/>
  <c r="C4" i="3"/>
  <c r="I25" i="14" l="1"/>
  <c r="H25" i="14"/>
  <c r="G25" i="14"/>
  <c r="F25" i="14"/>
  <c r="E25" i="14"/>
  <c r="D25" i="14"/>
  <c r="I30" i="14" l="1"/>
  <c r="H30" i="14"/>
  <c r="G30" i="14"/>
  <c r="F30" i="14"/>
  <c r="E30" i="14"/>
  <c r="D30" i="14"/>
  <c r="I19" i="14"/>
  <c r="H19" i="14"/>
  <c r="G19" i="14"/>
  <c r="F19" i="14"/>
  <c r="E19" i="14"/>
  <c r="D19" i="14"/>
  <c r="I12" i="14"/>
  <c r="I10" i="14" s="1"/>
  <c r="H12" i="14"/>
  <c r="H10" i="14" s="1"/>
  <c r="G12" i="14"/>
  <c r="G10" i="14" s="1"/>
  <c r="F12" i="14"/>
  <c r="F10" i="14" s="1"/>
  <c r="E12" i="14"/>
  <c r="E10" i="14" s="1"/>
  <c r="D12" i="14"/>
  <c r="D10" i="14" s="1"/>
  <c r="I7" i="14"/>
  <c r="H7" i="14"/>
  <c r="G7" i="14"/>
  <c r="F7" i="14"/>
  <c r="E7" i="14"/>
  <c r="D7" i="14"/>
  <c r="I5" i="14"/>
  <c r="H5" i="14"/>
  <c r="G5" i="14"/>
  <c r="F5" i="14"/>
  <c r="E5" i="14"/>
  <c r="D5" i="14"/>
  <c r="E4" i="14" l="1"/>
  <c r="D4" i="14"/>
  <c r="I4" i="14"/>
  <c r="F4" i="14"/>
  <c r="G4" i="14"/>
  <c r="H4" i="14"/>
  <c r="E32" i="5"/>
  <c r="E31" i="5"/>
  <c r="E18" i="5"/>
  <c r="E15" i="5"/>
  <c r="E14" i="5"/>
  <c r="E13" i="5"/>
  <c r="E9" i="5"/>
  <c r="E8" i="5"/>
  <c r="E6" i="5"/>
  <c r="S7" i="3"/>
  <c r="T7" i="3" s="1"/>
  <c r="S8" i="3"/>
  <c r="T8" i="3" s="1"/>
  <c r="S9" i="3"/>
  <c r="B92" i="3" s="1"/>
  <c r="S10" i="3"/>
  <c r="T10" i="3" s="1"/>
  <c r="B202" i="3" l="1"/>
  <c r="B207" i="3"/>
  <c r="B162" i="3"/>
  <c r="B141" i="3"/>
  <c r="B121" i="3"/>
  <c r="B171" i="3"/>
  <c r="B152" i="3"/>
  <c r="B132" i="3"/>
  <c r="B112" i="3"/>
  <c r="B182" i="3"/>
  <c r="T9" i="3"/>
  <c r="B72" i="3"/>
  <c r="B62" i="3"/>
  <c r="B53" i="3"/>
  <c r="B42" i="3"/>
  <c r="B101" i="3"/>
  <c r="B81" i="3"/>
  <c r="AB32" i="5"/>
  <c r="AA32" i="5"/>
  <c r="Z32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J32" i="5"/>
  <c r="I32" i="5"/>
  <c r="H32" i="5"/>
  <c r="G32" i="5"/>
  <c r="F32" i="5"/>
  <c r="AC31" i="5"/>
  <c r="AB31" i="5"/>
  <c r="AA31" i="5"/>
  <c r="Z31" i="5"/>
  <c r="Y31" i="5"/>
  <c r="X31" i="5"/>
  <c r="W31" i="5"/>
  <c r="V31" i="5"/>
  <c r="U31" i="5"/>
  <c r="T31" i="5"/>
  <c r="S31" i="5"/>
  <c r="R31" i="5"/>
  <c r="Q31" i="5"/>
  <c r="P31" i="5"/>
  <c r="O31" i="5"/>
  <c r="N31" i="5"/>
  <c r="M31" i="5"/>
  <c r="L31" i="5"/>
  <c r="K31" i="5"/>
  <c r="J31" i="5"/>
  <c r="I31" i="5"/>
  <c r="H31" i="5"/>
  <c r="G31" i="5"/>
  <c r="F31" i="5"/>
  <c r="AC30" i="5"/>
  <c r="AB30" i="5"/>
  <c r="AA30" i="5"/>
  <c r="Z30" i="5"/>
  <c r="Y30" i="5"/>
  <c r="X30" i="5"/>
  <c r="W30" i="5"/>
  <c r="V30" i="5"/>
  <c r="U30" i="5"/>
  <c r="T30" i="5"/>
  <c r="S30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E30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K29" i="5"/>
  <c r="J29" i="5"/>
  <c r="H29" i="5"/>
  <c r="G29" i="5"/>
  <c r="F29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N28" i="5"/>
  <c r="M28" i="5"/>
  <c r="K28" i="5"/>
  <c r="J28" i="5"/>
  <c r="I28" i="5"/>
  <c r="G28" i="5"/>
  <c r="F28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K27" i="5"/>
  <c r="I27" i="5"/>
  <c r="H27" i="5"/>
  <c r="G27" i="5"/>
  <c r="F27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K26" i="5"/>
  <c r="J26" i="5"/>
  <c r="I26" i="5"/>
  <c r="H26" i="5"/>
  <c r="G26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K25" i="5"/>
  <c r="J25" i="5"/>
  <c r="I25" i="5"/>
  <c r="H25" i="5"/>
  <c r="G25" i="5"/>
  <c r="F25" i="5"/>
  <c r="E25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N22" i="5"/>
  <c r="M22" i="5"/>
  <c r="L22" i="5"/>
  <c r="K22" i="5"/>
  <c r="J22" i="5"/>
  <c r="I22" i="5"/>
  <c r="H22" i="5"/>
  <c r="F22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N21" i="5"/>
  <c r="M21" i="5"/>
  <c r="L21" i="5"/>
  <c r="K21" i="5"/>
  <c r="J21" i="5"/>
  <c r="I21" i="5"/>
  <c r="H21" i="5"/>
  <c r="G21" i="5"/>
  <c r="AC20" i="5"/>
  <c r="AB20" i="5"/>
  <c r="AA20" i="5"/>
  <c r="Z20" i="5"/>
  <c r="Y20" i="5"/>
  <c r="X20" i="5"/>
  <c r="W20" i="5"/>
  <c r="V20" i="5"/>
  <c r="U20" i="5"/>
  <c r="T20" i="5"/>
  <c r="S20" i="5"/>
  <c r="R20" i="5"/>
  <c r="Q20" i="5"/>
  <c r="P20" i="5"/>
  <c r="O20" i="5"/>
  <c r="N20" i="5"/>
  <c r="M20" i="5"/>
  <c r="L20" i="5"/>
  <c r="K20" i="5"/>
  <c r="J20" i="5"/>
  <c r="I20" i="5"/>
  <c r="H20" i="5"/>
  <c r="G20" i="5"/>
  <c r="F20" i="5"/>
  <c r="E20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AC18" i="5"/>
  <c r="AB18" i="5"/>
  <c r="AA18" i="5"/>
  <c r="Z18" i="5"/>
  <c r="Y18" i="5"/>
  <c r="X18" i="5"/>
  <c r="W18" i="5"/>
  <c r="V18" i="5"/>
  <c r="U18" i="5"/>
  <c r="T18" i="5"/>
  <c r="S18" i="5"/>
  <c r="R18" i="5"/>
  <c r="Q18" i="5"/>
  <c r="P18" i="5"/>
  <c r="O18" i="5"/>
  <c r="N18" i="5"/>
  <c r="M18" i="5"/>
  <c r="L18" i="5"/>
  <c r="K18" i="5"/>
  <c r="J18" i="5"/>
  <c r="I18" i="5"/>
  <c r="H18" i="5"/>
  <c r="G18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J17" i="5"/>
  <c r="I17" i="5"/>
  <c r="H17" i="5"/>
  <c r="F17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P16" i="5"/>
  <c r="O16" i="5"/>
  <c r="N16" i="5"/>
  <c r="M16" i="5"/>
  <c r="L16" i="5"/>
  <c r="K16" i="5"/>
  <c r="J16" i="5"/>
  <c r="I16" i="5"/>
  <c r="H16" i="5"/>
  <c r="G16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N15" i="5"/>
  <c r="M15" i="5"/>
  <c r="L15" i="5"/>
  <c r="K15" i="5"/>
  <c r="J15" i="5"/>
  <c r="I15" i="5"/>
  <c r="H15" i="5"/>
  <c r="F15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K14" i="5"/>
  <c r="J14" i="5"/>
  <c r="I14" i="5"/>
  <c r="H14" i="5"/>
  <c r="F14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N13" i="5"/>
  <c r="M13" i="5"/>
  <c r="L13" i="5"/>
  <c r="K13" i="5"/>
  <c r="J13" i="5"/>
  <c r="I13" i="5"/>
  <c r="H13" i="5"/>
  <c r="F13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E12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N11" i="5"/>
  <c r="M11" i="5"/>
  <c r="L11" i="5"/>
  <c r="K11" i="5"/>
  <c r="J11" i="5"/>
  <c r="I11" i="5"/>
  <c r="H11" i="5"/>
  <c r="G11" i="5"/>
  <c r="F11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J10" i="5"/>
  <c r="I10" i="5"/>
  <c r="H10" i="5"/>
  <c r="G10" i="5"/>
  <c r="F10" i="5"/>
  <c r="E10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AC8" i="5"/>
  <c r="AB8" i="5"/>
  <c r="AA8" i="5"/>
  <c r="Z8" i="5"/>
  <c r="Y8" i="5"/>
  <c r="X8" i="5"/>
  <c r="W8" i="5"/>
  <c r="V8" i="5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G8" i="5"/>
  <c r="F8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J7" i="5"/>
  <c r="I7" i="5"/>
  <c r="H7" i="5"/>
  <c r="G7" i="5"/>
  <c r="F7" i="5"/>
  <c r="E7" i="5"/>
  <c r="AC6" i="5"/>
  <c r="AB6" i="5"/>
  <c r="AA6" i="5"/>
  <c r="Z6" i="5"/>
  <c r="Y6" i="5"/>
  <c r="X6" i="5"/>
  <c r="W6" i="5"/>
  <c r="V6" i="5"/>
  <c r="U6" i="5"/>
  <c r="T6" i="5"/>
  <c r="S6" i="5"/>
  <c r="R6" i="5"/>
  <c r="Q6" i="5"/>
  <c r="P6" i="5"/>
  <c r="O6" i="5"/>
  <c r="N6" i="5"/>
  <c r="M6" i="5"/>
  <c r="L6" i="5"/>
  <c r="K6" i="5"/>
  <c r="J6" i="5"/>
  <c r="I6" i="5"/>
  <c r="H6" i="5"/>
  <c r="G6" i="5"/>
  <c r="F6" i="5"/>
  <c r="AC5" i="5"/>
  <c r="AB5" i="5"/>
  <c r="AA5" i="5"/>
  <c r="Z5" i="5"/>
  <c r="Y5" i="5"/>
  <c r="X5" i="5"/>
  <c r="W5" i="5"/>
  <c r="V5" i="5"/>
  <c r="U5" i="5"/>
  <c r="T5" i="5"/>
  <c r="S5" i="5"/>
  <c r="R5" i="5"/>
  <c r="Q5" i="5"/>
  <c r="P5" i="5"/>
  <c r="O5" i="5"/>
  <c r="N5" i="5"/>
  <c r="M5" i="5"/>
  <c r="L5" i="5"/>
  <c r="K5" i="5"/>
  <c r="J5" i="5"/>
  <c r="I5" i="5"/>
  <c r="H5" i="5"/>
  <c r="G5" i="5"/>
  <c r="F5" i="5"/>
  <c r="E5" i="5"/>
  <c r="AC3" i="5"/>
  <c r="AB3" i="5"/>
  <c r="AA3" i="5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AB101" i="4"/>
  <c r="AC32" i="5" s="1"/>
  <c r="E26" i="5"/>
  <c r="E24" i="5"/>
  <c r="E23" i="5"/>
  <c r="E21" i="5"/>
  <c r="E13" i="4"/>
  <c r="C84" i="4"/>
  <c r="E19" i="4"/>
  <c r="F86" i="4" s="1"/>
  <c r="G17" i="5" s="1"/>
  <c r="AD11" i="5" l="1"/>
  <c r="AD30" i="5"/>
  <c r="AD31" i="5"/>
  <c r="D31" i="2" s="1"/>
  <c r="AD9" i="5"/>
  <c r="AD8" i="5"/>
  <c r="E17" i="5"/>
  <c r="AD17" i="5" s="1"/>
  <c r="AD6" i="5"/>
  <c r="AD23" i="5"/>
  <c r="D23" i="2" s="1"/>
  <c r="AD24" i="5"/>
  <c r="D24" i="2" s="1"/>
  <c r="AD32" i="5"/>
  <c r="F91" i="4"/>
  <c r="G22" i="5" s="1"/>
  <c r="AD22" i="5" s="1"/>
  <c r="D7" i="36"/>
  <c r="D65" i="4" l="1"/>
  <c r="I29" i="5"/>
  <c r="V4" i="35" l="1"/>
  <c r="Q8" i="35"/>
  <c r="V5" i="35"/>
  <c r="V8" i="35" l="1"/>
  <c r="J13" i="35" s="1"/>
  <c r="E23" i="51"/>
  <c r="G23" i="51" s="1"/>
  <c r="V15" i="35"/>
  <c r="X15" i="35" s="1"/>
  <c r="J14" i="35"/>
  <c r="E5" i="35" s="1"/>
  <c r="F13" i="35"/>
  <c r="Q15" i="35"/>
  <c r="D33" i="36" l="1"/>
  <c r="D32" i="36"/>
  <c r="F14" i="36"/>
  <c r="D39" i="37"/>
  <c r="N35" i="41"/>
  <c r="C33" i="41" s="1"/>
  <c r="D33" i="41" s="1"/>
  <c r="E8" i="35"/>
  <c r="E7" i="35"/>
  <c r="F14" i="35"/>
  <c r="C32" i="41" s="1"/>
  <c r="F33" i="41" l="1"/>
  <c r="D62" i="32"/>
  <c r="D32" i="41"/>
  <c r="C31" i="41"/>
  <c r="D31" i="41" s="1"/>
  <c r="C17" i="37"/>
  <c r="C4" i="37"/>
  <c r="X18" i="37"/>
  <c r="F17" i="37" s="1"/>
  <c r="F24" i="36"/>
  <c r="H24" i="36" s="1"/>
  <c r="I24" i="36" s="1"/>
  <c r="H14" i="36"/>
  <c r="I14" i="36" s="1"/>
  <c r="F15" i="36"/>
  <c r="C107" i="33"/>
  <c r="C100" i="33"/>
  <c r="C102" i="33"/>
  <c r="C105" i="33"/>
  <c r="B36" i="36"/>
  <c r="F36" i="36" s="1"/>
  <c r="C104" i="33"/>
  <c r="C103" i="33"/>
  <c r="C101" i="33"/>
  <c r="C106" i="33"/>
  <c r="L105" i="33" l="1"/>
  <c r="J105" i="33"/>
  <c r="H105" i="33"/>
  <c r="F3" i="37"/>
  <c r="I3" i="37"/>
  <c r="O3" i="37"/>
  <c r="L3" i="37"/>
  <c r="L104" i="33"/>
  <c r="H104" i="33"/>
  <c r="J104" i="33"/>
  <c r="F32" i="41"/>
  <c r="D61" i="32"/>
  <c r="H100" i="33"/>
  <c r="J100" i="33"/>
  <c r="L100" i="33"/>
  <c r="L103" i="33"/>
  <c r="H103" i="33"/>
  <c r="J103" i="33"/>
  <c r="D60" i="32"/>
  <c r="F31" i="41"/>
  <c r="L101" i="33"/>
  <c r="J101" i="33"/>
  <c r="H101" i="33"/>
  <c r="J102" i="33"/>
  <c r="H102" i="33"/>
  <c r="L102" i="33"/>
  <c r="J107" i="33"/>
  <c r="L107" i="33"/>
  <c r="H107" i="33"/>
  <c r="H15" i="36"/>
  <c r="I15" i="36" s="1"/>
  <c r="F25" i="36"/>
  <c r="H25" i="36" s="1"/>
  <c r="I25" i="36" s="1"/>
  <c r="F16" i="36"/>
  <c r="G17" i="37"/>
  <c r="H62" i="32"/>
  <c r="L62" i="32"/>
  <c r="J106" i="33"/>
  <c r="H106" i="33"/>
  <c r="L106" i="33"/>
  <c r="F34" i="41" l="1"/>
  <c r="F107" i="33"/>
  <c r="F62" i="32"/>
  <c r="F103" i="33"/>
  <c r="F101" i="33"/>
  <c r="F105" i="33"/>
  <c r="F35" i="41"/>
  <c r="F36" i="41" s="1"/>
  <c r="C11" i="37"/>
  <c r="E11" i="37"/>
  <c r="E15" i="37"/>
  <c r="L60" i="32"/>
  <c r="H60" i="32"/>
  <c r="E12" i="37"/>
  <c r="F15" i="37"/>
  <c r="C12" i="37"/>
  <c r="C10" i="37"/>
  <c r="D15" i="37"/>
  <c r="E10" i="37"/>
  <c r="E9" i="37"/>
  <c r="C15" i="37"/>
  <c r="G15" i="37"/>
  <c r="C14" i="37" s="1"/>
  <c r="E14" i="37" s="1"/>
  <c r="G14" i="37" s="1"/>
  <c r="C9" i="37"/>
  <c r="C33" i="37"/>
  <c r="C32" i="37"/>
  <c r="L108" i="33"/>
  <c r="L109" i="33" s="1"/>
  <c r="J108" i="33"/>
  <c r="J109" i="33" s="1"/>
  <c r="F102" i="33"/>
  <c r="F106" i="33"/>
  <c r="H16" i="36"/>
  <c r="I16" i="36" s="1"/>
  <c r="F26" i="36"/>
  <c r="H26" i="36" s="1"/>
  <c r="I26" i="36" s="1"/>
  <c r="F17" i="36"/>
  <c r="F100" i="33"/>
  <c r="H108" i="33"/>
  <c r="L61" i="32"/>
  <c r="H61" i="32"/>
  <c r="F61" i="32" s="1"/>
  <c r="F104" i="33"/>
  <c r="G12" i="37" l="1"/>
  <c r="C29" i="37" s="1"/>
  <c r="G9" i="37"/>
  <c r="L63" i="32"/>
  <c r="F60" i="32"/>
  <c r="H63" i="32"/>
  <c r="C22" i="37"/>
  <c r="C23" i="37"/>
  <c r="C31" i="37"/>
  <c r="C30" i="37"/>
  <c r="F27" i="36"/>
  <c r="H27" i="36" s="1"/>
  <c r="I27" i="36" s="1"/>
  <c r="F18" i="36"/>
  <c r="H17" i="36"/>
  <c r="I17" i="36" s="1"/>
  <c r="E33" i="37"/>
  <c r="M33" i="37"/>
  <c r="O33" i="37"/>
  <c r="I33" i="37"/>
  <c r="K33" i="37"/>
  <c r="G33" i="37"/>
  <c r="F108" i="33"/>
  <c r="H109" i="33"/>
  <c r="G11" i="37"/>
  <c r="G10" i="37"/>
  <c r="F37" i="41"/>
  <c r="M32" i="37"/>
  <c r="E32" i="37"/>
  <c r="G32" i="37"/>
  <c r="O32" i="37"/>
  <c r="K32" i="37"/>
  <c r="I32" i="37"/>
  <c r="C28" i="37" l="1"/>
  <c r="E28" i="37" s="1"/>
  <c r="M23" i="37"/>
  <c r="K23" i="37"/>
  <c r="O23" i="37"/>
  <c r="I23" i="37"/>
  <c r="G23" i="37"/>
  <c r="E23" i="37"/>
  <c r="K22" i="37"/>
  <c r="O22" i="37"/>
  <c r="M22" i="37"/>
  <c r="I22" i="37"/>
  <c r="G22" i="37"/>
  <c r="E22" i="37"/>
  <c r="M28" i="37"/>
  <c r="I28" i="37"/>
  <c r="C24" i="37"/>
  <c r="C25" i="37"/>
  <c r="K29" i="37"/>
  <c r="G29" i="37"/>
  <c r="M29" i="37"/>
  <c r="O29" i="37"/>
  <c r="E29" i="37"/>
  <c r="I29" i="37"/>
  <c r="C27" i="37"/>
  <c r="C26" i="37"/>
  <c r="H66" i="32"/>
  <c r="H67" i="32" s="1"/>
  <c r="L64" i="32"/>
  <c r="F64" i="32" s="1"/>
  <c r="F63" i="32"/>
  <c r="H18" i="36"/>
  <c r="F28" i="36"/>
  <c r="H28" i="36" s="1"/>
  <c r="O30" i="37"/>
  <c r="I30" i="37"/>
  <c r="G30" i="37"/>
  <c r="E30" i="37"/>
  <c r="K30" i="37"/>
  <c r="M30" i="37"/>
  <c r="G31" i="37"/>
  <c r="O31" i="37"/>
  <c r="M31" i="37"/>
  <c r="I31" i="37"/>
  <c r="E31" i="37"/>
  <c r="K31" i="37"/>
  <c r="F109" i="33"/>
  <c r="E6" i="4"/>
  <c r="G28" i="37" l="1"/>
  <c r="K28" i="37"/>
  <c r="O28" i="37"/>
  <c r="G26" i="37"/>
  <c r="I26" i="37"/>
  <c r="M26" i="37"/>
  <c r="K26" i="37"/>
  <c r="E26" i="37"/>
  <c r="O26" i="37"/>
  <c r="I27" i="37"/>
  <c r="G27" i="37"/>
  <c r="M27" i="37"/>
  <c r="K27" i="37"/>
  <c r="E27" i="37"/>
  <c r="O27" i="37"/>
  <c r="H19" i="36"/>
  <c r="I18" i="36"/>
  <c r="G34" i="37"/>
  <c r="E25" i="37"/>
  <c r="O25" i="37"/>
  <c r="G25" i="37"/>
  <c r="I25" i="37"/>
  <c r="K25" i="37"/>
  <c r="M25" i="37"/>
  <c r="H29" i="36"/>
  <c r="I28" i="36"/>
  <c r="I29" i="36" s="1"/>
  <c r="G24" i="37"/>
  <c r="O24" i="37"/>
  <c r="M24" i="37"/>
  <c r="E24" i="37"/>
  <c r="K24" i="37"/>
  <c r="I24" i="37"/>
  <c r="I34" i="37" s="1"/>
  <c r="E95" i="4"/>
  <c r="F26" i="5" s="1"/>
  <c r="E87" i="4"/>
  <c r="F18" i="5" s="1"/>
  <c r="AD18" i="5" s="1"/>
  <c r="E85" i="4"/>
  <c r="F16" i="5" s="1"/>
  <c r="AD16" i="5" s="1"/>
  <c r="O34" i="37" l="1"/>
  <c r="I35" i="37"/>
  <c r="K34" i="37"/>
  <c r="E34" i="37"/>
  <c r="M34" i="37"/>
  <c r="M36" i="37" s="1"/>
  <c r="M37" i="37" s="1"/>
  <c r="D9" i="32" s="1"/>
  <c r="K35" i="37"/>
  <c r="M35" i="37"/>
  <c r="E35" i="37"/>
  <c r="E36" i="37" s="1"/>
  <c r="E37" i="37" s="1"/>
  <c r="D5" i="32" s="1"/>
  <c r="H5" i="32" s="1"/>
  <c r="G35" i="37"/>
  <c r="G36" i="37" s="1"/>
  <c r="G37" i="37" s="1"/>
  <c r="D6" i="32" s="1"/>
  <c r="O35" i="37"/>
  <c r="K36" i="37"/>
  <c r="K37" i="37" s="1"/>
  <c r="D8" i="32" s="1"/>
  <c r="L8" i="32" s="1"/>
  <c r="I36" i="37"/>
  <c r="I37" i="37" s="1"/>
  <c r="D7" i="32" s="1"/>
  <c r="I19" i="36"/>
  <c r="O36" i="37" l="1"/>
  <c r="O37" i="37" s="1"/>
  <c r="D10" i="32" s="1"/>
  <c r="H10" i="32" s="1"/>
  <c r="L5" i="32"/>
  <c r="H8" i="32"/>
  <c r="F8" i="32" s="1"/>
  <c r="F5" i="32"/>
  <c r="L6" i="32"/>
  <c r="H6" i="32"/>
  <c r="H9" i="32"/>
  <c r="L9" i="32"/>
  <c r="H7" i="32"/>
  <c r="L7" i="32"/>
  <c r="K98" i="4"/>
  <c r="L29" i="5" s="1"/>
  <c r="AD29" i="5" s="1"/>
  <c r="D29" i="2" s="1"/>
  <c r="K96" i="4"/>
  <c r="L27" i="5" s="1"/>
  <c r="K97" i="4"/>
  <c r="L28" i="5" s="1"/>
  <c r="K95" i="4"/>
  <c r="L26" i="5" s="1"/>
  <c r="AD26" i="5" s="1"/>
  <c r="D26" i="2" s="1"/>
  <c r="H7" i="8"/>
  <c r="H4" i="8"/>
  <c r="C101" i="4"/>
  <c r="A101" i="4"/>
  <c r="C100" i="4"/>
  <c r="A100" i="4"/>
  <c r="A99" i="4"/>
  <c r="A98" i="4"/>
  <c r="A97" i="4"/>
  <c r="A96" i="4"/>
  <c r="A95" i="4"/>
  <c r="A94" i="4"/>
  <c r="C93" i="4"/>
  <c r="A93" i="4"/>
  <c r="C92" i="4"/>
  <c r="A92" i="4"/>
  <c r="C91" i="4"/>
  <c r="A91" i="4"/>
  <c r="C90" i="4"/>
  <c r="A90" i="4"/>
  <c r="A89" i="4"/>
  <c r="A88" i="4"/>
  <c r="C87" i="4"/>
  <c r="A87" i="4"/>
  <c r="C86" i="4"/>
  <c r="A86" i="4"/>
  <c r="C85" i="4"/>
  <c r="A85" i="4"/>
  <c r="A84" i="4"/>
  <c r="C83" i="4"/>
  <c r="A83" i="4"/>
  <c r="C82" i="4"/>
  <c r="A82" i="4"/>
  <c r="A81" i="4"/>
  <c r="C80" i="4"/>
  <c r="A80" i="4"/>
  <c r="A79" i="4"/>
  <c r="A78" i="4"/>
  <c r="A77" i="4"/>
  <c r="A76" i="4"/>
  <c r="A75" i="4"/>
  <c r="A74" i="4"/>
  <c r="AH3" i="5"/>
  <c r="I96" i="4"/>
  <c r="J27" i="5" s="1"/>
  <c r="I9" i="3"/>
  <c r="I190" i="3" s="1"/>
  <c r="I8" i="3"/>
  <c r="I189" i="3" s="1"/>
  <c r="I7" i="3"/>
  <c r="I188" i="3" s="1"/>
  <c r="I6" i="3"/>
  <c r="I187" i="3" s="1"/>
  <c r="I5" i="3"/>
  <c r="I186" i="3" s="1"/>
  <c r="I4" i="3"/>
  <c r="I185" i="3" s="1"/>
  <c r="M30" i="2"/>
  <c r="M25" i="2"/>
  <c r="I25" i="2"/>
  <c r="M20" i="2"/>
  <c r="I20" i="2"/>
  <c r="M12" i="2"/>
  <c r="M10" i="2" s="1"/>
  <c r="I12" i="2"/>
  <c r="I10" i="2" s="1"/>
  <c r="M7" i="2"/>
  <c r="I7" i="2"/>
  <c r="M9" i="1"/>
  <c r="J9" i="1"/>
  <c r="K9" i="1" s="1"/>
  <c r="O8" i="1"/>
  <c r="M8" i="1"/>
  <c r="J185" i="3" l="1"/>
  <c r="E185" i="3"/>
  <c r="J187" i="3"/>
  <c r="F187" i="3" s="1"/>
  <c r="E187" i="3"/>
  <c r="J190" i="3"/>
  <c r="F190" i="3" s="1"/>
  <c r="E190" i="3"/>
  <c r="J186" i="3"/>
  <c r="F186" i="3" s="1"/>
  <c r="E186" i="3"/>
  <c r="J188" i="3"/>
  <c r="F188" i="3" s="1"/>
  <c r="E188" i="3"/>
  <c r="E189" i="3"/>
  <c r="J189" i="3"/>
  <c r="F189" i="3" s="1"/>
  <c r="L10" i="32"/>
  <c r="F6" i="32"/>
  <c r="M7" i="1"/>
  <c r="M14" i="1" s="1"/>
  <c r="F7" i="32"/>
  <c r="F10" i="32"/>
  <c r="F9" i="32"/>
  <c r="L11" i="32"/>
  <c r="L12" i="32" s="1"/>
  <c r="H11" i="32"/>
  <c r="AD27" i="5"/>
  <c r="D27" i="2" s="1"/>
  <c r="I19" i="2"/>
  <c r="I4" i="2" s="1"/>
  <c r="M19" i="2"/>
  <c r="M4" i="2" s="1"/>
  <c r="F84" i="4"/>
  <c r="G15" i="5" s="1"/>
  <c r="AD15" i="5" s="1"/>
  <c r="J7" i="3"/>
  <c r="F7" i="3" s="1"/>
  <c r="I197" i="3"/>
  <c r="E197" i="3" s="1"/>
  <c r="I160" i="3"/>
  <c r="E160" i="3" s="1"/>
  <c r="J5" i="3"/>
  <c r="F5" i="3" s="1"/>
  <c r="I16" i="3"/>
  <c r="E16" i="3" s="1"/>
  <c r="E6" i="3"/>
  <c r="I37" i="3"/>
  <c r="E37" i="3" s="1"/>
  <c r="I115" i="3"/>
  <c r="E115" i="3" s="1"/>
  <c r="I136" i="3"/>
  <c r="E136" i="3" s="1"/>
  <c r="I169" i="3"/>
  <c r="E169" i="3" s="1"/>
  <c r="I38" i="3"/>
  <c r="E38" i="3" s="1"/>
  <c r="I51" i="3"/>
  <c r="E51" i="3" s="1"/>
  <c r="I68" i="3"/>
  <c r="J68" i="3" s="1"/>
  <c r="F68" i="3" s="1"/>
  <c r="I40" i="3"/>
  <c r="J40" i="3" s="1"/>
  <c r="F40" i="3" s="1"/>
  <c r="I70" i="3"/>
  <c r="E70" i="3" s="1"/>
  <c r="I108" i="3"/>
  <c r="E108" i="3" s="1"/>
  <c r="I58" i="3"/>
  <c r="E58" i="3" s="1"/>
  <c r="I47" i="3"/>
  <c r="E47" i="3" s="1"/>
  <c r="I75" i="3"/>
  <c r="E75" i="3" s="1"/>
  <c r="I130" i="3"/>
  <c r="E130" i="3" s="1"/>
  <c r="J8" i="3"/>
  <c r="F8" i="3" s="1"/>
  <c r="I49" i="3"/>
  <c r="J49" i="3" s="1"/>
  <c r="F49" i="3" s="1"/>
  <c r="I150" i="3"/>
  <c r="E150" i="3" s="1"/>
  <c r="I27" i="3"/>
  <c r="E27" i="3" s="1"/>
  <c r="I77" i="3"/>
  <c r="E77" i="3" s="1"/>
  <c r="I127" i="3"/>
  <c r="I135" i="3"/>
  <c r="E135" i="3" s="1"/>
  <c r="I148" i="3"/>
  <c r="E148" i="3" s="1"/>
  <c r="I176" i="3"/>
  <c r="E176" i="3" s="1"/>
  <c r="I195" i="3"/>
  <c r="E195" i="3" s="1"/>
  <c r="I198" i="3"/>
  <c r="I164" i="3"/>
  <c r="B33" i="3"/>
  <c r="I55" i="3"/>
  <c r="E55" i="3" s="1"/>
  <c r="I87" i="3"/>
  <c r="E87" i="3" s="1"/>
  <c r="I98" i="3"/>
  <c r="E98" i="3" s="1"/>
  <c r="I117" i="3"/>
  <c r="J117" i="3" s="1"/>
  <c r="F117" i="3" s="1"/>
  <c r="I156" i="3"/>
  <c r="E156" i="3" s="1"/>
  <c r="E9" i="3"/>
  <c r="I17" i="3"/>
  <c r="E17" i="3" s="1"/>
  <c r="I28" i="3"/>
  <c r="E28" i="3" s="1"/>
  <c r="I78" i="3"/>
  <c r="I149" i="3"/>
  <c r="E149" i="3" s="1"/>
  <c r="I196" i="3"/>
  <c r="J196" i="3" s="1"/>
  <c r="F196" i="3" s="1"/>
  <c r="I199" i="3"/>
  <c r="J199" i="3" s="1"/>
  <c r="F199" i="3" s="1"/>
  <c r="I57" i="3"/>
  <c r="I66" i="3"/>
  <c r="I88" i="3"/>
  <c r="E88" i="3" s="1"/>
  <c r="I95" i="3"/>
  <c r="E95" i="3" s="1"/>
  <c r="I99" i="3"/>
  <c r="E99" i="3" s="1"/>
  <c r="I129" i="3"/>
  <c r="I137" i="3"/>
  <c r="J137" i="3" s="1"/>
  <c r="F137" i="3" s="1"/>
  <c r="I157" i="3"/>
  <c r="E157" i="3" s="1"/>
  <c r="E7" i="3"/>
  <c r="I18" i="3"/>
  <c r="E18" i="3" s="1"/>
  <c r="I29" i="3"/>
  <c r="E29" i="3" s="1"/>
  <c r="I36" i="3"/>
  <c r="I74" i="3"/>
  <c r="E74" i="3" s="1"/>
  <c r="I79" i="3"/>
  <c r="E79" i="3" s="1"/>
  <c r="I109" i="3"/>
  <c r="I119" i="3"/>
  <c r="E119" i="3" s="1"/>
  <c r="E4" i="3"/>
  <c r="I50" i="3"/>
  <c r="I67" i="3"/>
  <c r="E67" i="3" s="1"/>
  <c r="I96" i="3"/>
  <c r="I138" i="3"/>
  <c r="E138" i="3" s="1"/>
  <c r="I146" i="3"/>
  <c r="I178" i="3"/>
  <c r="I200" i="3"/>
  <c r="E200" i="3" s="1"/>
  <c r="D11" i="2"/>
  <c r="I105" i="3"/>
  <c r="I20" i="3"/>
  <c r="E20" i="3" s="1"/>
  <c r="I30" i="3"/>
  <c r="E30" i="3" s="1"/>
  <c r="I85" i="3"/>
  <c r="E85" i="3" s="1"/>
  <c r="I89" i="3"/>
  <c r="I125" i="3"/>
  <c r="E125" i="3" s="1"/>
  <c r="I139" i="3"/>
  <c r="E139" i="3" s="1"/>
  <c r="H28" i="5"/>
  <c r="AD28" i="5" s="1"/>
  <c r="D28" i="2" s="1"/>
  <c r="H6" i="8"/>
  <c r="E5" i="3"/>
  <c r="E8" i="3"/>
  <c r="I48" i="3"/>
  <c r="E48" i="3" s="1"/>
  <c r="I59" i="3"/>
  <c r="I76" i="3"/>
  <c r="E76" i="3" s="1"/>
  <c r="I97" i="3"/>
  <c r="I155" i="3"/>
  <c r="J155" i="3" s="1"/>
  <c r="I159" i="3"/>
  <c r="I31" i="3"/>
  <c r="I39" i="3"/>
  <c r="E39" i="3" s="1"/>
  <c r="I86" i="3"/>
  <c r="I90" i="3"/>
  <c r="E90" i="3" s="1"/>
  <c r="I107" i="3"/>
  <c r="I116" i="3"/>
  <c r="E116" i="3" s="1"/>
  <c r="I180" i="3"/>
  <c r="E180" i="3" s="1"/>
  <c r="D9" i="2"/>
  <c r="F83" i="4"/>
  <c r="E90" i="4"/>
  <c r="F21" i="5" s="1"/>
  <c r="AD21" i="5" s="1"/>
  <c r="B11" i="3"/>
  <c r="J4" i="3"/>
  <c r="I145" i="3"/>
  <c r="I94" i="3"/>
  <c r="I46" i="3"/>
  <c r="I114" i="3"/>
  <c r="I65" i="3"/>
  <c r="I15" i="3"/>
  <c r="I175" i="3"/>
  <c r="I134" i="3"/>
  <c r="I26" i="3"/>
  <c r="I35" i="3"/>
  <c r="B22" i="3"/>
  <c r="H5" i="8"/>
  <c r="F82" i="4"/>
  <c r="I106" i="3"/>
  <c r="I56" i="3"/>
  <c r="I126" i="3"/>
  <c r="I165" i="3"/>
  <c r="I167" i="3"/>
  <c r="I158" i="3"/>
  <c r="I128" i="3"/>
  <c r="I19" i="3"/>
  <c r="I69" i="3"/>
  <c r="I118" i="3"/>
  <c r="I168" i="3"/>
  <c r="I179" i="3"/>
  <c r="D8" i="2"/>
  <c r="J6" i="3"/>
  <c r="F6" i="3" s="1"/>
  <c r="J9" i="3"/>
  <c r="F9" i="3" s="1"/>
  <c r="I60" i="3"/>
  <c r="I110" i="3"/>
  <c r="I147" i="3"/>
  <c r="I166" i="3"/>
  <c r="I177" i="3"/>
  <c r="F185" i="3" l="1"/>
  <c r="J191" i="3"/>
  <c r="H8" i="8"/>
  <c r="I205" i="3" s="1"/>
  <c r="F11" i="32"/>
  <c r="H12" i="32"/>
  <c r="G14" i="5"/>
  <c r="AD14" i="5" s="1"/>
  <c r="D14" i="2" s="1"/>
  <c r="J205" i="3"/>
  <c r="J206" i="3" s="1"/>
  <c r="J207" i="3" s="1"/>
  <c r="G13" i="5"/>
  <c r="AD13" i="5" s="1"/>
  <c r="D13" i="2" s="1"/>
  <c r="E68" i="3"/>
  <c r="J77" i="3"/>
  <c r="F77" i="3" s="1"/>
  <c r="E199" i="3"/>
  <c r="J88" i="3"/>
  <c r="F88" i="3" s="1"/>
  <c r="J85" i="3"/>
  <c r="F85" i="3" s="1"/>
  <c r="J38" i="3"/>
  <c r="F38" i="3" s="1"/>
  <c r="J30" i="3"/>
  <c r="F30" i="3" s="1"/>
  <c r="E137" i="3"/>
  <c r="J156" i="3"/>
  <c r="F156" i="3" s="1"/>
  <c r="J160" i="3"/>
  <c r="F160" i="3" s="1"/>
  <c r="J27" i="3"/>
  <c r="F27" i="3" s="1"/>
  <c r="J16" i="3"/>
  <c r="F16" i="3" s="1"/>
  <c r="J197" i="3"/>
  <c r="F197" i="3" s="1"/>
  <c r="J115" i="3"/>
  <c r="F115" i="3" s="1"/>
  <c r="J108" i="3"/>
  <c r="F108" i="3" s="1"/>
  <c r="D22" i="2"/>
  <c r="J150" i="3"/>
  <c r="F150" i="3" s="1"/>
  <c r="J51" i="3"/>
  <c r="F51" i="3" s="1"/>
  <c r="E49" i="3"/>
  <c r="J169" i="3"/>
  <c r="F169" i="3" s="1"/>
  <c r="J29" i="3"/>
  <c r="F29" i="3" s="1"/>
  <c r="J70" i="3"/>
  <c r="F70" i="3" s="1"/>
  <c r="J180" i="3"/>
  <c r="F180" i="3" s="1"/>
  <c r="J74" i="3"/>
  <c r="F74" i="3" s="1"/>
  <c r="J135" i="3"/>
  <c r="F135" i="3" s="1"/>
  <c r="J125" i="3"/>
  <c r="F125" i="3" s="1"/>
  <c r="J90" i="3"/>
  <c r="F90" i="3" s="1"/>
  <c r="J130" i="3"/>
  <c r="F130" i="3" s="1"/>
  <c r="E40" i="3"/>
  <c r="J67" i="3"/>
  <c r="F67" i="3" s="1"/>
  <c r="J75" i="3"/>
  <c r="F75" i="3" s="1"/>
  <c r="J37" i="3"/>
  <c r="F37" i="3" s="1"/>
  <c r="J58" i="3"/>
  <c r="F58" i="3" s="1"/>
  <c r="E196" i="3"/>
  <c r="J39" i="3"/>
  <c r="F39" i="3" s="1"/>
  <c r="J157" i="3"/>
  <c r="F157" i="3" s="1"/>
  <c r="E155" i="3"/>
  <c r="J79" i="3"/>
  <c r="F79" i="3" s="1"/>
  <c r="J149" i="3"/>
  <c r="F149" i="3" s="1"/>
  <c r="J18" i="3"/>
  <c r="F18" i="3" s="1"/>
  <c r="J99" i="3"/>
  <c r="F99" i="3" s="1"/>
  <c r="J138" i="3"/>
  <c r="F138" i="3" s="1"/>
  <c r="E117" i="3"/>
  <c r="J20" i="3"/>
  <c r="F20" i="3" s="1"/>
  <c r="J116" i="3"/>
  <c r="F116" i="3" s="1"/>
  <c r="J136" i="3"/>
  <c r="F136" i="3" s="1"/>
  <c r="J95" i="3"/>
  <c r="F95" i="3" s="1"/>
  <c r="J200" i="3"/>
  <c r="F200" i="3" s="1"/>
  <c r="J47" i="3"/>
  <c r="F47" i="3" s="1"/>
  <c r="J76" i="3"/>
  <c r="F76" i="3" s="1"/>
  <c r="J109" i="3"/>
  <c r="F109" i="3" s="1"/>
  <c r="E109" i="3"/>
  <c r="J139" i="3"/>
  <c r="F139" i="3" s="1"/>
  <c r="J176" i="3"/>
  <c r="F176" i="3" s="1"/>
  <c r="E31" i="3"/>
  <c r="J31" i="3"/>
  <c r="F31" i="3" s="1"/>
  <c r="J159" i="3"/>
  <c r="F159" i="3" s="1"/>
  <c r="E159" i="3"/>
  <c r="J89" i="3"/>
  <c r="F89" i="3" s="1"/>
  <c r="E89" i="3"/>
  <c r="J178" i="3"/>
  <c r="F178" i="3" s="1"/>
  <c r="E178" i="3"/>
  <c r="J36" i="3"/>
  <c r="F36" i="3" s="1"/>
  <c r="E36" i="3"/>
  <c r="J127" i="3"/>
  <c r="F127" i="3" s="1"/>
  <c r="E127" i="3"/>
  <c r="J98" i="3"/>
  <c r="F98" i="3" s="1"/>
  <c r="J148" i="3"/>
  <c r="F148" i="3" s="1"/>
  <c r="J195" i="3"/>
  <c r="F195" i="3" s="1"/>
  <c r="J146" i="3"/>
  <c r="F146" i="3" s="1"/>
  <c r="E146" i="3"/>
  <c r="J28" i="3"/>
  <c r="F28" i="3" s="1"/>
  <c r="J198" i="3"/>
  <c r="F198" i="3" s="1"/>
  <c r="E198" i="3"/>
  <c r="E57" i="3"/>
  <c r="J57" i="3"/>
  <c r="F57" i="3" s="1"/>
  <c r="J87" i="3"/>
  <c r="F87" i="3" s="1"/>
  <c r="J164" i="3"/>
  <c r="F164" i="3" s="1"/>
  <c r="E164" i="3"/>
  <c r="J119" i="3"/>
  <c r="F119" i="3" s="1"/>
  <c r="E96" i="3"/>
  <c r="J96" i="3"/>
  <c r="F96" i="3" s="1"/>
  <c r="J129" i="3"/>
  <c r="F129" i="3" s="1"/>
  <c r="E129" i="3"/>
  <c r="J66" i="3"/>
  <c r="F66" i="3" s="1"/>
  <c r="E66" i="3"/>
  <c r="J48" i="3"/>
  <c r="F48" i="3" s="1"/>
  <c r="J55" i="3"/>
  <c r="F55" i="3" s="1"/>
  <c r="J17" i="3"/>
  <c r="F17" i="3" s="1"/>
  <c r="J97" i="3"/>
  <c r="F97" i="3" s="1"/>
  <c r="E97" i="3"/>
  <c r="J86" i="3"/>
  <c r="F86" i="3" s="1"/>
  <c r="E86" i="3"/>
  <c r="J107" i="3"/>
  <c r="F107" i="3" s="1"/>
  <c r="E107" i="3"/>
  <c r="J59" i="3"/>
  <c r="F59" i="3" s="1"/>
  <c r="E59" i="3"/>
  <c r="J105" i="3"/>
  <c r="F105" i="3" s="1"/>
  <c r="E105" i="3"/>
  <c r="J50" i="3"/>
  <c r="F50" i="3" s="1"/>
  <c r="E50" i="3"/>
  <c r="J78" i="3"/>
  <c r="F78" i="3" s="1"/>
  <c r="E78" i="3"/>
  <c r="E56" i="3"/>
  <c r="J56" i="3"/>
  <c r="F56" i="3" s="1"/>
  <c r="E166" i="3"/>
  <c r="J166" i="3"/>
  <c r="F166" i="3" s="1"/>
  <c r="J94" i="3"/>
  <c r="E94" i="3"/>
  <c r="J60" i="3"/>
  <c r="F60" i="3" s="1"/>
  <c r="E60" i="3"/>
  <c r="J179" i="3"/>
  <c r="F179" i="3" s="1"/>
  <c r="E179" i="3"/>
  <c r="E35" i="3"/>
  <c r="J35" i="3"/>
  <c r="J168" i="3"/>
  <c r="F168" i="3" s="1"/>
  <c r="E168" i="3"/>
  <c r="J10" i="3"/>
  <c r="J11" i="3" s="1"/>
  <c r="F4" i="3"/>
  <c r="J158" i="3"/>
  <c r="F158" i="3" s="1"/>
  <c r="E158" i="3"/>
  <c r="D17" i="2"/>
  <c r="D15" i="2"/>
  <c r="E128" i="3"/>
  <c r="J128" i="3"/>
  <c r="F128" i="3" s="1"/>
  <c r="J177" i="3"/>
  <c r="F177" i="3" s="1"/>
  <c r="E177" i="3"/>
  <c r="F155" i="3"/>
  <c r="J114" i="3"/>
  <c r="E114" i="3"/>
  <c r="J147" i="3"/>
  <c r="F147" i="3" s="1"/>
  <c r="E147" i="3"/>
  <c r="J46" i="3"/>
  <c r="E46" i="3"/>
  <c r="D16" i="2"/>
  <c r="D21" i="2"/>
  <c r="J110" i="3"/>
  <c r="F110" i="3" s="1"/>
  <c r="E110" i="3"/>
  <c r="E19" i="3"/>
  <c r="J19" i="3"/>
  <c r="F19" i="3" s="1"/>
  <c r="D6" i="2"/>
  <c r="E26" i="3"/>
  <c r="J26" i="3"/>
  <c r="E145" i="3"/>
  <c r="J145" i="3"/>
  <c r="J175" i="3"/>
  <c r="E175" i="3"/>
  <c r="E15" i="3"/>
  <c r="J15" i="3"/>
  <c r="J106" i="3"/>
  <c r="E106" i="3"/>
  <c r="J65" i="3"/>
  <c r="E65" i="3"/>
  <c r="J167" i="3"/>
  <c r="F167" i="3" s="1"/>
  <c r="E167" i="3"/>
  <c r="J118" i="3"/>
  <c r="F118" i="3" s="1"/>
  <c r="E118" i="3"/>
  <c r="J69" i="3"/>
  <c r="F69" i="3" s="1"/>
  <c r="E69" i="3"/>
  <c r="J165" i="3"/>
  <c r="E165" i="3"/>
  <c r="E126" i="3"/>
  <c r="J126" i="3"/>
  <c r="F126" i="3" s="1"/>
  <c r="J134" i="3"/>
  <c r="E134" i="3"/>
  <c r="J192" i="3" l="1"/>
  <c r="F192" i="3" s="1"/>
  <c r="E192" i="3" s="1"/>
  <c r="J31" i="2" s="1"/>
  <c r="F191" i="3"/>
  <c r="F12" i="32"/>
  <c r="F206" i="3"/>
  <c r="J80" i="3"/>
  <c r="J161" i="3"/>
  <c r="F161" i="3" s="1"/>
  <c r="J91" i="3"/>
  <c r="J131" i="3"/>
  <c r="J201" i="3"/>
  <c r="J202" i="3" s="1"/>
  <c r="F202" i="3" s="1"/>
  <c r="E202" i="3" s="1"/>
  <c r="J32" i="2" s="1"/>
  <c r="K32" i="2" s="1"/>
  <c r="G32" i="2" s="1"/>
  <c r="F165" i="3"/>
  <c r="J170" i="3"/>
  <c r="F106" i="3"/>
  <c r="J111" i="3"/>
  <c r="J112" i="3" s="1"/>
  <c r="J120" i="3"/>
  <c r="J121" i="3" s="1"/>
  <c r="F114" i="3"/>
  <c r="J41" i="3"/>
  <c r="J42" i="3" s="1"/>
  <c r="F35" i="3"/>
  <c r="F10" i="3"/>
  <c r="F11" i="3"/>
  <c r="E11" i="3" s="1"/>
  <c r="J6" i="2" s="1"/>
  <c r="K6" i="2" s="1"/>
  <c r="D18" i="2"/>
  <c r="J21" i="3"/>
  <c r="J22" i="3" s="1"/>
  <c r="F15" i="3"/>
  <c r="F134" i="3"/>
  <c r="J140" i="3"/>
  <c r="J141" i="3" s="1"/>
  <c r="J61" i="3"/>
  <c r="J62" i="3" s="1"/>
  <c r="J52" i="3"/>
  <c r="J53" i="3" s="1"/>
  <c r="F46" i="3"/>
  <c r="J181" i="3"/>
  <c r="F175" i="3"/>
  <c r="J151" i="3"/>
  <c r="F145" i="3"/>
  <c r="J71" i="3"/>
  <c r="J72" i="3" s="1"/>
  <c r="F65" i="3"/>
  <c r="F26" i="3"/>
  <c r="J32" i="3"/>
  <c r="J33" i="3" s="1"/>
  <c r="J100" i="3"/>
  <c r="J101" i="3" s="1"/>
  <c r="F94" i="3"/>
  <c r="F207" i="3"/>
  <c r="E207" i="3" s="1"/>
  <c r="L34" i="2"/>
  <c r="M34" i="2" s="1"/>
  <c r="J92" i="3" l="1"/>
  <c r="F92" i="3" s="1"/>
  <c r="E92" i="3" s="1"/>
  <c r="J17" i="2" s="1"/>
  <c r="K17" i="2" s="1"/>
  <c r="G17" i="2" s="1"/>
  <c r="J132" i="3"/>
  <c r="F132" i="3" s="1"/>
  <c r="E132" i="3" s="1"/>
  <c r="J23" i="2" s="1"/>
  <c r="F80" i="3"/>
  <c r="J81" i="3"/>
  <c r="F81" i="3" s="1"/>
  <c r="E81" i="3" s="1"/>
  <c r="J162" i="3"/>
  <c r="F162" i="3" s="1"/>
  <c r="E162" i="3" s="1"/>
  <c r="J27" i="2" s="1"/>
  <c r="K27" i="2" s="1"/>
  <c r="G27" i="2" s="1"/>
  <c r="F131" i="3"/>
  <c r="F91" i="3"/>
  <c r="F201" i="3"/>
  <c r="F71" i="3"/>
  <c r="F72" i="3"/>
  <c r="E72" i="3" s="1"/>
  <c r="J15" i="2" s="1"/>
  <c r="K15" i="2" s="1"/>
  <c r="F22" i="3"/>
  <c r="E22" i="3" s="1"/>
  <c r="J8" i="2" s="1"/>
  <c r="K8" i="2" s="1"/>
  <c r="F21" i="3"/>
  <c r="F120" i="3"/>
  <c r="F121" i="3"/>
  <c r="E121" i="3" s="1"/>
  <c r="J22" i="2" s="1"/>
  <c r="K22" i="2" s="1"/>
  <c r="G22" i="2" s="1"/>
  <c r="F41" i="3"/>
  <c r="F42" i="3"/>
  <c r="E42" i="3" s="1"/>
  <c r="J11" i="2" s="1"/>
  <c r="K11" i="2" s="1"/>
  <c r="K31" i="2"/>
  <c r="G34" i="2"/>
  <c r="M33" i="2"/>
  <c r="F53" i="3"/>
  <c r="E53" i="3" s="1"/>
  <c r="J13" i="2" s="1"/>
  <c r="K13" i="2" s="1"/>
  <c r="F52" i="3"/>
  <c r="F101" i="3"/>
  <c r="E101" i="3" s="1"/>
  <c r="J18" i="2" s="1"/>
  <c r="K18" i="2" s="1"/>
  <c r="G18" i="2" s="1"/>
  <c r="F100" i="3"/>
  <c r="F61" i="3"/>
  <c r="F62" i="3"/>
  <c r="E62" i="3" s="1"/>
  <c r="J14" i="2" s="1"/>
  <c r="K14" i="2" s="1"/>
  <c r="G14" i="2" s="1"/>
  <c r="F112" i="3"/>
  <c r="E112" i="3" s="1"/>
  <c r="J21" i="2" s="1"/>
  <c r="K21" i="2" s="1"/>
  <c r="F111" i="3"/>
  <c r="F141" i="3"/>
  <c r="E141" i="3" s="1"/>
  <c r="J24" i="2" s="1"/>
  <c r="K24" i="2" s="1"/>
  <c r="G24" i="2" s="1"/>
  <c r="F140" i="3"/>
  <c r="G6" i="2"/>
  <c r="K5" i="2"/>
  <c r="F33" i="3"/>
  <c r="E33" i="3" s="1"/>
  <c r="J9" i="2" s="1"/>
  <c r="K9" i="2" s="1"/>
  <c r="G9" i="2" s="1"/>
  <c r="F32" i="3"/>
  <c r="F151" i="3"/>
  <c r="J152" i="3"/>
  <c r="F152" i="3" s="1"/>
  <c r="E152" i="3" s="1"/>
  <c r="J26" i="2" s="1"/>
  <c r="K26" i="2" s="1"/>
  <c r="J182" i="3"/>
  <c r="F182" i="3" s="1"/>
  <c r="E182" i="3" s="1"/>
  <c r="J29" i="2" s="1"/>
  <c r="K29" i="2" s="1"/>
  <c r="G29" i="2" s="1"/>
  <c r="F181" i="3"/>
  <c r="F170" i="3"/>
  <c r="J171" i="3"/>
  <c r="F171" i="3" s="1"/>
  <c r="E171" i="3" s="1"/>
  <c r="J28" i="2" s="1"/>
  <c r="K28" i="2" s="1"/>
  <c r="G28" i="2" s="1"/>
  <c r="K23" i="2" l="1"/>
  <c r="G23" i="2" s="1"/>
  <c r="K25" i="2"/>
  <c r="G25" i="2" s="1"/>
  <c r="J16" i="2"/>
  <c r="K16" i="2" s="1"/>
  <c r="G26" i="2"/>
  <c r="G33" i="2"/>
  <c r="N9" i="1"/>
  <c r="G31" i="2"/>
  <c r="K30" i="2"/>
  <c r="G11" i="2"/>
  <c r="G13" i="2"/>
  <c r="G5" i="2"/>
  <c r="G21" i="2"/>
  <c r="G8" i="2"/>
  <c r="K7" i="2"/>
  <c r="G7" i="2" s="1"/>
  <c r="G30" i="2" l="1"/>
  <c r="O9" i="1"/>
  <c r="H9" i="1"/>
  <c r="K20" i="2"/>
  <c r="K19" i="2" s="1"/>
  <c r="G20" i="2" l="1"/>
  <c r="I9" i="1"/>
  <c r="G19" i="2" l="1"/>
  <c r="G16" i="2" l="1"/>
  <c r="G15" i="2" l="1"/>
  <c r="K12" i="2"/>
  <c r="G12" i="2" l="1"/>
  <c r="K10" i="2"/>
  <c r="K4" i="2" s="1"/>
  <c r="G10" i="2" l="1"/>
  <c r="J8" i="1" l="1"/>
  <c r="G4" i="2"/>
  <c r="H8" i="1" l="1"/>
  <c r="K8" i="1"/>
  <c r="K7" i="1" s="1"/>
  <c r="K14" i="1" l="1"/>
  <c r="I8" i="1"/>
  <c r="O10" i="1" l="1"/>
  <c r="O11" i="1" s="1"/>
  <c r="O7" i="1" l="1"/>
  <c r="I10" i="1"/>
  <c r="I11" i="1" l="1"/>
  <c r="I7" i="1"/>
  <c r="F10" i="28" l="1"/>
  <c r="R3" i="3"/>
  <c r="L65" i="32" l="1"/>
  <c r="L66" i="32" s="1"/>
  <c r="F66" i="32" l="1"/>
  <c r="F67" i="32" s="1"/>
  <c r="L67" i="32"/>
  <c r="F65" i="32"/>
  <c r="F11" i="30" l="1"/>
  <c r="M17" i="30" l="1"/>
  <c r="M18" i="30"/>
  <c r="M14" i="30"/>
  <c r="M16" i="30"/>
  <c r="M15" i="30"/>
  <c r="M14" i="28"/>
  <c r="M13" i="28"/>
  <c r="K22" i="28"/>
  <c r="K13" i="28" l="1"/>
  <c r="E13" i="28"/>
  <c r="K14" i="28"/>
  <c r="E14" i="28"/>
  <c r="F15" i="30"/>
  <c r="K15" i="30"/>
  <c r="F16" i="30"/>
  <c r="K16" i="30"/>
  <c r="M19" i="30"/>
  <c r="K14" i="30"/>
  <c r="F18" i="30"/>
  <c r="K18" i="30"/>
  <c r="K17" i="30"/>
  <c r="F17" i="30"/>
  <c r="J21" i="30" l="1"/>
  <c r="K19" i="28"/>
  <c r="K24" i="28" s="1"/>
  <c r="N13" i="1" l="1"/>
  <c r="O13" i="1" s="1"/>
  <c r="F10" i="30"/>
  <c r="O12" i="1" l="1"/>
  <c r="O14" i="1" s="1"/>
  <c r="I14" i="1" s="1"/>
  <c r="I12" i="1" l="1"/>
  <c r="I15" i="1" l="1"/>
  <c r="G46" i="29" s="1"/>
  <c r="G45" i="29"/>
  <c r="I6" i="1" l="1"/>
  <c r="R4" i="3" s="1"/>
  <c r="G44" i="29" l="1"/>
  <c r="C43" i="29" l="1"/>
  <c r="M11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박성수</author>
  </authors>
  <commentList>
    <comment ref="K338" authorId="0" shapeId="0" xr:uid="{00000000-0006-0000-0B00-000001000000}">
      <text>
        <r>
          <rPr>
            <b/>
            <sz val="9"/>
            <color indexed="81"/>
            <rFont val="돋움"/>
            <family val="3"/>
            <charset val="129"/>
          </rPr>
          <t>디지털 오프셋 단가-교정지[물가자료2017.01]
150원*50(부) = 7,500원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39" authorId="0" shapeId="0" xr:uid="{00000000-0006-0000-0B00-000002000000}">
      <text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오프셋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교정지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물가자료</t>
        </r>
        <r>
          <rPr>
            <b/>
            <sz val="9"/>
            <color indexed="81"/>
            <rFont val="Tahoma"/>
            <family val="2"/>
          </rPr>
          <t>2017.01]
1,250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>*50(</t>
        </r>
        <r>
          <rPr>
            <b/>
            <sz val="9"/>
            <color indexed="81"/>
            <rFont val="돋움"/>
            <family val="3"/>
            <charset val="129"/>
          </rPr>
          <t>부</t>
        </r>
        <r>
          <rPr>
            <b/>
            <sz val="9"/>
            <color indexed="81"/>
            <rFont val="Tahoma"/>
            <family val="2"/>
          </rPr>
          <t>) = 62,500</t>
        </r>
        <r>
          <rPr>
            <b/>
            <sz val="9"/>
            <color indexed="81"/>
            <rFont val="돋움"/>
            <family val="3"/>
            <charset val="129"/>
          </rPr>
          <t>원</t>
        </r>
      </text>
    </comment>
    <comment ref="K340" authorId="0" shapeId="0" xr:uid="{00000000-0006-0000-0B00-000003000000}">
      <text>
        <r>
          <rPr>
            <b/>
            <sz val="9"/>
            <color indexed="81"/>
            <rFont val="돋움"/>
            <family val="3"/>
            <charset val="129"/>
          </rPr>
          <t>디지털 오프셋 단가-교정지[물가자료2017.01]
150원*50(부) = 7,500원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41" authorId="0" shapeId="0" xr:uid="{00000000-0006-0000-0B00-000004000000}">
      <text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오프셋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교정지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물가자료</t>
        </r>
        <r>
          <rPr>
            <b/>
            <sz val="9"/>
            <color indexed="81"/>
            <rFont val="Tahoma"/>
            <family val="2"/>
          </rPr>
          <t>2017.01]
1,250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>*50(</t>
        </r>
        <r>
          <rPr>
            <b/>
            <sz val="9"/>
            <color indexed="81"/>
            <rFont val="돋움"/>
            <family val="3"/>
            <charset val="129"/>
          </rPr>
          <t>부</t>
        </r>
        <r>
          <rPr>
            <b/>
            <sz val="9"/>
            <color indexed="81"/>
            <rFont val="Tahoma"/>
            <family val="2"/>
          </rPr>
          <t>) = 62,500</t>
        </r>
        <r>
          <rPr>
            <b/>
            <sz val="9"/>
            <color indexed="81"/>
            <rFont val="돋움"/>
            <family val="3"/>
            <charset val="129"/>
          </rPr>
          <t>원</t>
        </r>
      </text>
    </comment>
    <comment ref="K342" authorId="0" shapeId="0" xr:uid="{00000000-0006-0000-0B00-000005000000}">
      <text>
        <r>
          <rPr>
            <b/>
            <sz val="9"/>
            <color indexed="81"/>
            <rFont val="돋움"/>
            <family val="3"/>
            <charset val="129"/>
          </rPr>
          <t>디지털 오프셋 단가-교정지[물가자료2017.01]
150원*50(부) = 7,500원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43" authorId="0" shapeId="0" xr:uid="{00000000-0006-0000-0B00-000006000000}">
      <text>
        <r>
          <rPr>
            <b/>
            <sz val="9"/>
            <color indexed="81"/>
            <rFont val="돋움"/>
            <family val="3"/>
            <charset val="129"/>
          </rPr>
          <t>디지털 오프셋 단가-교정지[물가자료2017.01]
150원*50(부) = 7,500원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48" authorId="0" shapeId="0" xr:uid="{00000000-0006-0000-0B00-000007000000}">
      <text>
        <r>
          <rPr>
            <sz val="9"/>
            <color indexed="81"/>
            <rFont val="돋움"/>
            <family val="3"/>
            <charset val="129"/>
          </rPr>
          <t>성과품 5부
*소량책자 A4-단색*2
  =150원*2[물가자료2017.01]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49" authorId="0" shapeId="0" xr:uid="{00000000-0006-0000-0B00-000008000000}">
      <text>
        <r>
          <rPr>
            <sz val="9"/>
            <color indexed="81"/>
            <rFont val="돋움"/>
            <family val="3"/>
            <charset val="129"/>
          </rPr>
          <t>성과품 5부
*소량책자 A4-단색*2
  =150원*2[물가자료2017.01]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50" authorId="0" shapeId="0" xr:uid="{00000000-0006-0000-0B00-000009000000}">
      <text>
        <r>
          <rPr>
            <b/>
            <sz val="9"/>
            <color indexed="81"/>
            <rFont val="Tahoma"/>
            <family val="2"/>
          </rPr>
          <t xml:space="preserve">A1 </t>
        </r>
        <r>
          <rPr>
            <b/>
            <sz val="9"/>
            <color indexed="81"/>
            <rFont val="돋움"/>
            <family val="3"/>
            <charset val="129"/>
          </rPr>
          <t>칼라출력
견적단가</t>
        </r>
        <r>
          <rPr>
            <b/>
            <sz val="9"/>
            <color indexed="81"/>
            <rFont val="Tahoma"/>
            <family val="2"/>
          </rPr>
          <t>=10,000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</text>
    </comment>
    <comment ref="K356" authorId="0" shapeId="0" xr:uid="{00000000-0006-0000-0B00-00000A000000}">
      <text>
        <r>
          <rPr>
            <sz val="9"/>
            <color indexed="81"/>
            <rFont val="돋움"/>
            <family val="3"/>
            <charset val="129"/>
          </rPr>
          <t>성과품 5부
*소량책자 A4-단색*2
  =150원*2[물가자료2017.01]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<sst xmlns="http://schemas.openxmlformats.org/spreadsheetml/2006/main" count="5114" uniqueCount="2037">
  <si>
    <t xml:space="preserve">       ※ 펌프용량이 1.0m3/s미만은 1.0m3/s 요율적용, 100.0m3/s이상일경우 100.0m3/s 보정계수 적용</t>
  </si>
  <si>
    <t xml:space="preserve">   가) 유역면적에 따라 다음 산식에 의해 보정계수를 산정하여 적용(지형도를 통하여 산정)</t>
  </si>
  <si>
    <t xml:space="preserve">       ※ 위험지구 연장이 1km 미만인 경우 1km의 요율을 적용한다.</t>
  </si>
  <si>
    <t xml:space="preserve">   가) 아래의 표와 같이 위험지역의 도시화율과 보정계수를 산정하여 적용</t>
  </si>
  <si>
    <t xml:space="preserve">       ※ 유역면적이 1km2 이하인 경우 1km2 요율을 적용한다.</t>
  </si>
  <si>
    <t xml:space="preserve">유역면적(km2)^0.30  = </t>
  </si>
  <si>
    <t>기준소요인력에 대한 
적용비율</t>
  </si>
  <si>
    <t xml:space="preserve">  1) 재해유형별 정비기본방향</t>
  </si>
  <si>
    <t xml:space="preserve">   가) 침수위험지구(하천재해)</t>
  </si>
  <si>
    <t xml:space="preserve">  보고서(초안, 중간, 최종)</t>
  </si>
  <si>
    <t xml:space="preserve">   나) 관로(배수로)연장 =</t>
  </si>
  <si>
    <t xml:space="preserve">   다) 보정계수(α2)  =</t>
  </si>
  <si>
    <t xml:space="preserve">   나) 침수위험지구(내수재해)</t>
  </si>
  <si>
    <t xml:space="preserve">      ※ D = 관직경(mm)</t>
  </si>
  <si>
    <r>
      <rPr>
        <sz val="11"/>
        <color rgb="FF000000"/>
        <rFont val="Calibri"/>
        <family val="2"/>
      </rPr>
      <t>(α5-1)</t>
    </r>
    <r>
      <rPr>
        <sz val="11"/>
        <color rgb="FF000000"/>
        <rFont val="맑은 고딕"/>
        <family val="3"/>
        <charset val="129"/>
      </rPr>
      <t>×</t>
    </r>
    <r>
      <rPr>
        <sz val="11"/>
        <color rgb="FF000000"/>
        <rFont val="Calibri"/>
        <family val="2"/>
      </rPr>
      <t xml:space="preserve">(α5-2) </t>
    </r>
    <r>
      <rPr>
        <sz val="11"/>
        <color rgb="FF000000"/>
        <rFont val="맑은 고딕"/>
        <family val="3"/>
        <charset val="129"/>
      </rPr>
      <t xml:space="preserve"> = </t>
    </r>
  </si>
  <si>
    <r>
      <rPr>
        <sz val="11"/>
        <color rgb="FF000000"/>
        <rFont val="Calibri"/>
        <family val="2"/>
      </rPr>
      <t xml:space="preserve">(α3-1)×(α3-2) </t>
    </r>
    <r>
      <rPr>
        <sz val="11"/>
        <color rgb="FF000000"/>
        <rFont val="맑은 고딕"/>
        <family val="3"/>
        <charset val="129"/>
      </rPr>
      <t xml:space="preserve"> = </t>
    </r>
  </si>
  <si>
    <t xml:space="preserve">   나) 펌프용량(평균) =</t>
  </si>
  <si>
    <r>
      <rPr>
        <sz val="11"/>
        <color rgb="FF000000"/>
        <rFont val="맑은 고딕"/>
        <family val="3"/>
        <charset val="129"/>
      </rPr>
      <t xml:space="preserve">   마) 보정계수(</t>
    </r>
    <r>
      <rPr>
        <sz val="11"/>
        <color rgb="FF000000"/>
        <rFont val="Calibri"/>
        <family val="2"/>
      </rPr>
      <t>α</t>
    </r>
    <r>
      <rPr>
        <sz val="11"/>
        <color rgb="FF000000"/>
        <rFont val="맑은 고딕"/>
        <family val="3"/>
        <charset val="129"/>
      </rPr>
      <t>3-2)  =</t>
    </r>
  </si>
  <si>
    <r>
      <rPr>
        <sz val="11"/>
        <color rgb="FF000000"/>
        <rFont val="맑은 고딕"/>
        <family val="3"/>
        <charset val="129"/>
      </rPr>
      <t xml:space="preserve">   다) 보정계수(</t>
    </r>
    <r>
      <rPr>
        <sz val="11"/>
        <color rgb="FF000000"/>
        <rFont val="Calibri"/>
        <family val="2"/>
      </rPr>
      <t>α</t>
    </r>
    <r>
      <rPr>
        <sz val="11"/>
        <color rgb="FF000000"/>
        <rFont val="맑은 고딕"/>
        <family val="3"/>
        <charset val="129"/>
      </rPr>
      <t>3-1)  =</t>
    </r>
  </si>
  <si>
    <r>
      <rPr>
        <sz val="11"/>
        <color rgb="FF000000"/>
        <rFont val="맑은 고딕"/>
        <family val="3"/>
        <charset val="129"/>
      </rPr>
      <t xml:space="preserve">   가) 보정계수(</t>
    </r>
    <r>
      <rPr>
        <sz val="11"/>
        <color rgb="FF000000"/>
        <rFont val="Calibri"/>
        <family val="2"/>
      </rPr>
      <t>α</t>
    </r>
    <r>
      <rPr>
        <sz val="11"/>
        <color rgb="FF000000"/>
        <rFont val="맑은 고딕"/>
        <family val="3"/>
        <charset val="129"/>
      </rPr>
      <t>3)  =</t>
    </r>
  </si>
  <si>
    <r>
      <rPr>
        <sz val="11"/>
        <color rgb="FF000000"/>
        <rFont val="맑은 고딕"/>
        <family val="3"/>
        <charset val="129"/>
      </rPr>
      <t xml:space="preserve">   가) 보정계수(</t>
    </r>
    <r>
      <rPr>
        <sz val="11"/>
        <color rgb="FF000000"/>
        <rFont val="Calibri"/>
        <family val="2"/>
      </rPr>
      <t>α5</t>
    </r>
    <r>
      <rPr>
        <sz val="11"/>
        <color rgb="FF000000"/>
        <rFont val="맑은 고딕"/>
        <family val="3"/>
        <charset val="129"/>
      </rPr>
      <t>)  =</t>
    </r>
  </si>
  <si>
    <r>
      <rPr>
        <sz val="11"/>
        <color rgb="FF000000"/>
        <rFont val="맑은 고딕"/>
        <family val="3"/>
        <charset val="129"/>
      </rPr>
      <t xml:space="preserve">   다) 보정계수(</t>
    </r>
    <r>
      <rPr>
        <sz val="11"/>
        <color rgb="FF000000"/>
        <rFont val="Calibri"/>
        <family val="2"/>
      </rPr>
      <t>α</t>
    </r>
    <r>
      <rPr>
        <sz val="11"/>
        <color rgb="FF000000"/>
        <rFont val="맑은 고딕"/>
        <family val="3"/>
        <charset val="129"/>
      </rPr>
      <t>5-1)  =</t>
    </r>
  </si>
  <si>
    <r>
      <rPr>
        <b/>
        <sz val="11"/>
        <color rgb="FF000000"/>
        <rFont val="맑은 고딕"/>
        <family val="3"/>
        <charset val="129"/>
      </rPr>
      <t xml:space="preserve">   (2) 관직경(</t>
    </r>
    <r>
      <rPr>
        <b/>
        <sz val="11"/>
        <color rgb="FF000000"/>
        <rFont val="Calibri"/>
        <family val="2"/>
      </rPr>
      <t>α</t>
    </r>
    <r>
      <rPr>
        <b/>
        <sz val="11"/>
        <color rgb="FF000000"/>
        <rFont val="맑은 고딕"/>
        <family val="3"/>
        <charset val="129"/>
      </rPr>
      <t>3-2)</t>
    </r>
  </si>
  <si>
    <r>
      <rPr>
        <b/>
        <sz val="11"/>
        <color rgb="FF000000"/>
        <rFont val="맑은 고딕"/>
        <family val="3"/>
        <charset val="129"/>
      </rPr>
      <t xml:space="preserve">   (2) 펌프개소(</t>
    </r>
    <r>
      <rPr>
        <b/>
        <sz val="11"/>
        <color rgb="FF000000"/>
        <rFont val="Calibri"/>
        <family val="2"/>
      </rPr>
      <t>α</t>
    </r>
    <r>
      <rPr>
        <b/>
        <sz val="11"/>
        <color rgb="FF000000"/>
        <rFont val="맑은 고딕"/>
        <family val="3"/>
        <charset val="129"/>
      </rPr>
      <t>5-2)</t>
    </r>
  </si>
  <si>
    <r>
      <rPr>
        <sz val="11"/>
        <color rgb="FF000000"/>
        <rFont val="맑은 고딕"/>
        <family val="3"/>
        <charset val="129"/>
      </rPr>
      <t xml:space="preserve">   다) 보정계수(</t>
    </r>
    <r>
      <rPr>
        <sz val="11"/>
        <color rgb="FF000000"/>
        <rFont val="Calibri"/>
        <family val="2"/>
      </rPr>
      <t>α</t>
    </r>
    <r>
      <rPr>
        <sz val="11"/>
        <color rgb="FF000000"/>
        <rFont val="맑은 고딕"/>
        <family val="3"/>
        <charset val="129"/>
      </rPr>
      <t>5-2)  =</t>
    </r>
  </si>
  <si>
    <r>
      <rPr>
        <b/>
        <sz val="11"/>
        <color rgb="FF000000"/>
        <rFont val="맑은 고딕"/>
        <family val="3"/>
        <charset val="129"/>
      </rPr>
      <t xml:space="preserve">   (1) 펌프용량(</t>
    </r>
    <r>
      <rPr>
        <b/>
        <sz val="11"/>
        <color rgb="FF000000"/>
        <rFont val="Calibri"/>
        <family val="2"/>
      </rPr>
      <t>α</t>
    </r>
    <r>
      <rPr>
        <b/>
        <sz val="11"/>
        <color rgb="FF000000"/>
        <rFont val="맑은 고딕"/>
        <family val="3"/>
        <charset val="129"/>
      </rPr>
      <t>5-1)</t>
    </r>
  </si>
  <si>
    <t xml:space="preserve">   가) 위험지구 연장에 따라 다음 산식에 의해 보정계수를 산정하여 적용(1km 미만인 경우 1km의 요율 적용)</t>
  </si>
  <si>
    <t xml:space="preserve">   나) 도시화율(%) = [(국토의계획및이용에관한법률상 도시지역 및 관리지역면적) / (위험지역면적)] x 100</t>
  </si>
  <si>
    <t xml:space="preserve">   가) 펌프장이 2개 이상인 경우 보정계수를 산정하여 적용</t>
  </si>
  <si>
    <t xml:space="preserve">       ※ 관로연장이 1km미만인경우 1km의 요율적용</t>
  </si>
  <si>
    <t xml:space="preserve">(C1×A+C2×B+C3×C+C4×D)/(A+B+C+D)  = </t>
  </si>
  <si>
    <t xml:space="preserve">   나) 중구경(400mm ≤ D &lt; 800mm), 1.25</t>
  </si>
  <si>
    <t>제경비</t>
  </si>
  <si>
    <t>기술료</t>
  </si>
  <si>
    <t>규 격</t>
  </si>
  <si>
    <t>수 량</t>
  </si>
  <si>
    <t>km</t>
  </si>
  <si>
    <t>1식</t>
  </si>
  <si>
    <t>단 가</t>
  </si>
  <si>
    <t>계</t>
  </si>
  <si>
    <t>개소</t>
  </si>
  <si>
    <t>인</t>
  </si>
  <si>
    <t>비고</t>
  </si>
  <si>
    <t>Ⅰ</t>
  </si>
  <si>
    <t>인건비</t>
  </si>
  <si>
    <t>적용</t>
  </si>
  <si>
    <t>단 위</t>
  </si>
  <si>
    <t>비 고</t>
  </si>
  <si>
    <t>기술사</t>
  </si>
  <si>
    <t>단위</t>
  </si>
  <si>
    <t>α5</t>
  </si>
  <si>
    <t>α4</t>
  </si>
  <si>
    <t>α2</t>
  </si>
  <si>
    <r>
      <rPr>
        <sz val="11"/>
        <color rgb="FF000000"/>
        <rFont val="Calibri"/>
        <family val="2"/>
      </rPr>
      <t>α</t>
    </r>
    <r>
      <rPr>
        <sz val="11"/>
        <color rgb="FF000000"/>
        <rFont val="맑은 고딕"/>
        <family val="3"/>
        <charset val="129"/>
      </rPr>
      <t>12</t>
    </r>
  </si>
  <si>
    <t>%</t>
  </si>
  <si>
    <t>10㎞</t>
  </si>
  <si>
    <t>식</t>
  </si>
  <si>
    <t>α10</t>
  </si>
  <si>
    <t>α1</t>
  </si>
  <si>
    <t>km2</t>
  </si>
  <si>
    <t>연장당</t>
  </si>
  <si>
    <t>용량당</t>
  </si>
  <si>
    <t>1개소</t>
  </si>
  <si>
    <t>α3</t>
  </si>
  <si>
    <t>1㎞2</t>
  </si>
  <si>
    <t>부</t>
  </si>
  <si>
    <t>1㎞</t>
  </si>
  <si>
    <r>
      <rPr>
        <sz val="11"/>
        <color rgb="FF000000"/>
        <rFont val="Calibri"/>
        <family val="2"/>
      </rPr>
      <t>α</t>
    </r>
    <r>
      <rPr>
        <sz val="11"/>
        <color rgb="FF000000"/>
        <rFont val="맑은 고딕"/>
        <family val="3"/>
        <charset val="129"/>
      </rPr>
      <t>11</t>
    </r>
  </si>
  <si>
    <t>α18</t>
  </si>
  <si>
    <t>수량</t>
  </si>
  <si>
    <t>α16</t>
  </si>
  <si>
    <t>금 액</t>
  </si>
  <si>
    <t>α17</t>
  </si>
  <si>
    <t>α14</t>
  </si>
  <si>
    <t>α15</t>
  </si>
  <si>
    <t>단가</t>
  </si>
  <si>
    <t>α7</t>
  </si>
  <si>
    <t>α6</t>
  </si>
  <si>
    <t>α13</t>
  </si>
  <si>
    <r>
      <rPr>
        <sz val="11"/>
        <color rgb="FF000000"/>
        <rFont val="맑은 고딕"/>
        <family val="3"/>
        <charset val="129"/>
      </rPr>
      <t>보정계수(</t>
    </r>
    <r>
      <rPr>
        <sz val="11"/>
        <color rgb="FF000000"/>
        <rFont val="Calibri"/>
        <family val="2"/>
      </rPr>
      <t>α</t>
    </r>
    <r>
      <rPr>
        <sz val="11"/>
        <color rgb="FF000000"/>
        <rFont val="맑은 고딕"/>
        <family val="3"/>
        <charset val="129"/>
      </rPr>
      <t>7)</t>
    </r>
  </si>
  <si>
    <t>총       액</t>
  </si>
  <si>
    <t>소요인력 (인·일)</t>
  </si>
  <si>
    <t>(단위 : 원)</t>
  </si>
  <si>
    <t>재    료    비</t>
  </si>
  <si>
    <t>경        비</t>
  </si>
  <si>
    <t>1. 보고서 인쇄비</t>
  </si>
  <si>
    <t>5% 이상~7% 미만</t>
  </si>
  <si>
    <t>2. 보정계수 적용</t>
  </si>
  <si>
    <t xml:space="preserve">  보고서 부록</t>
  </si>
  <si>
    <t>라. 정비계획수립</t>
  </si>
  <si>
    <t>가. 작업계획 수립</t>
  </si>
  <si>
    <t>% (총용역비 적용)</t>
  </si>
  <si>
    <t xml:space="preserve"> 가. 작업계획 수립</t>
  </si>
  <si>
    <t>구      분</t>
  </si>
  <si>
    <t>1. 직접인건비</t>
  </si>
  <si>
    <t>일위대가 반영비율</t>
  </si>
  <si>
    <t>3% 이상~5% 미만</t>
  </si>
  <si>
    <t xml:space="preserve"> 가. 보고서 인쇄비</t>
  </si>
  <si>
    <t>기준소요인력 적용비율</t>
  </si>
  <si>
    <t xml:space="preserve">   나) 강우분석</t>
  </si>
  <si>
    <t xml:space="preserve">   다) 유출분석</t>
  </si>
  <si>
    <t xml:space="preserve">   라) 홍수위산정</t>
  </si>
  <si>
    <t xml:space="preserve">  표 지 및 제 본</t>
  </si>
  <si>
    <t>재해예방사업 당</t>
  </si>
  <si>
    <t>하천시설 연장당</t>
  </si>
  <si>
    <t xml:space="preserve">   가) 관로(배수로) 연장의 경우 1km를 기준으로 소요인력기준 산정을 정하였으므로 다음과 같이 보정계수 적용</t>
  </si>
  <si>
    <t xml:space="preserve">   가) 펌프용량의 경우 1.0m3/s를 기준으로 소요인력기준을 산정을 정하였으므로 다음과 같이 보정계수 적용</t>
  </si>
  <si>
    <t xml:space="preserve">      ※ 다양한 관직경이 존재하는 사업의 경우 복합계수 적용</t>
  </si>
  <si>
    <t xml:space="preserve">  2) 관련계획 검토</t>
  </si>
  <si>
    <t xml:space="preserve">  1) 관련자료 조사</t>
  </si>
  <si>
    <t>다. 재해발생 원인분석</t>
  </si>
  <si>
    <t>종          별</t>
  </si>
  <si>
    <t xml:space="preserve">  1) 작업계획 수립</t>
  </si>
  <si>
    <t>노     무     비</t>
  </si>
  <si>
    <t>20% 이상~30% 미만</t>
  </si>
  <si>
    <t xml:space="preserve">   바) 피해원인분석</t>
  </si>
  <si>
    <t xml:space="preserve">  1) 피해현황 조사</t>
  </si>
  <si>
    <t>7% 이상~10% 미만</t>
  </si>
  <si>
    <t xml:space="preserve">   다) 유실위험지구</t>
  </si>
  <si>
    <t>[도시화율에 따른 보정계수]</t>
  </si>
  <si>
    <t>10% 이상~20% 미만</t>
  </si>
  <si>
    <t>나. 관련계획 조사 및 검토</t>
  </si>
  <si>
    <t xml:space="preserve">  2) 피해원인 분석</t>
  </si>
  <si>
    <r>
      <rPr>
        <sz val="11"/>
        <color rgb="FF000000"/>
        <rFont val="맑은 고딕"/>
        <family val="3"/>
        <charset val="129"/>
      </rPr>
      <t xml:space="preserve">   가) 수리</t>
    </r>
    <r>
      <rPr>
        <sz val="11"/>
        <color rgb="FF000000"/>
        <rFont val="MS Gothic"/>
        <family val="3"/>
        <charset val="128"/>
      </rPr>
      <t>․</t>
    </r>
    <r>
      <rPr>
        <sz val="11"/>
        <color rgb="FF000000"/>
        <rFont val="맑은 고딕"/>
        <family val="3"/>
        <charset val="129"/>
      </rPr>
      <t>수문조사</t>
    </r>
  </si>
  <si>
    <t>% (총용역비 감액시 적용)</t>
  </si>
  <si>
    <t>30% 이상~50% 미만</t>
  </si>
  <si>
    <t xml:space="preserve">   나) 유역면적 =</t>
  </si>
  <si>
    <t xml:space="preserve">   라) 고립위험지구</t>
  </si>
  <si>
    <t xml:space="preserve">   라) 사각형거, 2.2</t>
  </si>
  <si>
    <t>(평균펌프용량)^0.45</t>
  </si>
  <si>
    <t xml:space="preserve">   가) 지역특성 :</t>
  </si>
  <si>
    <t xml:space="preserve">   나) 펌프장개소수 =</t>
  </si>
  <si>
    <r>
      <rPr>
        <b/>
        <sz val="11"/>
        <color rgb="FF000000"/>
        <rFont val="맑은 고딕"/>
        <family val="3"/>
        <charset val="129"/>
      </rPr>
      <t>3) 관로(배수로) 연장에 따른 보정계수(</t>
    </r>
    <r>
      <rPr>
        <b/>
        <sz val="11"/>
        <color rgb="FF000000"/>
        <rFont val="Calibri"/>
        <family val="2"/>
      </rPr>
      <t>α</t>
    </r>
    <r>
      <rPr>
        <b/>
        <sz val="11"/>
        <color rgb="FF000000"/>
        <rFont val="맑은 고딕"/>
        <family val="3"/>
        <charset val="129"/>
      </rPr>
      <t>3)</t>
    </r>
  </si>
  <si>
    <r>
      <rPr>
        <b/>
        <sz val="11"/>
        <color rgb="FF000000"/>
        <rFont val="맑은 고딕"/>
        <family val="3"/>
        <charset val="129"/>
      </rPr>
      <t xml:space="preserve">   (3) 배수펌프장 통합 보정계수(</t>
    </r>
    <r>
      <rPr>
        <b/>
        <sz val="11"/>
        <color rgb="FF000000"/>
        <rFont val="Calibri"/>
        <family val="2"/>
      </rPr>
      <t>α</t>
    </r>
    <r>
      <rPr>
        <b/>
        <sz val="11"/>
        <color rgb="FF000000"/>
        <rFont val="맑은 고딕"/>
        <family val="3"/>
        <charset val="129"/>
      </rPr>
      <t>5)</t>
    </r>
  </si>
  <si>
    <t xml:space="preserve">   가) 소구경(D &lt; 400mm), 1.0</t>
  </si>
  <si>
    <t xml:space="preserve">   다) 대구경(D ≥ 800mm), 1.6</t>
  </si>
  <si>
    <t xml:space="preserve">1+C×(관로(배수로)연장-1)(km)  = </t>
  </si>
  <si>
    <t>단  가</t>
  </si>
  <si>
    <t>순   번</t>
  </si>
  <si>
    <t>고급기술자</t>
  </si>
  <si>
    <t>특급기술인</t>
  </si>
  <si>
    <t>직접경비</t>
  </si>
  <si>
    <t>금  액</t>
  </si>
  <si>
    <t>비   고</t>
  </si>
  <si>
    <t>내  역  서</t>
  </si>
  <si>
    <t>고급기술인</t>
  </si>
  <si>
    <t>특급기술자</t>
  </si>
  <si>
    <t>금    액</t>
  </si>
  <si>
    <t>구    분</t>
  </si>
  <si>
    <t>부가가치세</t>
  </si>
  <si>
    <t>기  술  사</t>
  </si>
  <si>
    <t>고급기능인</t>
  </si>
  <si>
    <t>1. 보정계수</t>
  </si>
  <si>
    <t>공  종</t>
  </si>
  <si>
    <t>경  비</t>
  </si>
  <si>
    <t>수량
(보정)</t>
  </si>
  <si>
    <t>도시화율</t>
  </si>
  <si>
    <t>규  격</t>
  </si>
  <si>
    <t>초급기능인</t>
  </si>
  <si>
    <t>초급기술인</t>
  </si>
  <si>
    <t>직접인건비</t>
  </si>
  <si>
    <t>중급기술인</t>
  </si>
  <si>
    <t>인건비+제경비</t>
  </si>
  <si>
    <t>비    고</t>
  </si>
  <si>
    <t>노 무 비</t>
  </si>
  <si>
    <t>초급기술자</t>
  </si>
  <si>
    <t>중급기능인</t>
  </si>
  <si>
    <t>총   액</t>
  </si>
  <si>
    <t>중급기술자</t>
  </si>
  <si>
    <t>용역손해보험</t>
  </si>
  <si>
    <t>3% 미만</t>
  </si>
  <si>
    <t>분석단계</t>
  </si>
  <si>
    <t>적용기준</t>
  </si>
  <si>
    <t>재 료 비</t>
  </si>
  <si>
    <t>2. 직접경비</t>
  </si>
  <si>
    <t>조사단계</t>
  </si>
  <si>
    <t>m3/s</t>
  </si>
  <si>
    <t>50% 이상</t>
  </si>
  <si>
    <t>업무구분</t>
  </si>
  <si>
    <t>중급기능사</t>
  </si>
  <si>
    <t>중급숙련자</t>
  </si>
  <si>
    <t>보정계수</t>
  </si>
  <si>
    <t>10km2</t>
  </si>
  <si>
    <t>보정계수 적용</t>
  </si>
  <si>
    <t>원단위
기준</t>
  </si>
  <si>
    <t>1 km</t>
  </si>
  <si>
    <t>1. 보고서</t>
  </si>
  <si>
    <t>단 가(원)</t>
  </si>
  <si>
    <t>1km2</t>
  </si>
  <si>
    <t>금 액(원)</t>
  </si>
  <si>
    <t>page</t>
  </si>
  <si>
    <t>유역면적당</t>
  </si>
  <si>
    <t>계수C1</t>
  </si>
  <si>
    <t>계수C2</t>
  </si>
  <si>
    <t>연장(B)</t>
  </si>
  <si>
    <t>연장(D)</t>
  </si>
  <si>
    <t>연장(C)</t>
  </si>
  <si>
    <t>계수C3</t>
  </si>
  <si>
    <t>α4, α7</t>
  </si>
  <si>
    <t>계수C4</t>
  </si>
  <si>
    <t>α3, α7</t>
  </si>
  <si>
    <r>
      <rPr>
        <sz val="11"/>
        <color rgb="FF000000"/>
        <rFont val="Calibri"/>
        <family val="2"/>
      </rPr>
      <t>α5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Calibri"/>
        <family val="2"/>
      </rPr>
      <t>α7</t>
    </r>
  </si>
  <si>
    <t>연장(A)</t>
  </si>
  <si>
    <r>
      <rPr>
        <sz val="11"/>
        <color rgb="FF000000"/>
        <rFont val="Calibri"/>
        <family val="2"/>
      </rPr>
      <t>α1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Calibri"/>
        <family val="2"/>
      </rPr>
      <t>α7</t>
    </r>
  </si>
  <si>
    <t xml:space="preserve">   마) 범람해석(2차원 시뮬레이션)</t>
  </si>
  <si>
    <t xml:space="preserve">1+C×(위험지구연장-1)(km)  = </t>
  </si>
  <si>
    <t>산지,농경지(1.0), 도심지(1.3)</t>
  </si>
  <si>
    <t>2) 유역면적에 따른 보정계수(α2)</t>
  </si>
  <si>
    <t>- 단위업무별 보정계수 산정 및 적용기준</t>
  </si>
  <si>
    <t>도시화율</t>
    <phoneticPr fontId="181" type="noConversion"/>
  </si>
  <si>
    <t>적용</t>
    <phoneticPr fontId="181" type="noConversion"/>
  </si>
  <si>
    <t>1 + (펌프장개소수 - 1) x 0.8  =</t>
    <phoneticPr fontId="181" type="noConversion"/>
  </si>
  <si>
    <t>1 ㎥/s,개소</t>
    <phoneticPr fontId="181" type="noConversion"/>
  </si>
  <si>
    <t>개소</t>
    <phoneticPr fontId="181" type="noConversion"/>
  </si>
  <si>
    <t>식</t>
    <phoneticPr fontId="181" type="noConversion"/>
  </si>
  <si>
    <t xml:space="preserve">  2) 주요시설물 정비계획</t>
    <phoneticPr fontId="181" type="noConversion"/>
  </si>
  <si>
    <t xml:space="preserve">   (3) 우수관로 통합 보정계수(α3)</t>
  </si>
  <si>
    <t xml:space="preserve">   (1) 관로연장(α3-1)</t>
  </si>
  <si>
    <t>관로 연장당</t>
  </si>
  <si>
    <t>-</t>
    <phoneticPr fontId="181" type="noConversion"/>
  </si>
  <si>
    <t xml:space="preserve">   가) 하천. 소하천시설물</t>
    <phoneticPr fontId="181" type="noConversion"/>
  </si>
  <si>
    <t xml:space="preserve">   나) 배수펌프장 및 유수지</t>
    <phoneticPr fontId="181" type="noConversion"/>
  </si>
  <si>
    <t xml:space="preserve">   라) 우수유출저감시설</t>
    <phoneticPr fontId="181" type="noConversion"/>
  </si>
  <si>
    <r>
      <t xml:space="preserve"> 1) 하천재해, 해안재해, 저수지 특성에 따른 보정계수(</t>
    </r>
    <r>
      <rPr>
        <b/>
        <sz val="11"/>
        <color rgb="FF000000"/>
        <rFont val="Calibri"/>
        <family val="3"/>
        <charset val="161"/>
      </rPr>
      <t>α</t>
    </r>
    <r>
      <rPr>
        <b/>
        <sz val="11"/>
        <color rgb="FF000000"/>
        <rFont val="맑은 고딕"/>
        <family val="3"/>
        <charset val="129"/>
      </rPr>
      <t>1)</t>
    </r>
    <phoneticPr fontId="181" type="noConversion"/>
  </si>
  <si>
    <t>km</t>
    <phoneticPr fontId="181" type="noConversion"/>
  </si>
  <si>
    <t>α8-1</t>
    <phoneticPr fontId="181" type="noConversion"/>
  </si>
  <si>
    <t>α8-2</t>
    <phoneticPr fontId="181" type="noConversion"/>
  </si>
  <si>
    <t>α8-3</t>
    <phoneticPr fontId="181" type="noConversion"/>
  </si>
  <si>
    <t>α8-5</t>
    <phoneticPr fontId="181" type="noConversion"/>
  </si>
  <si>
    <t>α8-4</t>
    <phoneticPr fontId="181" type="noConversion"/>
  </si>
  <si>
    <t>α9-1</t>
    <phoneticPr fontId="181" type="noConversion"/>
  </si>
  <si>
    <t>α9-2</t>
    <phoneticPr fontId="181" type="noConversion"/>
  </si>
  <si>
    <t>α8-6</t>
    <phoneticPr fontId="181" type="noConversion"/>
  </si>
  <si>
    <t xml:space="preserve">   나) 하천재해 연장 =</t>
    <phoneticPr fontId="181" type="noConversion"/>
  </si>
  <si>
    <r>
      <t xml:space="preserve">       보정계수(</t>
    </r>
    <r>
      <rPr>
        <sz val="11"/>
        <color rgb="FF000000"/>
        <rFont val="Calibri"/>
        <family val="3"/>
        <charset val="161"/>
      </rPr>
      <t>α</t>
    </r>
    <r>
      <rPr>
        <sz val="11"/>
        <color rgb="FF000000"/>
        <rFont val="맑은 고딕"/>
        <family val="3"/>
        <charset val="129"/>
      </rPr>
      <t>1-1)  =</t>
    </r>
    <phoneticPr fontId="181" type="noConversion"/>
  </si>
  <si>
    <t>계</t>
    <phoneticPr fontId="181" type="noConversion"/>
  </si>
  <si>
    <t>%</t>
    <phoneticPr fontId="187" type="noConversion"/>
  </si>
  <si>
    <t>단위</t>
    <phoneticPr fontId="181" type="noConversion"/>
  </si>
  <si>
    <t>비고</t>
    <phoneticPr fontId="181" type="noConversion"/>
  </si>
  <si>
    <t>1식</t>
    <phoneticPr fontId="181" type="noConversion"/>
  </si>
  <si>
    <t>해당유무</t>
    <phoneticPr fontId="181" type="noConversion"/>
  </si>
  <si>
    <t xml:space="preserve"> (2) 내수재해 유역</t>
    <phoneticPr fontId="181" type="noConversion"/>
  </si>
  <si>
    <t xml:space="preserve">       ※ 유역면적이 10km2 이하인 경우 10km2 요율을 적용한다. </t>
    <phoneticPr fontId="181" type="noConversion"/>
  </si>
  <si>
    <t xml:space="preserve"> (1) 하천재해 유역</t>
    <phoneticPr fontId="181" type="noConversion"/>
  </si>
  <si>
    <t xml:space="preserve">   다) 우수관로</t>
    <phoneticPr fontId="181" type="noConversion"/>
  </si>
  <si>
    <t>1 km,관경</t>
    <phoneticPr fontId="181" type="noConversion"/>
  </si>
  <si>
    <t>1만㎥,개소</t>
    <phoneticPr fontId="181" type="noConversion"/>
  </si>
  <si>
    <t xml:space="preserve">   아) 도로(접속도로)</t>
    <phoneticPr fontId="181" type="noConversion"/>
  </si>
  <si>
    <t xml:space="preserve">   자) 저수지(제체보강)</t>
    <phoneticPr fontId="181" type="noConversion"/>
  </si>
  <si>
    <t>침수대응(환경부) 품셈</t>
  </si>
  <si>
    <r>
      <rPr>
        <sz val="11"/>
        <color rgb="FF000000"/>
        <rFont val="Calibri"/>
        <family val="3"/>
        <charset val="161"/>
      </rPr>
      <t>α</t>
    </r>
    <r>
      <rPr>
        <sz val="11"/>
        <color rgb="FF000000"/>
        <rFont val="맑은 고딕"/>
        <family val="3"/>
        <charset val="129"/>
      </rPr>
      <t>2</t>
    </r>
    <phoneticPr fontId="181" type="noConversion"/>
  </si>
  <si>
    <r>
      <rPr>
        <sz val="11"/>
        <color rgb="FF000000"/>
        <rFont val="Calibri"/>
        <family val="2"/>
      </rPr>
      <t>α</t>
    </r>
    <r>
      <rPr>
        <sz val="11"/>
        <color rgb="FF000000"/>
        <rFont val="맑은 고딕"/>
        <family val="3"/>
        <charset val="129"/>
      </rPr>
      <t>2</t>
    </r>
    <phoneticPr fontId="181" type="noConversion"/>
  </si>
  <si>
    <r>
      <rPr>
        <sz val="11"/>
        <color rgb="FF000000"/>
        <rFont val="Calibri"/>
        <family val="2"/>
      </rPr>
      <t>α</t>
    </r>
    <r>
      <rPr>
        <sz val="11"/>
        <color rgb="FF000000"/>
        <rFont val="맑은 고딕"/>
        <family val="3"/>
        <charset val="129"/>
      </rPr>
      <t>1</t>
    </r>
    <phoneticPr fontId="181" type="noConversion"/>
  </si>
  <si>
    <t>α18</t>
    <phoneticPr fontId="181" type="noConversion"/>
  </si>
  <si>
    <t xml:space="preserve">       ※ 도시화율(%)= [(국계법상 도시지역 및 계획관리지역면적)/(위험지역면적)]*100</t>
    <phoneticPr fontId="181" type="noConversion"/>
  </si>
  <si>
    <t>공     종</t>
  </si>
  <si>
    <t>규     격</t>
  </si>
  <si>
    <t>수  량</t>
  </si>
  <si>
    <t>단  위</t>
  </si>
  <si>
    <t>노   무   비</t>
    <phoneticPr fontId="181" type="noConversion"/>
  </si>
  <si>
    <t>재   료   비</t>
    <phoneticPr fontId="181" type="noConversion"/>
  </si>
  <si>
    <t>경         비</t>
  </si>
  <si>
    <t>비   고</t>
    <phoneticPr fontId="181" type="noConversion"/>
  </si>
  <si>
    <t>단    가</t>
  </si>
  <si>
    <t>인</t>
    <phoneticPr fontId="181" type="noConversion"/>
  </si>
  <si>
    <t>보링공</t>
    <phoneticPr fontId="181" type="noConversion"/>
  </si>
  <si>
    <t>특별인부</t>
    <phoneticPr fontId="181" type="noConversion"/>
  </si>
  <si>
    <t>보통인부</t>
    <phoneticPr fontId="181" type="noConversion"/>
  </si>
  <si>
    <t>싱글코어바렐</t>
    <phoneticPr fontId="181" type="noConversion"/>
  </si>
  <si>
    <t>개</t>
    <phoneticPr fontId="181" type="noConversion"/>
  </si>
  <si>
    <t>메탈크라운비트</t>
    <phoneticPr fontId="181" type="noConversion"/>
  </si>
  <si>
    <t>개</t>
  </si>
  <si>
    <t>드라이브파이프헤드</t>
    <phoneticPr fontId="181" type="noConversion"/>
  </si>
  <si>
    <t>드라이브파이프슈</t>
    <phoneticPr fontId="181" type="noConversion"/>
  </si>
  <si>
    <t>드라이브파이프</t>
    <phoneticPr fontId="181" type="noConversion"/>
  </si>
  <si>
    <t>경유</t>
  </si>
  <si>
    <t>ㅣ</t>
  </si>
  <si>
    <t>잡재료</t>
    <phoneticPr fontId="181" type="noConversion"/>
  </si>
  <si>
    <t>경유의</t>
    <phoneticPr fontId="187" type="noConversion"/>
  </si>
  <si>
    <t>자주식유압시추기손료</t>
    <phoneticPr fontId="181" type="noConversion"/>
  </si>
  <si>
    <t>54HP(40KW)</t>
    <phoneticPr fontId="187" type="noConversion"/>
  </si>
  <si>
    <t>HR</t>
    <phoneticPr fontId="181" type="noConversion"/>
  </si>
  <si>
    <t>더블코어바렐</t>
    <phoneticPr fontId="181" type="noConversion"/>
  </si>
  <si>
    <t>메탈리밍쉘</t>
    <phoneticPr fontId="181" type="noConversion"/>
  </si>
  <si>
    <t>코어리프터</t>
    <phoneticPr fontId="181" type="noConversion"/>
  </si>
  <si>
    <t>SPT shoe</t>
  </si>
  <si>
    <t>Φ51mm</t>
  </si>
  <si>
    <t>샘플러</t>
  </si>
  <si>
    <t>split spoon</t>
  </si>
  <si>
    <t>l</t>
  </si>
  <si>
    <t>잡유</t>
  </si>
  <si>
    <t>경유의</t>
  </si>
  <si>
    <t>경유</t>
    <phoneticPr fontId="181" type="noConversion"/>
  </si>
  <si>
    <t>잡재료</t>
  </si>
  <si>
    <t>경유의</t>
    <phoneticPr fontId="181" type="noConversion"/>
  </si>
  <si>
    <t>입    도</t>
    <phoneticPr fontId="181" type="noConversion"/>
  </si>
  <si>
    <t>회</t>
    <phoneticPr fontId="181" type="noConversion"/>
  </si>
  <si>
    <t>함 수 량</t>
    <phoneticPr fontId="181" type="noConversion"/>
  </si>
  <si>
    <t>비    중</t>
    <phoneticPr fontId="181" type="noConversion"/>
  </si>
  <si>
    <t>액성한계</t>
    <phoneticPr fontId="181" type="noConversion"/>
  </si>
  <si>
    <t>소성한계</t>
    <phoneticPr fontId="181" type="noConversion"/>
  </si>
  <si>
    <t>#200체 통과량</t>
    <phoneticPr fontId="204" type="noConversion"/>
  </si>
  <si>
    <t>다   짐</t>
    <phoneticPr fontId="204" type="noConversion"/>
  </si>
  <si>
    <t>시멘트</t>
    <phoneticPr fontId="187" type="noConversion"/>
  </si>
  <si>
    <t>40kg/대</t>
    <phoneticPr fontId="187" type="noConversion"/>
  </si>
  <si>
    <t>대</t>
    <phoneticPr fontId="187" type="noConversion"/>
  </si>
  <si>
    <t>공구손료</t>
    <phoneticPr fontId="187" type="noConversion"/>
  </si>
  <si>
    <t>인력비의</t>
    <phoneticPr fontId="187" type="noConversion"/>
  </si>
  <si>
    <t>시추공폐공비 (m당)</t>
    <phoneticPr fontId="181" type="noConversion"/>
  </si>
  <si>
    <t>m</t>
    <phoneticPr fontId="181" type="noConversion"/>
  </si>
  <si>
    <t xml:space="preserve">   가. 산정기준</t>
    <phoneticPr fontId="204" type="noConversion"/>
  </si>
  <si>
    <t xml:space="preserve">       ▷ 시추기준은 점토층 3m, 모래층 2m, 자갈층 2m, 풍화암층 2m, 연암층 1m로 한다.</t>
    <phoneticPr fontId="204" type="noConversion"/>
  </si>
  <si>
    <t>공</t>
    <phoneticPr fontId="181" type="noConversion"/>
  </si>
  <si>
    <t xml:space="preserve">   </t>
    <phoneticPr fontId="181" type="noConversion"/>
  </si>
  <si>
    <t xml:space="preserve">   나. 시추조사 수량산정준</t>
    <phoneticPr fontId="204" type="noConversion"/>
  </si>
  <si>
    <t>구   분</t>
  </si>
  <si>
    <t>비  고</t>
    <phoneticPr fontId="181" type="noConversion"/>
  </si>
  <si>
    <t>공수</t>
  </si>
  <si>
    <t>깊이</t>
  </si>
  <si>
    <t>총깊이</t>
  </si>
  <si>
    <t>(공)</t>
  </si>
  <si>
    <t>(m)</t>
  </si>
  <si>
    <t>점 토 층</t>
    <phoneticPr fontId="181" type="noConversion"/>
  </si>
  <si>
    <t>모 래 층</t>
    <phoneticPr fontId="181" type="noConversion"/>
  </si>
  <si>
    <t>자 갈 층</t>
    <phoneticPr fontId="181" type="noConversion"/>
  </si>
  <si>
    <t>풍화암층</t>
    <phoneticPr fontId="181" type="noConversion"/>
  </si>
  <si>
    <t>연 암 층</t>
    <phoneticPr fontId="181" type="noConversion"/>
  </si>
  <si>
    <t xml:space="preserve">   다. 표준관입시험 수량산출</t>
    <phoneticPr fontId="204" type="noConversion"/>
  </si>
  <si>
    <t>구  분</t>
    <phoneticPr fontId="181" type="noConversion"/>
  </si>
  <si>
    <t>계
(회)</t>
    <phoneticPr fontId="181" type="noConversion"/>
  </si>
  <si>
    <t>총 공 수
(공)</t>
    <phoneticPr fontId="181" type="noConversion"/>
  </si>
  <si>
    <t>공당횟수
(회/공)</t>
    <phoneticPr fontId="181" type="noConversion"/>
  </si>
  <si>
    <t>횟수
(회)</t>
    <phoneticPr fontId="181" type="noConversion"/>
  </si>
  <si>
    <t>연암층</t>
    <phoneticPr fontId="181" type="noConversion"/>
  </si>
  <si>
    <t xml:space="preserve"> - 물리적 시험 :</t>
    <phoneticPr fontId="181" type="noConversion"/>
  </si>
  <si>
    <t xml:space="preserve">  - 역 학 시 험 :</t>
    <phoneticPr fontId="181" type="noConversion"/>
  </si>
  <si>
    <t>공 ×</t>
  </si>
  <si>
    <t>회 ＝</t>
  </si>
  <si>
    <t>개소</t>
    <phoneticPr fontId="204" type="noConversion"/>
  </si>
  <si>
    <t>명  칭</t>
    <phoneticPr fontId="181" type="noConversion"/>
  </si>
  <si>
    <t>규    격</t>
    <phoneticPr fontId="181" type="noConversion"/>
  </si>
  <si>
    <t>단가(단위:원)</t>
    <phoneticPr fontId="181" type="noConversion"/>
  </si>
  <si>
    <t>싱글코아바렐</t>
    <phoneticPr fontId="181" type="noConversion"/>
  </si>
  <si>
    <t>NXLS, 1.0m</t>
    <phoneticPr fontId="181" type="noConversion"/>
  </si>
  <si>
    <t>원</t>
  </si>
  <si>
    <t>더블코아바렐</t>
    <phoneticPr fontId="181" type="noConversion"/>
  </si>
  <si>
    <t>NXL, 1.5m</t>
    <phoneticPr fontId="181" type="noConversion"/>
  </si>
  <si>
    <t>메탈크라운비트</t>
  </si>
  <si>
    <t>NXLS, n=6~10</t>
    <phoneticPr fontId="181" type="noConversion"/>
  </si>
  <si>
    <t>쵸  핑  비  트</t>
    <phoneticPr fontId="181" type="noConversion"/>
  </si>
  <si>
    <t>NX(스트레이트)</t>
    <phoneticPr fontId="181" type="noConversion"/>
  </si>
  <si>
    <t>원</t>
    <phoneticPr fontId="181" type="noConversion"/>
  </si>
  <si>
    <t>NXNW</t>
    <phoneticPr fontId="181" type="noConversion"/>
  </si>
  <si>
    <t>NXNW 1.5m</t>
    <phoneticPr fontId="181" type="noConversion"/>
  </si>
  <si>
    <t>메탈리밍쉘</t>
  </si>
  <si>
    <t>NX</t>
    <phoneticPr fontId="181" type="noConversion"/>
  </si>
  <si>
    <t>슈(SPT)</t>
    <phoneticPr fontId="181" type="noConversion"/>
  </si>
  <si>
    <t>50.8mm</t>
    <phoneticPr fontId="181" type="noConversion"/>
  </si>
  <si>
    <t>샘  플  러</t>
    <phoneticPr fontId="181" type="noConversion"/>
  </si>
  <si>
    <t>경       유</t>
    <phoneticPr fontId="181" type="noConversion"/>
  </si>
  <si>
    <t>휘  발  유</t>
    <phoneticPr fontId="181" type="noConversion"/>
  </si>
  <si>
    <t>시 멘 트</t>
    <phoneticPr fontId="181" type="noConversion"/>
  </si>
  <si>
    <t>40kg/대</t>
    <phoneticPr fontId="181" type="noConversion"/>
  </si>
  <si>
    <t xml:space="preserve">손료(자주식유압시추기) </t>
    <phoneticPr fontId="181" type="noConversion"/>
  </si>
  <si>
    <t>54HP(40kW)</t>
    <phoneticPr fontId="181" type="noConversion"/>
  </si>
  <si>
    <t>입      도</t>
    <phoneticPr fontId="181" type="noConversion"/>
  </si>
  <si>
    <t>밀     도</t>
    <phoneticPr fontId="181" type="noConversion"/>
  </si>
  <si>
    <t>액성한계</t>
    <phoneticPr fontId="204" type="noConversion"/>
  </si>
  <si>
    <t>소성한계</t>
  </si>
  <si>
    <t>#200체 통과량</t>
    <phoneticPr fontId="181" type="noConversion"/>
  </si>
  <si>
    <t>다     짐</t>
    <phoneticPr fontId="181" type="noConversion"/>
  </si>
  <si>
    <t>투     수</t>
    <phoneticPr fontId="181" type="noConversion"/>
  </si>
  <si>
    <t>Ⅲ</t>
    <phoneticPr fontId="181" type="noConversion"/>
  </si>
  <si>
    <t>합        계</t>
  </si>
  <si>
    <t>◈ 품셈기준</t>
    <phoneticPr fontId="187" type="noConversion"/>
  </si>
  <si>
    <t>구   분</t>
    <phoneticPr fontId="181" type="noConversion"/>
  </si>
  <si>
    <t>1. 직접인건비</t>
    <phoneticPr fontId="181" type="noConversion"/>
  </si>
  <si>
    <t>구      분</t>
    <phoneticPr fontId="181" type="noConversion"/>
  </si>
  <si>
    <t>소요인력 (인·일)</t>
    <phoneticPr fontId="181" type="noConversion"/>
  </si>
  <si>
    <t>특급기술인</t>
    <phoneticPr fontId="181" type="noConversion"/>
  </si>
  <si>
    <t>고급기술인</t>
    <phoneticPr fontId="181" type="noConversion"/>
  </si>
  <si>
    <t>중급기술인</t>
    <phoneticPr fontId="181" type="noConversion"/>
  </si>
  <si>
    <t>초급기술인</t>
    <phoneticPr fontId="181" type="noConversion"/>
  </si>
  <si>
    <t>소요인력 계</t>
    <phoneticPr fontId="181" type="noConversion"/>
  </si>
  <si>
    <t>설계안전보건대장 산출자료</t>
    <phoneticPr fontId="181" type="noConversion"/>
  </si>
  <si>
    <t>□ 안전보건대장 작성 대가</t>
    <phoneticPr fontId="223" type="noConversion"/>
  </si>
  <si>
    <t>(단위 : 원, 부가세 제외)</t>
    <phoneticPr fontId="223" type="noConversion"/>
  </si>
  <si>
    <t>공사금액</t>
    <phoneticPr fontId="223" type="noConversion"/>
  </si>
  <si>
    <t>기본안전보건대장</t>
    <phoneticPr fontId="223" type="noConversion"/>
  </si>
  <si>
    <t>설계안전보건대장</t>
    <phoneticPr fontId="223" type="noConversion"/>
  </si>
  <si>
    <t>공사안전보건대장</t>
    <phoneticPr fontId="223" type="noConversion"/>
  </si>
  <si>
    <t>비  고</t>
    <phoneticPr fontId="223" type="noConversion"/>
  </si>
  <si>
    <t>100억 미만</t>
    <phoneticPr fontId="223" type="noConversion"/>
  </si>
  <si>
    <t>100억~500억 미만</t>
    <phoneticPr fontId="223" type="noConversion"/>
  </si>
  <si>
    <t>500억~1,000억 미만</t>
    <phoneticPr fontId="223" type="noConversion"/>
  </si>
  <si>
    <t>1,000억~3,000억 미만</t>
    <phoneticPr fontId="223" type="noConversion"/>
  </si>
  <si>
    <t>3,000억 이상</t>
    <phoneticPr fontId="223" type="noConversion"/>
  </si>
  <si>
    <t>* 2020. 1. 16 이후 발주자가 건설공사의 설계에 관한 계약을 체결하는 건설공사부터 시행 (건설공사 안전보건대장의 작성 등에 관한 고시)</t>
    <phoneticPr fontId="181" type="noConversion"/>
  </si>
  <si>
    <t>▣ 개 략 공 사 비</t>
    <phoneticPr fontId="181" type="noConversion"/>
  </si>
  <si>
    <t>구    분</t>
    <phoneticPr fontId="181" type="noConversion"/>
  </si>
  <si>
    <t>수    량</t>
    <phoneticPr fontId="181" type="noConversion"/>
  </si>
  <si>
    <t>개략공사비(원)</t>
    <phoneticPr fontId="181" type="noConversion"/>
  </si>
  <si>
    <t>비    고</t>
    <phoneticPr fontId="181" type="noConversion"/>
  </si>
  <si>
    <t>비 고</t>
    <phoneticPr fontId="181" type="noConversion"/>
  </si>
  <si>
    <t xml:space="preserve">    1. 지형유형 증감계수 K =</t>
    <phoneticPr fontId="187" type="noConversion"/>
  </si>
  <si>
    <t xml:space="preserve">        ※지형 유형에 따른계수(K)</t>
    <phoneticPr fontId="187" type="noConversion"/>
  </si>
  <si>
    <t>지형구분</t>
    <phoneticPr fontId="187" type="noConversion"/>
  </si>
  <si>
    <t>계수</t>
    <phoneticPr fontId="187" type="noConversion"/>
  </si>
  <si>
    <t>비                      고</t>
    <phoneticPr fontId="187" type="noConversion"/>
  </si>
  <si>
    <t>밀집시가지</t>
    <phoneticPr fontId="187" type="noConversion"/>
  </si>
  <si>
    <t>건물 및 도로가 시가지 면적의 90%이상지형</t>
    <phoneticPr fontId="187" type="noConversion"/>
  </si>
  <si>
    <t>시가지</t>
    <phoneticPr fontId="187" type="noConversion"/>
  </si>
  <si>
    <t>건물 및 도로가 시가지 면적의 70%이상지형</t>
    <phoneticPr fontId="187" type="noConversion"/>
  </si>
  <si>
    <t>평지</t>
    <phoneticPr fontId="187" type="noConversion"/>
  </si>
  <si>
    <t>평탄한 평야지형</t>
    <phoneticPr fontId="187" type="noConversion"/>
  </si>
  <si>
    <t>구릉지</t>
    <phoneticPr fontId="187" type="noConversion"/>
  </si>
  <si>
    <t>시가지주변 및 촌락의 소도시를 포함한 구릉상태의 농지지형</t>
    <phoneticPr fontId="187" type="noConversion"/>
  </si>
  <si>
    <t>산지</t>
    <phoneticPr fontId="187" type="noConversion"/>
  </si>
  <si>
    <t>표고차 200m - 400m이상지형</t>
    <phoneticPr fontId="187" type="noConversion"/>
  </si>
  <si>
    <t xml:space="preserve">    2. 축 적 증 감 계 수 S =</t>
    <phoneticPr fontId="187" type="noConversion"/>
  </si>
  <si>
    <t xml:space="preserve">        ※축척에 따른 계수(S)</t>
    <phoneticPr fontId="187" type="noConversion"/>
  </si>
  <si>
    <t>축   척</t>
    <phoneticPr fontId="187" type="noConversion"/>
  </si>
  <si>
    <t>1/250</t>
    <phoneticPr fontId="187" type="noConversion"/>
  </si>
  <si>
    <t>1/500</t>
    <phoneticPr fontId="187" type="noConversion"/>
  </si>
  <si>
    <t>1/1000</t>
    <phoneticPr fontId="187" type="noConversion"/>
  </si>
  <si>
    <t>1/2500</t>
    <phoneticPr fontId="187" type="noConversion"/>
  </si>
  <si>
    <t>비고</t>
    <phoneticPr fontId="187" type="noConversion"/>
  </si>
  <si>
    <t>계   수</t>
    <phoneticPr fontId="187" type="noConversion"/>
  </si>
  <si>
    <t xml:space="preserve">    3. 작업량   증감계수 P =</t>
    <phoneticPr fontId="187" type="noConversion"/>
  </si>
  <si>
    <t>㎡</t>
    <phoneticPr fontId="187" type="noConversion"/>
  </si>
  <si>
    <t xml:space="preserve">        ※작업량에 따른 계수(S)</t>
    <phoneticPr fontId="187" type="noConversion"/>
  </si>
  <si>
    <t>작업량(면적:m2)</t>
    <phoneticPr fontId="187" type="noConversion"/>
  </si>
  <si>
    <t>2만</t>
    <phoneticPr fontId="187" type="noConversion"/>
  </si>
  <si>
    <t>5만</t>
    <phoneticPr fontId="187" type="noConversion"/>
  </si>
  <si>
    <t>10만</t>
    <phoneticPr fontId="187" type="noConversion"/>
  </si>
  <si>
    <t>15만</t>
    <phoneticPr fontId="187" type="noConversion"/>
  </si>
  <si>
    <t>20만</t>
    <phoneticPr fontId="187" type="noConversion"/>
  </si>
  <si>
    <t>중심선 측량</t>
    <phoneticPr fontId="181" type="noConversion"/>
  </si>
  <si>
    <t>종단 측량</t>
    <phoneticPr fontId="181" type="noConversion"/>
  </si>
  <si>
    <t>횡단 측량</t>
    <phoneticPr fontId="181" type="noConversion"/>
  </si>
  <si>
    <t>합        계</t>
    <phoneticPr fontId="181" type="noConversion"/>
  </si>
  <si>
    <t>구 분</t>
    <phoneticPr fontId="181" type="noConversion"/>
  </si>
  <si>
    <t>적    용    인    력 (인.일)</t>
    <phoneticPr fontId="181" type="noConversion"/>
  </si>
  <si>
    <t>특 급</t>
  </si>
  <si>
    <t>고 급</t>
  </si>
  <si>
    <t>중 급</t>
  </si>
  <si>
    <t>초 급</t>
  </si>
  <si>
    <t>기술인</t>
    <phoneticPr fontId="181" type="noConversion"/>
  </si>
  <si>
    <t>가. 지장물 및 구조물조사</t>
    <phoneticPr fontId="181" type="noConversion"/>
  </si>
  <si>
    <t>1) 지장물 및 구조물조사</t>
    <phoneticPr fontId="181" type="noConversion"/>
  </si>
  <si>
    <t>㎞</t>
    <phoneticPr fontId="181" type="noConversion"/>
  </si>
  <si>
    <t>보정계수</t>
    <phoneticPr fontId="181" type="noConversion"/>
  </si>
  <si>
    <t>도로등급</t>
    <phoneticPr fontId="241" type="noConversion"/>
  </si>
  <si>
    <t>적용</t>
    <phoneticPr fontId="242" type="noConversion"/>
  </si>
  <si>
    <t>보정계수</t>
    <phoneticPr fontId="242" type="noConversion"/>
  </si>
  <si>
    <t>구간연장(km)</t>
    <phoneticPr fontId="242" type="noConversion"/>
  </si>
  <si>
    <t>기본설계</t>
    <phoneticPr fontId="241" type="noConversion"/>
  </si>
  <si>
    <t>실시설계</t>
    <phoneticPr fontId="241" type="noConversion"/>
  </si>
  <si>
    <t>공사성격</t>
    <phoneticPr fontId="242" type="noConversion"/>
  </si>
  <si>
    <t>신설</t>
    <phoneticPr fontId="242" type="noConversion"/>
  </si>
  <si>
    <t>확장</t>
    <phoneticPr fontId="242" type="noConversion"/>
  </si>
  <si>
    <t>단순확장</t>
    <phoneticPr fontId="242" type="noConversion"/>
  </si>
  <si>
    <t>시설개량</t>
    <phoneticPr fontId="242" type="noConversion"/>
  </si>
  <si>
    <t>구분</t>
    <phoneticPr fontId="241" type="noConversion"/>
  </si>
  <si>
    <t>-</t>
    <phoneticPr fontId="241" type="noConversion"/>
  </si>
  <si>
    <t>지역특성</t>
    <phoneticPr fontId="242" type="noConversion"/>
  </si>
  <si>
    <t>지방지역</t>
    <phoneticPr fontId="242" type="noConversion"/>
  </si>
  <si>
    <t>도시지역</t>
    <phoneticPr fontId="242" type="noConversion"/>
  </si>
  <si>
    <t>Ⅱ</t>
    <phoneticPr fontId="181" type="noConversion"/>
  </si>
  <si>
    <t xml:space="preserve"> 공사종류 </t>
  </si>
  <si>
    <t xml:space="preserve"> 5억원이하 </t>
  </si>
  <si>
    <t xml:space="preserve"> 5억원초과 10억원이하 </t>
  </si>
  <si>
    <t xml:space="preserve"> 10억원초과 20억원이하 </t>
  </si>
  <si>
    <t xml:space="preserve"> 20억원초과 30억원이하 </t>
    <phoneticPr fontId="243" type="noConversion"/>
  </si>
  <si>
    <t xml:space="preserve"> 30억원초과 50억원이하 </t>
    <phoneticPr fontId="243" type="noConversion"/>
  </si>
  <si>
    <t xml:space="preserve"> 기본요율 </t>
  </si>
  <si>
    <t xml:space="preserve"> 가산요율 </t>
  </si>
  <si>
    <t>하수도건설공사</t>
    <phoneticPr fontId="243" type="noConversion"/>
  </si>
  <si>
    <t>1-1 순용역금액</t>
  </si>
  <si>
    <t>1-2 적용요율 (기본요율+적용가산요율)</t>
  </si>
  <si>
    <t>공제료</t>
    <phoneticPr fontId="243" type="noConversion"/>
  </si>
  <si>
    <t>5억이하</t>
  </si>
  <si>
    <t>원</t>
    <phoneticPr fontId="243" type="noConversion"/>
  </si>
  <si>
    <t>1-2-1 적용가산요율</t>
  </si>
  <si>
    <t xml:space="preserve">  = 가산요율x표준공사기간초과일수/365</t>
  </si>
  <si>
    <t>개월</t>
    <phoneticPr fontId="243" type="noConversion"/>
  </si>
  <si>
    <t>초과일수</t>
  </si>
  <si>
    <t>일</t>
    <phoneticPr fontId="243" type="noConversion"/>
  </si>
  <si>
    <t>엔지니어링 손해배상공제 요율</t>
    <phoneticPr fontId="241" type="noConversion"/>
  </si>
  <si>
    <t>1. 1단계 공제료 산정 (순용역금액x적용요율)</t>
    <phoneticPr fontId="181" type="noConversion"/>
  </si>
  <si>
    <t>x (0.607% + (0.097% x (0 / 365)))  =</t>
    <phoneticPr fontId="243" type="noConversion"/>
  </si>
  <si>
    <t>10억이하</t>
    <phoneticPr fontId="181" type="noConversion"/>
  </si>
  <si>
    <t>x (0.590% + (0.094% x (0 / 365)))  =</t>
    <phoneticPr fontId="243" type="noConversion"/>
  </si>
  <si>
    <t>2. 2단계 공제료 (순계약금액 × 0.16%)</t>
    <phoneticPr fontId="243" type="noConversion"/>
  </si>
  <si>
    <t>3. 계 (1단계+2단계 공제료)</t>
    <phoneticPr fontId="243" type="noConversion"/>
  </si>
  <si>
    <t>엔지니어링 손해배상공제료</t>
    <phoneticPr fontId="181" type="noConversion"/>
  </si>
  <si>
    <t>과업명, 설계년도, 설계년월일만 입력합니다.</t>
    <phoneticPr fontId="181" type="noConversion"/>
  </si>
  <si>
    <t>과업명 :</t>
    <phoneticPr fontId="181" type="noConversion"/>
  </si>
  <si>
    <t>년도 :</t>
    <phoneticPr fontId="181" type="noConversion"/>
  </si>
  <si>
    <t>설계년월일:</t>
    <phoneticPr fontId="181" type="noConversion"/>
  </si>
  <si>
    <t>주의) 청색글씨만 수정하세요.</t>
    <phoneticPr fontId="181" type="noConversion"/>
  </si>
  <si>
    <t xml:space="preserve"> </t>
    <phoneticPr fontId="181" type="noConversion"/>
  </si>
  <si>
    <t>설계년월일</t>
    <phoneticPr fontId="187" type="noConversion"/>
  </si>
  <si>
    <t>과     장</t>
    <phoneticPr fontId="187" type="noConversion"/>
  </si>
  <si>
    <t xml:space="preserve">○ 용역개요 : </t>
    <phoneticPr fontId="187" type="noConversion"/>
  </si>
  <si>
    <t>○ 총용역비 :</t>
    <phoneticPr fontId="181" type="noConversion"/>
  </si>
  <si>
    <t>도급예정액:</t>
    <phoneticPr fontId="181" type="noConversion"/>
  </si>
  <si>
    <r>
      <t>공</t>
    </r>
    <r>
      <rPr>
        <b/>
        <sz val="6"/>
        <rFont val="굴림체"/>
        <family val="3"/>
        <charset val="129"/>
      </rPr>
      <t xml:space="preserve"> </t>
    </r>
    <r>
      <rPr>
        <b/>
        <sz val="12"/>
        <rFont val="굴림체"/>
        <family val="3"/>
        <charset val="129"/>
      </rPr>
      <t>급</t>
    </r>
    <r>
      <rPr>
        <b/>
        <sz val="6"/>
        <rFont val="굴림체"/>
        <family val="3"/>
        <charset val="129"/>
      </rPr>
      <t xml:space="preserve"> </t>
    </r>
    <r>
      <rPr>
        <b/>
        <sz val="12"/>
        <rFont val="굴림체"/>
        <family val="3"/>
        <charset val="129"/>
      </rPr>
      <t>가</t>
    </r>
    <r>
      <rPr>
        <b/>
        <sz val="6"/>
        <rFont val="굴림체"/>
        <family val="3"/>
        <charset val="129"/>
      </rPr>
      <t xml:space="preserve"> </t>
    </r>
    <r>
      <rPr>
        <b/>
        <sz val="12"/>
        <rFont val="굴림체"/>
        <family val="3"/>
        <charset val="129"/>
      </rPr>
      <t>액:</t>
    </r>
    <phoneticPr fontId="181" type="noConversion"/>
  </si>
  <si>
    <t>부가가치세:</t>
    <phoneticPr fontId="181" type="noConversion"/>
  </si>
  <si>
    <t>손해배상 공제요율</t>
  </si>
  <si>
    <t>1. 공제료 산정 (순용역금액x적용요율)</t>
  </si>
  <si>
    <t>500,000,000 x (0.746% + (0.118% x ( - / 365)))  =</t>
    <phoneticPr fontId="243" type="noConversion"/>
  </si>
  <si>
    <t>5억초과 ~10억이하</t>
    <phoneticPr fontId="243" type="noConversion"/>
  </si>
  <si>
    <t xml:space="preserve">  x (0.723% + (0.115% x ( - / 365)))  =</t>
    <phoneticPr fontId="243" type="noConversion"/>
  </si>
  <si>
    <t>10억초과 ~20억이하</t>
    <phoneticPr fontId="243" type="noConversion"/>
  </si>
  <si>
    <t xml:space="preserve">  x (0.701% + (0.112% x ( - / 365)))  =</t>
    <phoneticPr fontId="243" type="noConversion"/>
  </si>
  <si>
    <t>20억초과 ~30억이하</t>
    <phoneticPr fontId="243" type="noConversion"/>
  </si>
  <si>
    <t xml:space="preserve">  x (0.679% + (0.108% x ( - / 365)))  =</t>
    <phoneticPr fontId="243" type="noConversion"/>
  </si>
  <si>
    <t>30억초과 ~50억이하</t>
    <phoneticPr fontId="243" type="noConversion"/>
  </si>
  <si>
    <t xml:space="preserve">  x (0.656% + (0.105% x ( - / 365)))  =</t>
    <phoneticPr fontId="243" type="noConversion"/>
  </si>
  <si>
    <t>표준공사기간</t>
  </si>
  <si>
    <t>금회공사기간</t>
  </si>
  <si>
    <t xml:space="preserve">   엔지니어링공제조합 홈페이지, 공제료 참조 </t>
    <phoneticPr fontId="243" type="noConversion"/>
  </si>
  <si>
    <t>수 량</t>
    <phoneticPr fontId="181" type="noConversion"/>
  </si>
  <si>
    <t>적용요율</t>
    <phoneticPr fontId="181" type="noConversion"/>
  </si>
  <si>
    <t>제경비율</t>
    <phoneticPr fontId="241" type="noConversion"/>
  </si>
  <si>
    <t>기술료율</t>
    <phoneticPr fontId="241" type="noConversion"/>
  </si>
  <si>
    <t>측량조사 (건설공사 표준품셈, 국토교통부 공고 제2023-1639호, 2023.12.29)</t>
    <phoneticPr fontId="181" type="noConversion"/>
  </si>
  <si>
    <t>고급기술자</t>
    <phoneticPr fontId="181" type="noConversion"/>
  </si>
  <si>
    <t>중급기술자</t>
    <phoneticPr fontId="181" type="noConversion"/>
  </si>
  <si>
    <t>초급기술자</t>
    <phoneticPr fontId="181" type="noConversion"/>
  </si>
  <si>
    <t>초급기능사</t>
    <phoneticPr fontId="181" type="noConversion"/>
  </si>
  <si>
    <t>보 통 인 부</t>
    <phoneticPr fontId="181" type="noConversion"/>
  </si>
  <si>
    <t>계</t>
    <phoneticPr fontId="241" type="noConversion"/>
  </si>
  <si>
    <t>기술사</t>
    <phoneticPr fontId="181" type="noConversion"/>
  </si>
  <si>
    <t>적용요율</t>
    <phoneticPr fontId="241" type="noConversion"/>
  </si>
  <si>
    <t>지반조사 (지반조사 표준품셈, 한국지반조사협회 공지, 2024)</t>
    <phoneticPr fontId="181" type="noConversion"/>
  </si>
  <si>
    <t>합계</t>
    <phoneticPr fontId="241" type="noConversion"/>
  </si>
  <si>
    <t>식</t>
    <phoneticPr fontId="241" type="noConversion"/>
  </si>
  <si>
    <t>공공기준점 심사</t>
    <phoneticPr fontId="181" type="noConversion"/>
  </si>
  <si>
    <t>점</t>
    <phoneticPr fontId="241" type="noConversion"/>
  </si>
  <si>
    <t>공공수준점 심사</t>
    <phoneticPr fontId="181" type="noConversion"/>
  </si>
  <si>
    <t>km</t>
    <phoneticPr fontId="241" type="noConversion"/>
  </si>
  <si>
    <t>지형현황도 심사</t>
    <phoneticPr fontId="181" type="noConversion"/>
  </si>
  <si>
    <t>도엽</t>
    <phoneticPr fontId="241" type="noConversion"/>
  </si>
  <si>
    <r>
      <t>제경비</t>
    </r>
    <r>
      <rPr>
        <sz val="8"/>
        <rFont val="굴림"/>
        <family val="3"/>
        <charset val="129"/>
      </rPr>
      <t>(인건비의 110%)</t>
    </r>
    <phoneticPr fontId="181" type="noConversion"/>
  </si>
  <si>
    <r>
      <t>기술료</t>
    </r>
    <r>
      <rPr>
        <sz val="8"/>
        <rFont val="굴림"/>
        <family val="3"/>
        <charset val="129"/>
      </rPr>
      <t>((인건비+제경비)의 13%)</t>
    </r>
    <phoneticPr fontId="181" type="noConversion"/>
  </si>
  <si>
    <t>00지구</t>
    <phoneticPr fontId="241" type="noConversion"/>
  </si>
  <si>
    <t>우수관거, 배수로, 하천</t>
    <phoneticPr fontId="241" type="noConversion"/>
  </si>
  <si>
    <t>펌프장 등</t>
    <phoneticPr fontId="241" type="noConversion"/>
  </si>
  <si>
    <t>연장m</t>
    <phoneticPr fontId="241" type="noConversion"/>
  </si>
  <si>
    <t>여유폭m</t>
    <phoneticPr fontId="241" type="noConversion"/>
  </si>
  <si>
    <t>규격(폭*련)</t>
    <phoneticPr fontId="241" type="noConversion"/>
  </si>
  <si>
    <t>면적m2</t>
    <phoneticPr fontId="241" type="noConversion"/>
  </si>
  <si>
    <t xml:space="preserve">  1. 측량조사</t>
    <phoneticPr fontId="204" type="noConversion"/>
  </si>
  <si>
    <t>지방하천</t>
    <phoneticPr fontId="241" type="noConversion"/>
  </si>
  <si>
    <t xml:space="preserve"> - 지형현황 측량</t>
    <phoneticPr fontId="181" type="noConversion"/>
  </si>
  <si>
    <t>㎡</t>
    <phoneticPr fontId="181" type="noConversion"/>
  </si>
  <si>
    <t>소하천</t>
    <phoneticPr fontId="241" type="noConversion"/>
  </si>
  <si>
    <t xml:space="preserve"> - 수도노선측량</t>
    <phoneticPr fontId="181" type="noConversion"/>
  </si>
  <si>
    <t xml:space="preserve"> - 하천종횡단측량</t>
    <phoneticPr fontId="241" type="noConversion"/>
  </si>
  <si>
    <t>소규모공공시설</t>
    <phoneticPr fontId="181" type="noConversion"/>
  </si>
  <si>
    <t xml:space="preserve"> - 용지측량</t>
    <phoneticPr fontId="241" type="noConversion"/>
  </si>
  <si>
    <t>하천 소계</t>
    <phoneticPr fontId="241" type="noConversion"/>
  </si>
  <si>
    <t>구분</t>
    <phoneticPr fontId="181" type="noConversion"/>
  </si>
  <si>
    <t>토석류유입방지시설</t>
    <phoneticPr fontId="181" type="noConversion"/>
  </si>
  <si>
    <t>연장(m)</t>
    <phoneticPr fontId="181" type="noConversion"/>
  </si>
  <si>
    <t>면적(㎡)</t>
    <phoneticPr fontId="181" type="noConversion"/>
  </si>
  <si>
    <t>급경사지보강</t>
    <phoneticPr fontId="181" type="noConversion"/>
  </si>
  <si>
    <t>개소당 100m2</t>
    <phoneticPr fontId="181" type="noConversion"/>
  </si>
  <si>
    <t>펌프장 등</t>
    <phoneticPr fontId="181" type="noConversion"/>
  </si>
  <si>
    <t>현황측량</t>
    <phoneticPr fontId="241" type="noConversion"/>
  </si>
  <si>
    <t>펌프장</t>
    <phoneticPr fontId="181" type="noConversion"/>
  </si>
  <si>
    <t>우수관거 및 배수로</t>
    <phoneticPr fontId="241" type="noConversion"/>
  </si>
  <si>
    <t>노선측량</t>
    <phoneticPr fontId="241" type="noConversion"/>
  </si>
  <si>
    <t>지방하천, 소하천, 세천</t>
    <phoneticPr fontId="181" type="noConversion"/>
  </si>
  <si>
    <t>현황,종횡단</t>
    <phoneticPr fontId="241" type="noConversion"/>
  </si>
  <si>
    <t>우수관로 및 배수로</t>
    <phoneticPr fontId="181" type="noConversion"/>
  </si>
  <si>
    <t xml:space="preserve"> -. 배수펌프장</t>
    <phoneticPr fontId="204" type="noConversion"/>
  </si>
  <si>
    <t xml:space="preserve"> -. 시설물</t>
    <phoneticPr fontId="204" type="noConversion"/>
  </si>
  <si>
    <t>공</t>
    <phoneticPr fontId="241" type="noConversion"/>
  </si>
  <si>
    <t>펌프장 및 우수관로</t>
    <phoneticPr fontId="181" type="noConversion"/>
  </si>
  <si>
    <t>하천제방, 토석류 방지시설</t>
    <phoneticPr fontId="181" type="noConversion"/>
  </si>
  <si>
    <r>
      <t xml:space="preserve">   라. 실내토질시험 수량산출 : </t>
    </r>
    <r>
      <rPr>
        <sz val="10"/>
        <rFont val="돋움"/>
        <family val="3"/>
        <charset val="129"/>
      </rPr>
      <t>공당 1회</t>
    </r>
    <phoneticPr fontId="204" type="noConversion"/>
  </si>
  <si>
    <r>
      <t xml:space="preserve">   마. 기계기구설치 수량산출 : </t>
    </r>
    <r>
      <rPr>
        <sz val="10"/>
        <rFont val="돋움"/>
        <family val="3"/>
        <charset val="129"/>
      </rPr>
      <t>공당 1개소</t>
    </r>
    <phoneticPr fontId="204" type="noConversion"/>
  </si>
  <si>
    <t xml:space="preserve">  1. 적용기준</t>
    <phoneticPr fontId="181" type="noConversion"/>
  </si>
  <si>
    <t>구릉지</t>
    <phoneticPr fontId="241" type="noConversion"/>
  </si>
  <si>
    <t>※ 산출기준 : 건설공사 표준품셈(지형현황측량)</t>
    <phoneticPr fontId="241" type="noConversion"/>
  </si>
  <si>
    <t>축     척 :</t>
    <phoneticPr fontId="181" type="noConversion"/>
  </si>
  <si>
    <t>1/500</t>
    <phoneticPr fontId="181" type="noConversion"/>
  </si>
  <si>
    <t xml:space="preserve">      1급기준점 :</t>
    <phoneticPr fontId="181" type="noConversion"/>
  </si>
  <si>
    <t xml:space="preserve">      2급기준점 :</t>
    <phoneticPr fontId="181" type="noConversion"/>
  </si>
  <si>
    <t xml:space="preserve">         3급기준점 :</t>
    <phoneticPr fontId="181" type="noConversion"/>
  </si>
  <si>
    <t xml:space="preserve">   4급기준점 :</t>
    <phoneticPr fontId="181" type="noConversion"/>
  </si>
  <si>
    <t>면     적 :</t>
    <phoneticPr fontId="181" type="noConversion"/>
  </si>
  <si>
    <t xml:space="preserve">      점간 거리 :</t>
    <phoneticPr fontId="181" type="noConversion"/>
  </si>
  <si>
    <t>1000m기준</t>
    <phoneticPr fontId="181" type="noConversion"/>
  </si>
  <si>
    <t>500m기준</t>
    <phoneticPr fontId="181" type="noConversion"/>
  </si>
  <si>
    <t xml:space="preserve">         점간 거리 :</t>
    <phoneticPr fontId="181" type="noConversion"/>
  </si>
  <si>
    <t>200m기준</t>
    <phoneticPr fontId="181" type="noConversion"/>
  </si>
  <si>
    <t xml:space="preserve">   점간 거리 :</t>
    <phoneticPr fontId="181" type="noConversion"/>
  </si>
  <si>
    <t>50m기준</t>
    <phoneticPr fontId="181" type="noConversion"/>
  </si>
  <si>
    <t>수     준 :</t>
    <phoneticPr fontId="181" type="noConversion"/>
  </si>
  <si>
    <t>2급</t>
    <phoneticPr fontId="181" type="noConversion"/>
  </si>
  <si>
    <t xml:space="preserve">  2. 작업량비 산출</t>
    <phoneticPr fontId="181" type="noConversion"/>
  </si>
  <si>
    <t xml:space="preserve">    1) 기준점측량</t>
    <phoneticPr fontId="181" type="noConversion"/>
  </si>
  <si>
    <t xml:space="preserve">                 - 1급기준 :</t>
    <phoneticPr fontId="181" type="noConversion"/>
  </si>
  <si>
    <t>※ 기준배점기준/14 x K x P , 건설표준품셈  참조</t>
    <phoneticPr fontId="181" type="noConversion"/>
  </si>
  <si>
    <t xml:space="preserve">                 - 2급기준 :</t>
    <phoneticPr fontId="181" type="noConversion"/>
  </si>
  <si>
    <t xml:space="preserve">                 - 3급기준 :</t>
    <phoneticPr fontId="181" type="noConversion"/>
  </si>
  <si>
    <t>※ 기준배점기준/30 x K x P , 건설표준품셈  참조</t>
    <phoneticPr fontId="181" type="noConversion"/>
  </si>
  <si>
    <t xml:space="preserve">                - 4급기준 :</t>
    <phoneticPr fontId="181" type="noConversion"/>
  </si>
  <si>
    <t>※ 기준배점기준/150 x K X P x S, 건설표준품셈 참조</t>
    <phoneticPr fontId="181" type="noConversion"/>
  </si>
  <si>
    <t xml:space="preserve">    2) 수준측량</t>
    <phoneticPr fontId="181" type="noConversion"/>
  </si>
  <si>
    <t xml:space="preserve">                 - 수준측량 :</t>
    <phoneticPr fontId="181" type="noConversion"/>
  </si>
  <si>
    <t>※ 전체거리/15 x K x  P, 건설표준품셈 참조</t>
    <phoneticPr fontId="181" type="noConversion"/>
  </si>
  <si>
    <t xml:space="preserve">                 - 전체거리 :</t>
    <phoneticPr fontId="181" type="noConversion"/>
  </si>
  <si>
    <t>※  2급거리x기준배점수 + 3급거리x기준배점수 + 4급거리x기준배점수</t>
    <phoneticPr fontId="181" type="noConversion"/>
  </si>
  <si>
    <t xml:space="preserve">    3) 지형현황측량</t>
    <phoneticPr fontId="181" type="noConversion"/>
  </si>
  <si>
    <t xml:space="preserve">                 - 지상현황측량 :</t>
    <phoneticPr fontId="181" type="noConversion"/>
  </si>
  <si>
    <r>
      <t>※ 면적/10 x K X S</t>
    </r>
    <r>
      <rPr>
        <vertAlign val="subscript"/>
        <sz val="10"/>
        <rFont val="돋움"/>
        <family val="3"/>
        <charset val="129"/>
      </rPr>
      <t>1</t>
    </r>
    <r>
      <rPr>
        <sz val="10"/>
        <rFont val="돋움"/>
        <family val="3"/>
        <charset val="129"/>
      </rPr>
      <t xml:space="preserve"> x P</t>
    </r>
    <r>
      <rPr>
        <vertAlign val="subscript"/>
        <sz val="10"/>
        <rFont val="돋움"/>
        <family val="3"/>
        <charset val="129"/>
      </rPr>
      <t>1</t>
    </r>
    <r>
      <rPr>
        <sz val="10"/>
        <rFont val="돋움"/>
        <family val="3"/>
        <charset val="129"/>
      </rPr>
      <t>, 건설표준품셈 참조</t>
    </r>
    <phoneticPr fontId="181" type="noConversion"/>
  </si>
  <si>
    <t>(T : 신규측량 1.0 적용)</t>
    <phoneticPr fontId="181" type="noConversion"/>
  </si>
  <si>
    <t xml:space="preserve">  3. 인원산출</t>
    <phoneticPr fontId="181" type="noConversion"/>
  </si>
  <si>
    <t>작업내용</t>
    <phoneticPr fontId="181" type="noConversion"/>
  </si>
  <si>
    <t>작업량비</t>
    <phoneticPr fontId="181" type="noConversion"/>
  </si>
  <si>
    <t>특 급 기 술 자</t>
    <phoneticPr fontId="181" type="noConversion"/>
  </si>
  <si>
    <t>고 급 기 술 자</t>
    <phoneticPr fontId="181" type="noConversion"/>
  </si>
  <si>
    <t>중 급 기 술 자</t>
    <phoneticPr fontId="181" type="noConversion"/>
  </si>
  <si>
    <t>초 급 기 술 자</t>
    <phoneticPr fontId="181" type="noConversion"/>
  </si>
  <si>
    <t>초 급 기 능 사</t>
    <phoneticPr fontId="181" type="noConversion"/>
  </si>
  <si>
    <t>인   원</t>
    <phoneticPr fontId="181" type="noConversion"/>
  </si>
  <si>
    <t>결   과</t>
    <phoneticPr fontId="181" type="noConversion"/>
  </si>
  <si>
    <t>기준점측량</t>
    <phoneticPr fontId="181" type="noConversion"/>
  </si>
  <si>
    <t>1 급</t>
    <phoneticPr fontId="241" type="noConversion"/>
  </si>
  <si>
    <t>건설
표준품셈</t>
    <phoneticPr fontId="181" type="noConversion"/>
  </si>
  <si>
    <t>2 급</t>
    <phoneticPr fontId="181" type="noConversion"/>
  </si>
  <si>
    <t xml:space="preserve">    4. 기준점 배점 기준</t>
    <phoneticPr fontId="187" type="noConversion"/>
  </si>
  <si>
    <t>3 급</t>
    <phoneticPr fontId="181" type="noConversion"/>
  </si>
  <si>
    <t>면적구분</t>
    <phoneticPr fontId="241" type="noConversion"/>
  </si>
  <si>
    <t>지역구분</t>
    <phoneticPr fontId="241" type="noConversion"/>
  </si>
  <si>
    <t>4 급</t>
    <phoneticPr fontId="181" type="noConversion"/>
  </si>
  <si>
    <t>1급</t>
    <phoneticPr fontId="241" type="noConversion"/>
  </si>
  <si>
    <t>신점간거리</t>
    <phoneticPr fontId="241" type="noConversion"/>
  </si>
  <si>
    <t>기준점</t>
    <phoneticPr fontId="241" type="noConversion"/>
  </si>
  <si>
    <t>기준배점수</t>
    <phoneticPr fontId="241" type="noConversion"/>
  </si>
  <si>
    <t>수 준 측 량</t>
    <phoneticPr fontId="181" type="noConversion"/>
  </si>
  <si>
    <t>2급</t>
    <phoneticPr fontId="241" type="noConversion"/>
  </si>
  <si>
    <t>지상현황측량</t>
    <phoneticPr fontId="181" type="noConversion"/>
  </si>
  <si>
    <t>3급</t>
    <phoneticPr fontId="241" type="noConversion"/>
  </si>
  <si>
    <t>외업</t>
    <phoneticPr fontId="181" type="noConversion"/>
  </si>
  <si>
    <t>4
급
기
준
점</t>
    <phoneticPr fontId="241" type="noConversion"/>
  </si>
  <si>
    <t>밀집시가지</t>
    <phoneticPr fontId="241" type="noConversion"/>
  </si>
  <si>
    <t>점간평균거리</t>
    <phoneticPr fontId="241" type="noConversion"/>
  </si>
  <si>
    <t>내업</t>
    <phoneticPr fontId="181" type="noConversion"/>
  </si>
  <si>
    <t>선간평균거리</t>
    <phoneticPr fontId="241" type="noConversion"/>
  </si>
  <si>
    <t>적   용 (1식)</t>
    <phoneticPr fontId="241" type="noConversion"/>
  </si>
  <si>
    <t>시가지</t>
    <phoneticPr fontId="241" type="noConversion"/>
  </si>
  <si>
    <t>점간평균거리</t>
  </si>
  <si>
    <t>주) ( )는 내업을 표시함</t>
    <phoneticPr fontId="181" type="noConversion"/>
  </si>
  <si>
    <t>선간평균거리</t>
  </si>
  <si>
    <t xml:space="preserve">  4. 지형현황측량 면적</t>
    <phoneticPr fontId="181" type="noConversion"/>
  </si>
  <si>
    <t>평지</t>
    <phoneticPr fontId="241" type="noConversion"/>
  </si>
  <si>
    <t xml:space="preserve"> ※ 산출기준 :</t>
    <phoneticPr fontId="181" type="noConversion"/>
  </si>
  <si>
    <t>건설공사 표준품셈 (수도노선측량)</t>
    <phoneticPr fontId="181" type="noConversion"/>
  </si>
  <si>
    <t>기준배점수</t>
  </si>
  <si>
    <t>가. 진행기준</t>
    <phoneticPr fontId="181" type="noConversion"/>
  </si>
  <si>
    <t xml:space="preserve">                측량별
지구별</t>
    <phoneticPr fontId="181" type="noConversion"/>
  </si>
  <si>
    <t>진행기준(m)</t>
    <phoneticPr fontId="181" type="noConversion"/>
  </si>
  <si>
    <t>일수(일)</t>
    <phoneticPr fontId="181" type="noConversion"/>
  </si>
  <si>
    <t>진행기준(m)</t>
  </si>
  <si>
    <t>일수(일)</t>
  </si>
  <si>
    <t>번화시가지</t>
    <phoneticPr fontId="181" type="noConversion"/>
  </si>
  <si>
    <t>산지</t>
    <phoneticPr fontId="241" type="noConversion"/>
  </si>
  <si>
    <t>보통시가지</t>
    <phoneticPr fontId="181" type="noConversion"/>
  </si>
  <si>
    <t>교외시가지</t>
    <phoneticPr fontId="181" type="noConversion"/>
  </si>
  <si>
    <t>나. 작업별 인원편성</t>
    <phoneticPr fontId="181" type="noConversion"/>
  </si>
  <si>
    <t xml:space="preserve">                                                         측량별
 구  분                      직 명</t>
    <phoneticPr fontId="181" type="noConversion"/>
  </si>
  <si>
    <t>수도노선측량</t>
    <phoneticPr fontId="241" type="noConversion"/>
  </si>
  <si>
    <t xml:space="preserve">적용기준 : </t>
    <phoneticPr fontId="241" type="noConversion"/>
  </si>
  <si>
    <t>보통시가지</t>
    <phoneticPr fontId="241" type="noConversion"/>
  </si>
  <si>
    <t>외  업</t>
    <phoneticPr fontId="181" type="noConversion"/>
  </si>
  <si>
    <t>고  급  기  술  자</t>
    <phoneticPr fontId="181" type="noConversion"/>
  </si>
  <si>
    <t>진행기준</t>
    <phoneticPr fontId="241" type="noConversion"/>
  </si>
  <si>
    <t>일수</t>
    <phoneticPr fontId="241" type="noConversion"/>
  </si>
  <si>
    <t>중  급  기  술  자</t>
    <phoneticPr fontId="181" type="noConversion"/>
  </si>
  <si>
    <t>중심선측량</t>
    <phoneticPr fontId="241" type="noConversion"/>
  </si>
  <si>
    <t>초  급  기  술  자</t>
    <phoneticPr fontId="181" type="noConversion"/>
  </si>
  <si>
    <t>종단측량</t>
    <phoneticPr fontId="241" type="noConversion"/>
  </si>
  <si>
    <t>초급기능사(측량)</t>
    <phoneticPr fontId="181" type="noConversion"/>
  </si>
  <si>
    <t>횡단측량</t>
    <phoneticPr fontId="241" type="noConversion"/>
  </si>
  <si>
    <t>내  업</t>
    <phoneticPr fontId="181" type="noConversion"/>
  </si>
  <si>
    <t>합      계</t>
    <phoneticPr fontId="181" type="noConversion"/>
  </si>
  <si>
    <t>다. 소요인부</t>
    <phoneticPr fontId="181" type="noConversion"/>
  </si>
  <si>
    <t>번화시가지</t>
  </si>
  <si>
    <t>보통시가지</t>
  </si>
  <si>
    <t>교외시가지</t>
  </si>
  <si>
    <t>라. 작업별 인원편성 및 1km당 인원산출</t>
    <phoneticPr fontId="181" type="noConversion"/>
  </si>
  <si>
    <t>작업
량비</t>
    <phoneticPr fontId="181" type="noConversion"/>
  </si>
  <si>
    <t>인  부</t>
    <phoneticPr fontId="181" type="noConversion"/>
  </si>
  <si>
    <t>인원</t>
    <phoneticPr fontId="181" type="noConversion"/>
  </si>
  <si>
    <t>결과</t>
    <phoneticPr fontId="181" type="noConversion"/>
  </si>
  <si>
    <t>수도노선측량</t>
    <phoneticPr fontId="181" type="noConversion"/>
  </si>
  <si>
    <t>중심선</t>
    <phoneticPr fontId="181" type="noConversion"/>
  </si>
  <si>
    <t>종단</t>
    <phoneticPr fontId="181" type="noConversion"/>
  </si>
  <si>
    <t>횡단</t>
    <phoneticPr fontId="181" type="noConversion"/>
  </si>
  <si>
    <t>주) 작업량비는 진행기준 1km기준으로 환산 (종단측량 = 0.5일/2km, 횡단측량 = 0.7일/1.5km)</t>
    <phoneticPr fontId="181" type="noConversion"/>
  </si>
  <si>
    <t xml:space="preserve">마. 노선측량 연장 : </t>
    <phoneticPr fontId="181" type="noConversion"/>
  </si>
  <si>
    <t>건설공사 표준품셈 (용지측량)</t>
    <phoneticPr fontId="181" type="noConversion"/>
  </si>
  <si>
    <t>용지측량</t>
    <phoneticPr fontId="241" type="noConversion"/>
  </si>
  <si>
    <t>적용기준 :</t>
    <phoneticPr fontId="241" type="noConversion"/>
  </si>
  <si>
    <t>작업구분</t>
    <phoneticPr fontId="241" type="noConversion"/>
  </si>
  <si>
    <t>고급기술자</t>
    <phoneticPr fontId="241" type="noConversion"/>
  </si>
  <si>
    <t>중급기술자</t>
    <phoneticPr fontId="241" type="noConversion"/>
  </si>
  <si>
    <t>초급기술자</t>
    <phoneticPr fontId="241" type="noConversion"/>
  </si>
  <si>
    <t>초급기능사(측량)</t>
    <phoneticPr fontId="241" type="noConversion"/>
  </si>
  <si>
    <t>지구별</t>
    <phoneticPr fontId="241" type="noConversion"/>
  </si>
  <si>
    <t>촌락지</t>
    <phoneticPr fontId="241" type="noConversion"/>
  </si>
  <si>
    <t>토지등기부지적도
또는 소유권조사</t>
    <phoneticPr fontId="241" type="noConversion"/>
  </si>
  <si>
    <t>종별</t>
    <phoneticPr fontId="241" type="noConversion"/>
  </si>
  <si>
    <t>외업</t>
    <phoneticPr fontId="241" type="noConversion"/>
  </si>
  <si>
    <t>토지등기부지적도</t>
    <phoneticPr fontId="241" type="noConversion"/>
  </si>
  <si>
    <t>내업</t>
    <phoneticPr fontId="241" type="noConversion"/>
  </si>
  <si>
    <t>공공용지사정입회</t>
    <phoneticPr fontId="241" type="noConversion"/>
  </si>
  <si>
    <t>경계도근측량</t>
    <phoneticPr fontId="241" type="noConversion"/>
  </si>
  <si>
    <t>적용
(연장1km, 폭10m 기준)</t>
    <phoneticPr fontId="241" type="noConversion"/>
  </si>
  <si>
    <t>하천측량</t>
    <phoneticPr fontId="241" type="noConversion"/>
  </si>
  <si>
    <t xml:space="preserve"> ※ 산출기준 : 건설공사 표준품셈(하천측량)</t>
    <phoneticPr fontId="181" type="noConversion"/>
  </si>
  <si>
    <t>인부</t>
    <phoneticPr fontId="241" type="noConversion"/>
  </si>
  <si>
    <t>적용(1km당)</t>
    <phoneticPr fontId="241" type="noConversion"/>
  </si>
  <si>
    <t>지방도 이상</t>
    <phoneticPr fontId="241" type="noConversion"/>
  </si>
  <si>
    <t>시도 이하</t>
    <phoneticPr fontId="241" type="noConversion"/>
  </si>
  <si>
    <r>
      <rPr>
        <sz val="10"/>
        <rFont val="맑은 고딕"/>
        <family val="3"/>
        <charset val="129"/>
      </rPr>
      <t>▶ 지역특성</t>
    </r>
    <r>
      <rPr>
        <sz val="10"/>
        <rFont val="맑은 고딕"/>
        <family val="3"/>
        <charset val="129"/>
        <scheme val="minor"/>
      </rPr>
      <t xml:space="preserve"> 보정계수</t>
    </r>
    <phoneticPr fontId="241" type="noConversion"/>
  </si>
  <si>
    <t>지방부</t>
    <phoneticPr fontId="241" type="noConversion"/>
  </si>
  <si>
    <t>도시부</t>
    <phoneticPr fontId="241" type="noConversion"/>
  </si>
  <si>
    <t>시도이하</t>
    <phoneticPr fontId="241" type="noConversion"/>
  </si>
  <si>
    <t>기본 및 실시설계</t>
    <phoneticPr fontId="241" type="noConversion"/>
  </si>
  <si>
    <r>
      <rPr>
        <sz val="10"/>
        <rFont val="맑은 고딕"/>
        <family val="3"/>
        <charset val="129"/>
      </rPr>
      <t>▶ 공사성격</t>
    </r>
    <r>
      <rPr>
        <sz val="10"/>
        <rFont val="맑은 고딕"/>
        <family val="3"/>
        <charset val="129"/>
        <scheme val="minor"/>
      </rPr>
      <t xml:space="preserve"> 보정계수</t>
    </r>
    <phoneticPr fontId="241" type="noConversion"/>
  </si>
  <si>
    <t>KSF2302</t>
    <phoneticPr fontId="181" type="noConversion"/>
  </si>
  <si>
    <t>KSF2306</t>
    <phoneticPr fontId="241" type="noConversion"/>
  </si>
  <si>
    <t>KSF2308</t>
    <phoneticPr fontId="241" type="noConversion"/>
  </si>
  <si>
    <t>KSF2303</t>
    <phoneticPr fontId="241" type="noConversion"/>
  </si>
  <si>
    <t>KSF2309</t>
    <phoneticPr fontId="241" type="noConversion"/>
  </si>
  <si>
    <t>KSF2312</t>
    <phoneticPr fontId="241" type="noConversion"/>
  </si>
  <si>
    <t>KSF2322</t>
    <phoneticPr fontId="241" type="noConversion"/>
  </si>
  <si>
    <t>설계안전성검토 산출자료</t>
  </si>
  <si>
    <r>
      <t xml:space="preserve"> </t>
    </r>
    <r>
      <rPr>
        <sz val="11.5"/>
        <rFont val="굴림체"/>
        <family val="3"/>
        <charset val="129"/>
      </rPr>
      <t>※</t>
    </r>
    <r>
      <rPr>
        <sz val="10"/>
        <rFont val="굴림체"/>
        <family val="3"/>
        <charset val="129"/>
      </rPr>
      <t xml:space="preserve"> 설계의 안전성 검토 표준품셈(2024.1, 산업통상자원부)</t>
    </r>
    <phoneticPr fontId="181" type="noConversion"/>
  </si>
  <si>
    <t>◈ 환산계수 및 보정계수</t>
    <phoneticPr fontId="241" type="noConversion"/>
  </si>
  <si>
    <t>항  목</t>
    <phoneticPr fontId="181" type="noConversion"/>
  </si>
  <si>
    <t>세 부 내 용</t>
    <phoneticPr fontId="241" type="noConversion"/>
  </si>
  <si>
    <t>기준</t>
    <phoneticPr fontId="181" type="noConversion"/>
  </si>
  <si>
    <t>적용</t>
    <phoneticPr fontId="241" type="noConversion"/>
  </si>
  <si>
    <t>환산계수</t>
    <phoneticPr fontId="241" type="noConversion"/>
  </si>
  <si>
    <t>① 식</t>
    <phoneticPr fontId="241" type="noConversion"/>
  </si>
  <si>
    <t>1.0</t>
    <phoneticPr fontId="241" type="noConversion"/>
  </si>
  <si>
    <t>② 공사비(M)</t>
    <phoneticPr fontId="241" type="noConversion"/>
  </si>
  <si>
    <t>3억이하</t>
    <phoneticPr fontId="241" type="noConversion"/>
  </si>
  <si>
    <t>3억이상 50억이하</t>
    <phoneticPr fontId="241" type="noConversion"/>
  </si>
  <si>
    <t>50억이상</t>
    <phoneticPr fontId="241" type="noConversion"/>
  </si>
  <si>
    <r>
      <t>(M/50)</t>
    </r>
    <r>
      <rPr>
        <vertAlign val="superscript"/>
        <sz val="9"/>
        <rFont val="굴림체"/>
        <family val="3"/>
        <charset val="129"/>
      </rPr>
      <t>0.3</t>
    </r>
    <phoneticPr fontId="241" type="noConversion"/>
  </si>
  <si>
    <r>
      <t>(M/50)</t>
    </r>
    <r>
      <rPr>
        <vertAlign val="superscript"/>
        <sz val="9"/>
        <rFont val="굴림체"/>
        <family val="3"/>
        <charset val="129"/>
      </rPr>
      <t>0.35</t>
    </r>
    <phoneticPr fontId="241" type="noConversion"/>
  </si>
  <si>
    <t>③ 교육 및 협의</t>
    <phoneticPr fontId="241" type="noConversion"/>
  </si>
  <si>
    <t>교육 및 협의 횟수</t>
    <phoneticPr fontId="241" type="noConversion"/>
  </si>
  <si>
    <t>1회 이상</t>
    <phoneticPr fontId="241" type="noConversion"/>
  </si>
  <si>
    <t>보정계수</t>
    <phoneticPr fontId="241" type="noConversion"/>
  </si>
  <si>
    <t>㉮ 시설물의 종류</t>
    <phoneticPr fontId="241" type="noConversion"/>
  </si>
  <si>
    <t>단순</t>
    <phoneticPr fontId="241" type="noConversion"/>
  </si>
  <si>
    <t>보통</t>
    <phoneticPr fontId="241" type="noConversion"/>
  </si>
  <si>
    <t>복잡</t>
    <phoneticPr fontId="241" type="noConversion"/>
  </si>
  <si>
    <t>배수펌프장여부</t>
    <phoneticPr fontId="241" type="noConversion"/>
  </si>
  <si>
    <t>0.7~0.9</t>
    <phoneticPr fontId="241" type="noConversion"/>
  </si>
  <si>
    <t>0.9~1.1</t>
    <phoneticPr fontId="241" type="noConversion"/>
  </si>
  <si>
    <t>1.1~1.3</t>
    <phoneticPr fontId="241" type="noConversion"/>
  </si>
  <si>
    <t>교육 및 협의 절차*</t>
    <phoneticPr fontId="181" type="noConversion"/>
  </si>
  <si>
    <t>1. 설계안전성 검토 목표 설정 협의 → 2. 관계자 교육(워크숍)
→ 3. 위험성 평가기준 및 허용수준 협의 → 4. 저감대책 선정 협의
설계안전성검토 적용 매뉴얼 개선방안 연구(2017, 한국시설안전공단)</t>
    <phoneticPr fontId="241" type="noConversion"/>
  </si>
  <si>
    <t>◈ 설계안전성검토</t>
  </si>
  <si>
    <t>○ 설계안전성검토 투입인원수 산정기준(고유업무 산정)</t>
  </si>
  <si>
    <t>환산
계수</t>
    <phoneticPr fontId="241" type="noConversion"/>
  </si>
  <si>
    <t>㉮</t>
    <phoneticPr fontId="241" type="noConversion"/>
  </si>
  <si>
    <t>1. 대상사업 개요 및 결과요약</t>
    <phoneticPr fontId="181" type="noConversion"/>
  </si>
  <si>
    <t xml:space="preserve"> 1.1 대상사업 개요</t>
    <phoneticPr fontId="181" type="noConversion"/>
  </si>
  <si>
    <t>①</t>
    <phoneticPr fontId="241" type="noConversion"/>
  </si>
  <si>
    <t xml:space="preserve"> 1.2 결과요약</t>
    <phoneticPr fontId="181" type="noConversion"/>
  </si>
  <si>
    <t>2. 설계 안전성 검토 절차</t>
    <phoneticPr fontId="181" type="noConversion"/>
  </si>
  <si>
    <t xml:space="preserve"> 2.1 설계 안전성 검토 목표</t>
    <phoneticPr fontId="181" type="noConversion"/>
  </si>
  <si>
    <t xml:space="preserve"> 2.2 설계 안전성 검토 수행절차 및 일정</t>
    <phoneticPr fontId="181" type="noConversion"/>
  </si>
  <si>
    <t xml:space="preserve"> 2.3 설계 안전성 검토 참여자 구성</t>
    <phoneticPr fontId="181" type="noConversion"/>
  </si>
  <si>
    <t xml:space="preserve"> 2.4 검토 자료</t>
    <phoneticPr fontId="181" type="noConversion"/>
  </si>
  <si>
    <t>공사비</t>
    <phoneticPr fontId="181" type="noConversion"/>
  </si>
  <si>
    <t>②</t>
    <phoneticPr fontId="241" type="noConversion"/>
  </si>
  <si>
    <t>●</t>
    <phoneticPr fontId="241" type="noConversion"/>
  </si>
  <si>
    <t xml:space="preserve"> 2.5 관계자 교육</t>
    <phoneticPr fontId="181" type="noConversion"/>
  </si>
  <si>
    <t>1회</t>
    <phoneticPr fontId="241" type="noConversion"/>
  </si>
  <si>
    <t>③</t>
    <phoneticPr fontId="241" type="noConversion"/>
  </si>
  <si>
    <t>3. 설계 안전성 평가</t>
    <phoneticPr fontId="241" type="noConversion"/>
  </si>
  <si>
    <t xml:space="preserve"> 3.1 발생빈도, 심각성의 등급 및 기준</t>
    <phoneticPr fontId="241" type="noConversion"/>
  </si>
  <si>
    <t xml:space="preserve"> 3.2 위험성 허용수준</t>
    <phoneticPr fontId="181" type="noConversion"/>
  </si>
  <si>
    <t>1회</t>
    <phoneticPr fontId="181" type="noConversion"/>
  </si>
  <si>
    <t xml:space="preserve"> 3.3 공종별 위험요소 도출</t>
    <phoneticPr fontId="181" type="noConversion"/>
  </si>
  <si>
    <t xml:space="preserve">   3.3.1 위험요소 인식 및 도출</t>
    <phoneticPr fontId="181" type="noConversion"/>
  </si>
  <si>
    <t xml:space="preserve">   3.3.2 사고유형 분석</t>
    <phoneticPr fontId="181" type="noConversion"/>
  </si>
  <si>
    <t xml:space="preserve"> 3.4 위험요소별 관리주체 선정 및 설계안전성 검토 반영</t>
    <phoneticPr fontId="181" type="noConversion"/>
  </si>
  <si>
    <t xml:space="preserve"> 3.5 위험요소별 위험성 평가</t>
    <phoneticPr fontId="181" type="noConversion"/>
  </si>
  <si>
    <t xml:space="preserve"> 3.6 위험요소별 저감대책</t>
    <phoneticPr fontId="181" type="noConversion"/>
  </si>
  <si>
    <t xml:space="preserve">   3.6.1 저감대책 선정 협의사항</t>
    <phoneticPr fontId="181" type="noConversion"/>
  </si>
  <si>
    <t xml:space="preserve">   3.6.2 위험요소별 저감대책</t>
    <phoneticPr fontId="181" type="noConversion"/>
  </si>
  <si>
    <t>4. 위험성 평가표 요약</t>
    <phoneticPr fontId="241" type="noConversion"/>
  </si>
  <si>
    <t>5. 잔여 위험요소</t>
    <phoneticPr fontId="241" type="noConversion"/>
  </si>
  <si>
    <t>6. 성과품 작성</t>
    <phoneticPr fontId="241" type="noConversion"/>
  </si>
  <si>
    <t>* 설계의 안전성 검토 표준품셈(2024.1, 산업통상자원부)</t>
    <phoneticPr fontId="181" type="noConversion"/>
  </si>
  <si>
    <t>○ 설계안전성검토 적용소요인력</t>
  </si>
  <si>
    <t>비고</t>
    <phoneticPr fontId="241" type="noConversion"/>
  </si>
  <si>
    <t>&lt;산근 1-1&gt; 작업계획 수립</t>
  </si>
  <si>
    <t>&lt;산근 1-5&gt; 피해현황조사</t>
  </si>
  <si>
    <t>공공측량성과심사비 산출</t>
    <phoneticPr fontId="181" type="noConversion"/>
  </si>
  <si>
    <t>◈ 산정방법</t>
    <phoneticPr fontId="187" type="noConversion"/>
  </si>
  <si>
    <r>
      <t xml:space="preserve"> </t>
    </r>
    <r>
      <rPr>
        <sz val="11.5"/>
        <rFont val="맑은 고딕"/>
        <family val="3"/>
        <charset val="129"/>
      </rPr>
      <t>※</t>
    </r>
    <r>
      <rPr>
        <sz val="10"/>
        <rFont val="맑은 고딕"/>
        <family val="3"/>
        <charset val="129"/>
        <scheme val="minor"/>
      </rPr>
      <t xml:space="preserve"> 공공측량성과의 심사 수수료 산정방법
   (공간정보품질관리원,「공간정보의 구축 및 관리 등에 관한 법률 시행규칙」제115조2항 별표제13)</t>
    </r>
    <phoneticPr fontId="181" type="noConversion"/>
  </si>
  <si>
    <r>
      <t xml:space="preserve"> </t>
    </r>
    <r>
      <rPr>
        <sz val="11.5"/>
        <rFont val="맑은 고딕"/>
        <family val="3"/>
        <charset val="129"/>
      </rPr>
      <t>※</t>
    </r>
    <r>
      <rPr>
        <sz val="10"/>
        <rFont val="맑은 고딕"/>
        <family val="3"/>
        <charset val="129"/>
        <scheme val="minor"/>
      </rPr>
      <t xml:space="preserve"> 공공측량 성과심사비는 실비정산하도록 한다.</t>
    </r>
    <phoneticPr fontId="181" type="noConversion"/>
  </si>
  <si>
    <t>◈ 공공측량성과심사</t>
    <phoneticPr fontId="187" type="noConversion"/>
  </si>
  <si>
    <t>1. 공공기준점</t>
    <phoneticPr fontId="187" type="noConversion"/>
  </si>
  <si>
    <t xml:space="preserve"> 가. 실내검사</t>
    <phoneticPr fontId="187" type="noConversion"/>
  </si>
  <si>
    <t>기준점</t>
    <phoneticPr fontId="181" type="noConversion"/>
  </si>
  <si>
    <t>1점당</t>
    <phoneticPr fontId="181" type="noConversion"/>
  </si>
  <si>
    <t>수준점</t>
    <phoneticPr fontId="181" type="noConversion"/>
  </si>
  <si>
    <t>1킬로미터당</t>
    <phoneticPr fontId="181" type="noConversion"/>
  </si>
  <si>
    <t>2. 지형현황도</t>
    <phoneticPr fontId="187" type="noConversion"/>
  </si>
  <si>
    <t>도면축척</t>
    <phoneticPr fontId="181" type="noConversion"/>
  </si>
  <si>
    <t>1도엽당 면적</t>
    <phoneticPr fontId="181" type="noConversion"/>
  </si>
  <si>
    <t>1:200</t>
    <phoneticPr fontId="181" type="noConversion"/>
  </si>
  <si>
    <t>1:250</t>
    <phoneticPr fontId="181" type="noConversion"/>
  </si>
  <si>
    <t>1:300</t>
    <phoneticPr fontId="181" type="noConversion"/>
  </si>
  <si>
    <t>1:500</t>
    <phoneticPr fontId="181" type="noConversion"/>
  </si>
  <si>
    <t>1:600</t>
    <phoneticPr fontId="181" type="noConversion"/>
  </si>
  <si>
    <t>1:1,000</t>
    <phoneticPr fontId="181" type="noConversion"/>
  </si>
  <si>
    <t>1:1,200</t>
    <phoneticPr fontId="181" type="noConversion"/>
  </si>
  <si>
    <t>1:2,500이하</t>
    <phoneticPr fontId="181" type="noConversion"/>
  </si>
  <si>
    <t>※ 지형현황도 1도엽의 크기는 30센티미터×40센티미터를 기준으로 한다.</t>
    <phoneticPr fontId="181" type="noConversion"/>
  </si>
  <si>
    <t>◈ 공공측량성과심사비 산출</t>
    <phoneticPr fontId="187" type="noConversion"/>
  </si>
  <si>
    <t>심사내용</t>
    <phoneticPr fontId="181" type="noConversion"/>
  </si>
  <si>
    <t>수량</t>
    <phoneticPr fontId="181" type="noConversion"/>
  </si>
  <si>
    <t>단가</t>
    <phoneticPr fontId="181" type="noConversion"/>
  </si>
  <si>
    <t>금액</t>
    <phoneticPr fontId="181" type="noConversion"/>
  </si>
  <si>
    <t>공공기준점</t>
    <phoneticPr fontId="181" type="noConversion"/>
  </si>
  <si>
    <t>점</t>
  </si>
  <si>
    <t>인근기존삼각점3+(2km당 다각점1점×100%)</t>
    <phoneticPr fontId="181" type="noConversion"/>
  </si>
  <si>
    <t>공공수준점</t>
    <phoneticPr fontId="181" type="noConversion"/>
  </si>
  <si>
    <t>하천연장</t>
    <phoneticPr fontId="181" type="noConversion"/>
  </si>
  <si>
    <t>지형현황도</t>
    <phoneticPr fontId="181" type="noConversion"/>
  </si>
  <si>
    <t>도엽</t>
  </si>
  <si>
    <t>1/1000 기준</t>
    <phoneticPr fontId="181" type="noConversion"/>
  </si>
  <si>
    <t>소  계</t>
    <phoneticPr fontId="181" type="noConversion"/>
  </si>
  <si>
    <t>제경비</t>
    <phoneticPr fontId="181" type="noConversion"/>
  </si>
  <si>
    <t>인건비의 110%</t>
    <phoneticPr fontId="181" type="noConversion"/>
  </si>
  <si>
    <t>기준면적</t>
    <phoneticPr fontId="241" type="noConversion"/>
  </si>
  <si>
    <t>기술료</t>
    <phoneticPr fontId="181" type="noConversion"/>
  </si>
  <si>
    <t>(인건비+제경비)×13%</t>
    <phoneticPr fontId="181" type="noConversion"/>
  </si>
  <si>
    <t>합  계</t>
    <phoneticPr fontId="181" type="noConversion"/>
  </si>
  <si>
    <t>심사인원수(고급기술인)</t>
  </si>
  <si>
    <t>▩  하천 표준품셈(2022.01, 산업통산자원부)</t>
    <phoneticPr fontId="181" type="noConversion"/>
  </si>
  <si>
    <t>기본업무</t>
    <phoneticPr fontId="181" type="noConversion"/>
  </si>
  <si>
    <t>기준인원수 (인·일/단위)</t>
    <phoneticPr fontId="181" type="noConversion"/>
  </si>
  <si>
    <t>환산
계수</t>
    <phoneticPr fontId="181" type="noConversion"/>
  </si>
  <si>
    <t>적용
수량</t>
    <phoneticPr fontId="181" type="noConversion"/>
  </si>
  <si>
    <t>특   급</t>
    <phoneticPr fontId="181" type="noConversion"/>
  </si>
  <si>
    <t>고   급</t>
    <phoneticPr fontId="181" type="noConversion"/>
  </si>
  <si>
    <t>중   급</t>
    <phoneticPr fontId="181" type="noConversion"/>
  </si>
  <si>
    <t>초   급</t>
    <phoneticPr fontId="181" type="noConversion"/>
  </si>
  <si>
    <t>㉮</t>
    <phoneticPr fontId="181" type="noConversion"/>
  </si>
  <si>
    <t>㉯</t>
    <phoneticPr fontId="181" type="noConversion"/>
  </si>
  <si>
    <t>㉰</t>
    <phoneticPr fontId="181" type="noConversion"/>
  </si>
  <si>
    <t>기술자</t>
    <phoneticPr fontId="181" type="noConversion"/>
  </si>
  <si>
    <t>1. 개요</t>
    <phoneticPr fontId="181" type="noConversion"/>
  </si>
  <si>
    <t>가. 계획 목적, 범위, 기본원칙, 현황도</t>
    <phoneticPr fontId="181" type="noConversion"/>
  </si>
  <si>
    <t>1㎞</t>
    <phoneticPr fontId="181" type="noConversion"/>
  </si>
  <si>
    <t>2. 유역 및 하천현황</t>
    <phoneticPr fontId="181" type="noConversion"/>
  </si>
  <si>
    <t>가. 유역현황</t>
    <phoneticPr fontId="181" type="noConversion"/>
  </si>
  <si>
    <t>10㎢</t>
    <phoneticPr fontId="181" type="noConversion"/>
  </si>
  <si>
    <t>나. 하천특성</t>
    <phoneticPr fontId="181" type="noConversion"/>
  </si>
  <si>
    <t>1) 하도특성 조사</t>
    <phoneticPr fontId="181" type="noConversion"/>
  </si>
  <si>
    <t>2) 하천의 치수특성 조사</t>
    <phoneticPr fontId="181" type="noConversion"/>
  </si>
  <si>
    <t>3) 하천의 이수특성 조사</t>
    <phoneticPr fontId="181" type="noConversion"/>
  </si>
  <si>
    <t>4) 하천환경 특성 조사</t>
    <phoneticPr fontId="181" type="noConversion"/>
  </si>
  <si>
    <t>5) 하천이용 현황 조사</t>
    <phoneticPr fontId="181" type="noConversion"/>
  </si>
  <si>
    <t>6) 관련계획 검토 및 조정</t>
    <phoneticPr fontId="181" type="noConversion"/>
  </si>
  <si>
    <t>3. 종합검토</t>
    <phoneticPr fontId="181" type="noConversion"/>
  </si>
  <si>
    <t>가. 치수특성분석</t>
    <phoneticPr fontId="181" type="noConversion"/>
  </si>
  <si>
    <t>1) 홍수량</t>
    <phoneticPr fontId="181" type="noConversion"/>
  </si>
  <si>
    <t>2) 홍수위</t>
    <phoneticPr fontId="181" type="noConversion"/>
  </si>
  <si>
    <t>3) 계획하폭</t>
    <phoneticPr fontId="181" type="noConversion"/>
  </si>
  <si>
    <t>4) 하상변동</t>
    <phoneticPr fontId="181" type="noConversion"/>
  </si>
  <si>
    <t>5) 시설물 능력검토</t>
    <phoneticPr fontId="181" type="noConversion"/>
  </si>
  <si>
    <t>나. 이수특성분석</t>
    <phoneticPr fontId="181" type="noConversion"/>
  </si>
  <si>
    <t>1) 수자원 부존량 산정</t>
    <phoneticPr fontId="181" type="noConversion"/>
  </si>
  <si>
    <t>2) 하천관리유량 산정</t>
    <phoneticPr fontId="181" type="noConversion"/>
  </si>
  <si>
    <t>3) 하천수 사용시설물 수요·공급량 추정</t>
    <phoneticPr fontId="181" type="noConversion"/>
  </si>
  <si>
    <t>다. 하천환경특성 분석</t>
    <phoneticPr fontId="181" type="noConversion"/>
  </si>
  <si>
    <t>4. 하천 정비 및 관리계획</t>
    <phoneticPr fontId="181" type="noConversion"/>
  </si>
  <si>
    <t>가. 치수 종합계획</t>
    <phoneticPr fontId="181" type="noConversion"/>
  </si>
  <si>
    <t>나. 이수 종합계획</t>
    <phoneticPr fontId="181" type="noConversion"/>
  </si>
  <si>
    <t>다. 하천환경 종합계획</t>
    <phoneticPr fontId="181" type="noConversion"/>
  </si>
  <si>
    <t>라. 하천공간 관리계획</t>
    <phoneticPr fontId="181" type="noConversion"/>
  </si>
  <si>
    <t>5. 시행계획 및 기대효과</t>
    <phoneticPr fontId="181" type="noConversion"/>
  </si>
  <si>
    <t>가. 경제성 분석 및 소요재원 산정</t>
    <phoneticPr fontId="181" type="noConversion"/>
  </si>
  <si>
    <t>나. 투자우선순위, 결론 및 기대효과</t>
    <phoneticPr fontId="181" type="noConversion"/>
  </si>
  <si>
    <t>6. 보고서 작성</t>
    <phoneticPr fontId="181" type="noConversion"/>
  </si>
  <si>
    <t>가. 보고서 작성</t>
    <phoneticPr fontId="181" type="noConversion"/>
  </si>
  <si>
    <t>Ⅱ. 하천시설관리대장</t>
    <phoneticPr fontId="181" type="noConversion"/>
  </si>
  <si>
    <t>1. 하천시설대장</t>
    <phoneticPr fontId="181" type="noConversion"/>
  </si>
  <si>
    <t>가. 하천시설물도</t>
    <phoneticPr fontId="181" type="noConversion"/>
  </si>
  <si>
    <t>나. 하천시설대장 조서</t>
    <phoneticPr fontId="181" type="noConversion"/>
  </si>
  <si>
    <t>1) 제방 및 호안 현황</t>
    <phoneticPr fontId="181" type="noConversion"/>
  </si>
  <si>
    <t>2) 댐, 홍수조절지, 저류지 등 현황</t>
    <phoneticPr fontId="181" type="noConversion"/>
  </si>
  <si>
    <t>3) 지하하천 및 방수로 현황</t>
    <phoneticPr fontId="181" type="noConversion"/>
  </si>
  <si>
    <t>4) 배수펌프장 현황</t>
    <phoneticPr fontId="181" type="noConversion"/>
  </si>
  <si>
    <t>5) 하구둑 현황</t>
    <phoneticPr fontId="181" type="noConversion"/>
  </si>
  <si>
    <t>2. 하천현황대장</t>
    <phoneticPr fontId="181" type="noConversion"/>
  </si>
  <si>
    <t>가. 하천현황도</t>
    <phoneticPr fontId="181" type="noConversion"/>
  </si>
  <si>
    <t>나. 하천현황대장 조서</t>
    <phoneticPr fontId="181" type="noConversion"/>
  </si>
  <si>
    <t>1) 하천개황</t>
    <phoneticPr fontId="181" type="noConversion"/>
  </si>
  <si>
    <t>2) 측량기준점</t>
    <phoneticPr fontId="181" type="noConversion"/>
  </si>
  <si>
    <t>3) 하천수 상황</t>
    <phoneticPr fontId="181" type="noConversion"/>
  </si>
  <si>
    <t>4) 하천구역 현황</t>
    <phoneticPr fontId="181" type="noConversion"/>
  </si>
  <si>
    <t>5) 홍수관리구역 현황</t>
    <phoneticPr fontId="181" type="noConversion"/>
  </si>
  <si>
    <t>6) 하천개수 현황</t>
    <phoneticPr fontId="181" type="noConversion"/>
  </si>
  <si>
    <t>Ⅲ. 하천기본계획 전산화</t>
    <phoneticPr fontId="181" type="noConversion"/>
  </si>
  <si>
    <t>가. 하천기본계획 전산화</t>
    <phoneticPr fontId="181" type="noConversion"/>
  </si>
  <si>
    <t>나. 하천시설관리대장 전산화</t>
    <phoneticPr fontId="181" type="noConversion"/>
  </si>
  <si>
    <t>다. 전산화 성과 검수 지원</t>
    <phoneticPr fontId="181" type="noConversion"/>
  </si>
  <si>
    <t>&lt;산근7-2&gt; 적용소요인력(하천기본계획)</t>
    <phoneticPr fontId="181" type="noConversion"/>
  </si>
  <si>
    <t>1. 하천기본계획</t>
  </si>
  <si>
    <t>Ⅰ. 하천기본계획</t>
    <phoneticPr fontId="181" type="noConversion"/>
  </si>
  <si>
    <t>기본업무</t>
  </si>
  <si>
    <t>단위업무</t>
  </si>
  <si>
    <t>구분</t>
    <phoneticPr fontId="242" type="noConversion"/>
  </si>
  <si>
    <t>적용요율</t>
  </si>
  <si>
    <t>요율 범위</t>
    <phoneticPr fontId="181" type="noConversion"/>
  </si>
  <si>
    <t>가.작업계획</t>
  </si>
  <si>
    <t>(1)작업계획 수립</t>
  </si>
  <si>
    <t>L</t>
  </si>
  <si>
    <t>가. 계획의 목적, 범위, 원칙, 유역현황도</t>
  </si>
  <si>
    <t>0.8~1.2</t>
    <phoneticPr fontId="181" type="noConversion"/>
  </si>
  <si>
    <t>나.하천기본계획 수립을 위한 기초조사</t>
    <phoneticPr fontId="242" type="noConversion"/>
  </si>
  <si>
    <t>(1)일반현황</t>
  </si>
  <si>
    <t>A</t>
  </si>
  <si>
    <t>2. 유역 및 하천현황</t>
  </si>
  <si>
    <t>가. 유역현황</t>
  </si>
  <si>
    <t>A</t>
    <phoneticPr fontId="181" type="noConversion"/>
  </si>
  <si>
    <t>(2)수문조사</t>
  </si>
  <si>
    <t>나. 하천특성</t>
  </si>
  <si>
    <t xml:space="preserve">  1) 하도특성 조사</t>
    <phoneticPr fontId="181" type="noConversion"/>
  </si>
  <si>
    <t>L</t>
    <phoneticPr fontId="181" type="noConversion"/>
  </si>
  <si>
    <t>(4)하천사업의 연혁 및 피해현황</t>
  </si>
  <si>
    <t xml:space="preserve">  2) 치수특성 조사</t>
    <phoneticPr fontId="181" type="noConversion"/>
  </si>
  <si>
    <t>(5)하천의 이용현황</t>
  </si>
  <si>
    <t xml:space="preserve">  3) 이수특성 조사</t>
    <phoneticPr fontId="181" type="noConversion"/>
  </si>
  <si>
    <t>(6)하천의 환경현황</t>
  </si>
  <si>
    <t xml:space="preserve">  4) 하천환경 특성 조사</t>
    <phoneticPr fontId="181" type="noConversion"/>
  </si>
  <si>
    <t>(7)수질조사</t>
  </si>
  <si>
    <t xml:space="preserve">  5) 하천이용 현황 조사</t>
    <phoneticPr fontId="181" type="noConversion"/>
  </si>
  <si>
    <t>(8)타 계획과의 조정</t>
  </si>
  <si>
    <t xml:space="preserve">  6) 관련계획 검토 및 조정</t>
    <phoneticPr fontId="181" type="noConversion"/>
  </si>
  <si>
    <t>0.9~1.1</t>
    <phoneticPr fontId="181" type="noConversion"/>
  </si>
  <si>
    <t>3. 종합검토</t>
  </si>
  <si>
    <t>가. 치수특성분석</t>
  </si>
  <si>
    <t>다.홍수량 및 홍수위 산정</t>
    <phoneticPr fontId="242" type="noConversion"/>
  </si>
  <si>
    <t>(1)기본홍수량 및 계획홍수량</t>
  </si>
  <si>
    <t xml:space="preserve">  1) 홍수량 산정</t>
    <phoneticPr fontId="181" type="noConversion"/>
  </si>
  <si>
    <t>(2)홍수위 산정</t>
  </si>
  <si>
    <t xml:space="preserve">  2) 홍수위 산정</t>
    <phoneticPr fontId="181" type="noConversion"/>
  </si>
  <si>
    <t xml:space="preserve">  3) 계획하폭 결정</t>
    <phoneticPr fontId="181" type="noConversion"/>
  </si>
  <si>
    <t xml:space="preserve">  4) 하상변동 분석</t>
    <phoneticPr fontId="181" type="noConversion"/>
  </si>
  <si>
    <t>라.하상변동 분석</t>
    <phoneticPr fontId="242" type="noConversion"/>
  </si>
  <si>
    <t>(1)하상재료조사</t>
  </si>
  <si>
    <t xml:space="preserve">  5) 시설물능력 검토</t>
    <phoneticPr fontId="181" type="noConversion"/>
  </si>
  <si>
    <t>(3)하상변동 및 안정하도 분석</t>
  </si>
  <si>
    <t>나. 이수특성 분석</t>
  </si>
  <si>
    <t>마.용수수급계획 수립</t>
    <phoneticPr fontId="242" type="noConversion"/>
  </si>
  <si>
    <t>(1)수자원부존량 산정</t>
  </si>
  <si>
    <t xml:space="preserve">  1) 수자원 부존량 산정</t>
    <phoneticPr fontId="181" type="noConversion"/>
  </si>
  <si>
    <t>(2)용수수급현황의 파악</t>
  </si>
  <si>
    <t xml:space="preserve">  2) 하천관리유량 산정</t>
    <phoneticPr fontId="181" type="noConversion"/>
  </si>
  <si>
    <t>(3)용수수요량 예측 및 산정</t>
  </si>
  <si>
    <t xml:space="preserve">  3) 하천수 사용시설물 수요·공급량 추정</t>
    <phoneticPr fontId="181" type="noConversion"/>
  </si>
  <si>
    <t>(4)물수지 분석</t>
  </si>
  <si>
    <t>다. 하천환경특성 분석</t>
  </si>
  <si>
    <t>바.하천의 종합적인 정비방향</t>
    <phoneticPr fontId="242" type="noConversion"/>
  </si>
  <si>
    <t>(1)하천의 종합적인 정비방향</t>
  </si>
  <si>
    <t>사.하천의 정비․이용․보전에 관한 사항</t>
    <phoneticPr fontId="242" type="noConversion"/>
  </si>
  <si>
    <t>(1)하천의 지구별 관리계획 수립</t>
  </si>
  <si>
    <t>(2)하도계획</t>
  </si>
  <si>
    <t>(3)하천시설물 계획</t>
  </si>
  <si>
    <t>아.하천 환경에 관한 사항</t>
    <phoneticPr fontId="242" type="noConversion"/>
  </si>
  <si>
    <t>(1)수환경 보존계획</t>
  </si>
  <si>
    <t>(3)하도의 유지관리</t>
  </si>
  <si>
    <t>차.보고서 작성</t>
  </si>
  <si>
    <t>(1)보고서 작성</t>
  </si>
  <si>
    <t>2. 하천대장 작성</t>
  </si>
  <si>
    <t>Ⅱ. 하천시설관리대장</t>
  </si>
  <si>
    <t>가.하천대장 작성</t>
    <phoneticPr fontId="242" type="noConversion"/>
  </si>
  <si>
    <t>(1)하천현황대장조서</t>
  </si>
  <si>
    <t>가. 하천시설물도</t>
  </si>
  <si>
    <t>(2)하천시설관리대장조서</t>
  </si>
  <si>
    <t>나. 하천시설대장 조서</t>
  </si>
  <si>
    <t>(3)하천대장부록</t>
  </si>
  <si>
    <t>나.하천대장 도면작성</t>
    <phoneticPr fontId="242" type="noConversion"/>
  </si>
  <si>
    <t>(1)하천대장부도 작성</t>
  </si>
  <si>
    <t>가. 하천현황도</t>
  </si>
  <si>
    <t>(2)지적도 작성</t>
  </si>
  <si>
    <t>나. 하천현황대장 조서</t>
  </si>
  <si>
    <t>다.하천대장 전산화</t>
    <phoneticPr fontId="242" type="noConversion"/>
  </si>
  <si>
    <t>(1)수치지도 작성</t>
  </si>
  <si>
    <t>(2)전산화 입력</t>
  </si>
  <si>
    <t>1. 하천기본계획 전산화</t>
    <phoneticPr fontId="181" type="noConversion"/>
  </si>
  <si>
    <t>0.8~1.2</t>
  </si>
  <si>
    <t>2. 하천시설관리대장 전산화</t>
    <phoneticPr fontId="181" type="noConversion"/>
  </si>
  <si>
    <t>3. 전산화 성과 검수 지원</t>
    <phoneticPr fontId="181" type="noConversion"/>
  </si>
  <si>
    <t>[유역 현황]</t>
    <phoneticPr fontId="181" type="noConversion"/>
  </si>
  <si>
    <t>유역구분</t>
    <phoneticPr fontId="181" type="noConversion"/>
  </si>
  <si>
    <t>발주
년도</t>
    <phoneticPr fontId="181" type="noConversion"/>
  </si>
  <si>
    <t>발주
현황</t>
    <phoneticPr fontId="181" type="noConversion"/>
  </si>
  <si>
    <t>수립대상 하천</t>
    <phoneticPr fontId="181" type="noConversion"/>
  </si>
  <si>
    <t>대분류</t>
    <phoneticPr fontId="241" type="noConversion"/>
  </si>
  <si>
    <t>번호</t>
    <phoneticPr fontId="241" type="noConversion"/>
  </si>
  <si>
    <t>중권역코드</t>
    <phoneticPr fontId="241" type="noConversion"/>
  </si>
  <si>
    <t>중권역명</t>
    <phoneticPr fontId="241" type="noConversion"/>
  </si>
  <si>
    <t>관리청</t>
    <phoneticPr fontId="241" type="noConversion"/>
  </si>
  <si>
    <t>하천
개소수</t>
    <phoneticPr fontId="181" type="noConversion"/>
  </si>
  <si>
    <t>환산계수</t>
    <phoneticPr fontId="181" type="noConversion"/>
  </si>
  <si>
    <t>평균하폭</t>
    <phoneticPr fontId="223" type="noConversion"/>
  </si>
  <si>
    <t>하천
연장
(①)</t>
    <phoneticPr fontId="181" type="noConversion"/>
  </si>
  <si>
    <t>하천시설
관리대장
연장(②)</t>
    <phoneticPr fontId="181" type="noConversion"/>
  </si>
  <si>
    <t>면적
(③)</t>
    <phoneticPr fontId="181" type="noConversion"/>
  </si>
  <si>
    <t>토지이용특성(㉮)</t>
    <phoneticPr fontId="181" type="noConversion"/>
  </si>
  <si>
    <t>하천기본계획
경과특성(㉯)</t>
    <phoneticPr fontId="181" type="noConversion"/>
  </si>
  <si>
    <t>시설관리대장
경과특성(㉰)</t>
    <phoneticPr fontId="181" type="noConversion"/>
  </si>
  <si>
    <t>둑마루폭</t>
    <phoneticPr fontId="223" type="noConversion"/>
  </si>
  <si>
    <t>시가지
면적(㎢)</t>
    <phoneticPr fontId="181" type="noConversion"/>
  </si>
  <si>
    <t>시가화
비율(%)</t>
    <phoneticPr fontId="181" type="noConversion"/>
  </si>
  <si>
    <t>계수</t>
    <phoneticPr fontId="181" type="noConversion"/>
  </si>
  <si>
    <t>제내지</t>
    <phoneticPr fontId="223" type="noConversion"/>
  </si>
  <si>
    <t>발주
예정</t>
    <phoneticPr fontId="181" type="noConversion"/>
  </si>
  <si>
    <t>지방</t>
    <phoneticPr fontId="181" type="noConversion"/>
  </si>
  <si>
    <t>[대상하천 현황]</t>
    <phoneticPr fontId="181" type="noConversion"/>
  </si>
  <si>
    <t>권역</t>
    <phoneticPr fontId="181" type="noConversion"/>
  </si>
  <si>
    <t>유  역  면  적
(㎢)</t>
    <phoneticPr fontId="181" type="noConversion"/>
  </si>
  <si>
    <t>기수립 경과년수에 따른 연장요율을 고려한 수립연장
(10년이상=1, 5~10년=0.8, 5년이하=0.5)</t>
    <phoneticPr fontId="181" type="noConversion"/>
  </si>
  <si>
    <t>하천현황</t>
    <phoneticPr fontId="181" type="noConversion"/>
  </si>
  <si>
    <t>하   천   연   장</t>
    <phoneticPr fontId="181" type="noConversion"/>
  </si>
  <si>
    <t>유  역
면  적
(㎢)</t>
    <phoneticPr fontId="181" type="noConversion"/>
  </si>
  <si>
    <t>계
(km)</t>
    <phoneticPr fontId="181" type="noConversion"/>
  </si>
  <si>
    <t>하천기본계획</t>
    <phoneticPr fontId="181" type="noConversion"/>
  </si>
  <si>
    <t>대권역</t>
    <phoneticPr fontId="181" type="noConversion"/>
  </si>
  <si>
    <t>중권역</t>
    <phoneticPr fontId="181" type="noConversion"/>
  </si>
  <si>
    <t>치수권역</t>
    <phoneticPr fontId="181" type="noConversion"/>
  </si>
  <si>
    <t>하천유역
면적</t>
    <phoneticPr fontId="181" type="noConversion"/>
  </si>
  <si>
    <t>중권역
면적</t>
    <phoneticPr fontId="181" type="noConversion"/>
  </si>
  <si>
    <t>수립면적
산  정
*중복
고려</t>
    <phoneticPr fontId="181" type="noConversion"/>
  </si>
  <si>
    <t>경과년수에 따른 요율적용</t>
    <phoneticPr fontId="181" type="noConversion"/>
  </si>
  <si>
    <t>요율을 고려한 수립연장(km)</t>
    <phoneticPr fontId="181" type="noConversion"/>
  </si>
  <si>
    <t>하천명</t>
    <phoneticPr fontId="181" type="noConversion"/>
  </si>
  <si>
    <t>하  천
코  드
번  호</t>
    <phoneticPr fontId="181" type="noConversion"/>
  </si>
  <si>
    <t>하  천
개소수</t>
    <phoneticPr fontId="181" type="noConversion"/>
  </si>
  <si>
    <t>하  천
등  급</t>
    <phoneticPr fontId="181" type="noConversion"/>
  </si>
  <si>
    <t>수립구간</t>
    <phoneticPr fontId="181" type="noConversion"/>
  </si>
  <si>
    <t>미수립
구간
(km)</t>
    <phoneticPr fontId="181" type="noConversion"/>
  </si>
  <si>
    <t>기수립
년도</t>
    <phoneticPr fontId="181" type="noConversion"/>
  </si>
  <si>
    <t>경과
년도</t>
    <phoneticPr fontId="181" type="noConversion"/>
  </si>
  <si>
    <t>요율</t>
    <phoneticPr fontId="181" type="noConversion"/>
  </si>
  <si>
    <t>기수립
연장</t>
    <phoneticPr fontId="181" type="noConversion"/>
  </si>
  <si>
    <t>미수립
연장</t>
    <phoneticPr fontId="181" type="noConversion"/>
  </si>
  <si>
    <t>금회 
수립연장</t>
    <phoneticPr fontId="181" type="noConversion"/>
  </si>
  <si>
    <t>고시일</t>
    <phoneticPr fontId="181" type="noConversion"/>
  </si>
  <si>
    <t>연장(km)</t>
    <phoneticPr fontId="181" type="noConversion"/>
  </si>
  <si>
    <t>시가지 면적</t>
    <phoneticPr fontId="181" type="noConversion"/>
  </si>
  <si>
    <t>시가화비율</t>
    <phoneticPr fontId="181" type="noConversion"/>
  </si>
  <si>
    <t>지방</t>
  </si>
  <si>
    <t>[측량]</t>
    <phoneticPr fontId="181" type="noConversion"/>
  </si>
  <si>
    <t>구분</t>
    <phoneticPr fontId="223" type="noConversion"/>
  </si>
  <si>
    <t>면적(㎡)</t>
    <phoneticPr fontId="223" type="noConversion"/>
  </si>
  <si>
    <t>㎡</t>
    <phoneticPr fontId="223" type="noConversion"/>
  </si>
  <si>
    <t>㎢</t>
    <phoneticPr fontId="223" type="noConversion"/>
  </si>
  <si>
    <t>기본계힉</t>
    <phoneticPr fontId="223" type="noConversion"/>
  </si>
  <si>
    <t>실시설계</t>
    <phoneticPr fontId="223" type="noConversion"/>
  </si>
  <si>
    <t>하천기본계획 (하천 표준품셈, 산업통상자원부 공표 ,2022.01.05)</t>
    <phoneticPr fontId="181" type="noConversion"/>
  </si>
  <si>
    <t>심사량</t>
    <phoneticPr fontId="181" type="noConversion"/>
  </si>
  <si>
    <r>
      <t>홍수량 직접산정시</t>
    </r>
    <r>
      <rPr>
        <sz val="11"/>
        <color rgb="FF000000"/>
        <rFont val="돋움"/>
        <family val="3"/>
        <charset val="129"/>
      </rPr>
      <t xml:space="preserve"> 2.5 적용</t>
    </r>
    <phoneticPr fontId="181" type="noConversion"/>
  </si>
  <si>
    <t>공구손료</t>
    <phoneticPr fontId="181" type="noConversion"/>
  </si>
  <si>
    <t>%</t>
    <phoneticPr fontId="181" type="noConversion"/>
  </si>
  <si>
    <t>중급기능인</t>
    <phoneticPr fontId="181" type="noConversion"/>
  </si>
  <si>
    <t>단위조정</t>
    <phoneticPr fontId="181" type="noConversion"/>
  </si>
  <si>
    <t xml:space="preserve">   바. 시험굴 조사 : 5회</t>
    <phoneticPr fontId="204" type="noConversion"/>
  </si>
  <si>
    <t>(KDS 11 10 10 : 2021 지반조사 - 시험굴 2m, 5개소 적용)</t>
    <phoneticPr fontId="181" type="noConversion"/>
  </si>
  <si>
    <t>(펌프장 1개소 × 5공)</t>
    <phoneticPr fontId="181" type="noConversion"/>
  </si>
  <si>
    <t>공</t>
    <phoneticPr fontId="181" type="noConversion"/>
  </si>
  <si>
    <t xml:space="preserve"> -. 하천</t>
    <phoneticPr fontId="204" type="noConversion"/>
  </si>
  <si>
    <t>지반조사표준품셈(2024.1)</t>
    <phoneticPr fontId="181" type="noConversion"/>
  </si>
  <si>
    <t>투   수</t>
    <phoneticPr fontId="204" type="noConversion"/>
  </si>
  <si>
    <t>한국건설생활환경시험연구원</t>
    <phoneticPr fontId="181" type="noConversion"/>
  </si>
  <si>
    <t>전북특별자치도 도로관리사업소(2024)</t>
  </si>
  <si>
    <t>전북특별자치도 도로관리사업소(2024)</t>
    <phoneticPr fontId="181" type="noConversion"/>
  </si>
  <si>
    <t>&lt;산근2-1&gt;</t>
    <phoneticPr fontId="181" type="noConversion"/>
  </si>
  <si>
    <t>&lt;산근2-2&gt;</t>
    <phoneticPr fontId="241" type="noConversion"/>
  </si>
  <si>
    <t>&lt;산근2-3&gt;</t>
    <phoneticPr fontId="241" type="noConversion"/>
  </si>
  <si>
    <t>&lt;산근2-4&gt;</t>
    <phoneticPr fontId="181" type="noConversion"/>
  </si>
  <si>
    <t>&lt;산근2-5&gt;</t>
    <phoneticPr fontId="181" type="noConversion"/>
  </si>
  <si>
    <t>&lt;산근2-4&gt;</t>
    <phoneticPr fontId="241" type="noConversion"/>
  </si>
  <si>
    <t>&lt;산근2-6&gt;</t>
    <phoneticPr fontId="181" type="noConversion"/>
  </si>
  <si>
    <t>&lt;산근2-1 &gt; 소요인력(하천기본계획)</t>
    <phoneticPr fontId="181" type="noConversion"/>
  </si>
  <si>
    <t>측량조사 물량 산출</t>
    <phoneticPr fontId="181" type="noConversion"/>
  </si>
  <si>
    <t>금강천</t>
    <phoneticPr fontId="181" type="noConversion"/>
  </si>
  <si>
    <t>병영천 하천기본계획 도시화율</t>
    <phoneticPr fontId="181" type="noConversion"/>
  </si>
  <si>
    <t>낙찰율(%)</t>
    <phoneticPr fontId="181" type="noConversion"/>
  </si>
  <si>
    <t>구분</t>
    <phoneticPr fontId="187" type="noConversion"/>
  </si>
  <si>
    <t>단가</t>
    <phoneticPr fontId="187" type="noConversion"/>
  </si>
  <si>
    <t>출장일수</t>
    <phoneticPr fontId="187" type="noConversion"/>
  </si>
  <si>
    <t>출장횟수</t>
    <phoneticPr fontId="187" type="noConversion"/>
  </si>
  <si>
    <t>금액(km당)</t>
    <phoneticPr fontId="187" type="noConversion"/>
  </si>
  <si>
    <t>금액(10km당)</t>
    <phoneticPr fontId="187" type="noConversion"/>
  </si>
  <si>
    <t>계</t>
    <phoneticPr fontId="187" type="noConversion"/>
  </si>
  <si>
    <t>기  술  사</t>
    <phoneticPr fontId="187" type="noConversion"/>
  </si>
  <si>
    <t>일기준</t>
    <phoneticPr fontId="187" type="noConversion"/>
  </si>
  <si>
    <t>식대</t>
    <phoneticPr fontId="187" type="noConversion"/>
  </si>
  <si>
    <t>숙박비</t>
    <phoneticPr fontId="187" type="noConversion"/>
  </si>
  <si>
    <t>일용비</t>
    <phoneticPr fontId="187" type="noConversion"/>
  </si>
  <si>
    <t>1일간출장시</t>
    <phoneticPr fontId="187" type="noConversion"/>
  </si>
  <si>
    <t>위원수(인)</t>
    <phoneticPr fontId="181" type="noConversion"/>
  </si>
  <si>
    <t>단 가(원)</t>
    <phoneticPr fontId="181" type="noConversion"/>
  </si>
  <si>
    <t>횟 수</t>
    <phoneticPr fontId="181" type="noConversion"/>
  </si>
  <si>
    <t>비 용(원)</t>
    <phoneticPr fontId="181" type="noConversion"/>
  </si>
  <si>
    <t>자문회의</t>
    <phoneticPr fontId="187" type="noConversion"/>
  </si>
  <si>
    <t>초기-중간</t>
    <phoneticPr fontId="181" type="noConversion"/>
  </si>
  <si>
    <t>매</t>
  </si>
  <si>
    <t>보고서</t>
    <phoneticPr fontId="181" type="noConversion"/>
  </si>
  <si>
    <t>흑백</t>
    <phoneticPr fontId="181" type="noConversion"/>
  </si>
  <si>
    <t>매</t>
    <phoneticPr fontId="181" type="noConversion"/>
  </si>
  <si>
    <t>칼라</t>
    <phoneticPr fontId="181" type="noConversion"/>
  </si>
  <si>
    <t xml:space="preserve">부록 </t>
    <phoneticPr fontId="181" type="noConversion"/>
  </si>
  <si>
    <t>평면도</t>
    <phoneticPr fontId="181" type="noConversion"/>
  </si>
  <si>
    <t>4색도(칼라)</t>
    <phoneticPr fontId="181" type="noConversion"/>
  </si>
  <si>
    <t>종단면도</t>
    <phoneticPr fontId="181" type="noConversion"/>
  </si>
  <si>
    <t>횡단면도</t>
    <phoneticPr fontId="181" type="noConversion"/>
  </si>
  <si>
    <t>대장조서</t>
    <phoneticPr fontId="181" type="noConversion"/>
  </si>
  <si>
    <t>모조단면, B4</t>
    <phoneticPr fontId="181" type="noConversion"/>
  </si>
  <si>
    <t>쪽</t>
    <phoneticPr fontId="181" type="noConversion"/>
  </si>
  <si>
    <t>지번별조서</t>
    <phoneticPr fontId="181" type="noConversion"/>
  </si>
  <si>
    <t>홍수범람도</t>
    <phoneticPr fontId="181" type="noConversion"/>
  </si>
  <si>
    <t>고수부지활용방안도</t>
    <phoneticPr fontId="181" type="noConversion"/>
  </si>
  <si>
    <t>폐천부지활용방안도</t>
    <phoneticPr fontId="181" type="noConversion"/>
  </si>
  <si>
    <t>구조물도</t>
    <phoneticPr fontId="181" type="noConversion"/>
  </si>
  <si>
    <t>흑백,A3</t>
    <phoneticPr fontId="181" type="noConversion"/>
  </si>
  <si>
    <t>지적도</t>
    <phoneticPr fontId="181" type="noConversion"/>
  </si>
  <si>
    <t>하천기본계획보고서</t>
    <phoneticPr fontId="181" type="noConversion"/>
  </si>
  <si>
    <t>하드카바</t>
    <phoneticPr fontId="181" type="noConversion"/>
  </si>
  <si>
    <t>하천기본계획부록</t>
    <phoneticPr fontId="181" type="noConversion"/>
  </si>
  <si>
    <t>고주파</t>
    <phoneticPr fontId="181" type="noConversion"/>
  </si>
  <si>
    <t>조</t>
    <phoneticPr fontId="181" type="noConversion"/>
  </si>
  <si>
    <t>부도</t>
    <phoneticPr fontId="181" type="noConversion"/>
  </si>
  <si>
    <t>시료채취+체가름시험</t>
    <phoneticPr fontId="181" type="noConversion"/>
  </si>
  <si>
    <t>소    계</t>
    <phoneticPr fontId="181" type="noConversion"/>
  </si>
  <si>
    <t>중급숙련기술인</t>
  </si>
  <si>
    <t>1. 인쇄비</t>
    <phoneticPr fontId="181" type="noConversion"/>
  </si>
  <si>
    <t>가. 하천기본계획</t>
    <phoneticPr fontId="181" type="noConversion"/>
  </si>
  <si>
    <t>나. 하천대장</t>
    <phoneticPr fontId="181" type="noConversion"/>
  </si>
  <si>
    <t>다. 표지</t>
    <phoneticPr fontId="181" type="noConversion"/>
  </si>
  <si>
    <t>2. 출장비</t>
    <phoneticPr fontId="181" type="noConversion"/>
  </si>
  <si>
    <t>가. 자료수집</t>
    <phoneticPr fontId="181" type="noConversion"/>
  </si>
  <si>
    <t>나. 현지조사</t>
    <phoneticPr fontId="181" type="noConversion"/>
  </si>
  <si>
    <t>다. 보고 및 심사</t>
    <phoneticPr fontId="181" type="noConversion"/>
  </si>
  <si>
    <t>3. 자문비</t>
    <phoneticPr fontId="181" type="noConversion"/>
  </si>
  <si>
    <t>가. 자문비</t>
    <phoneticPr fontId="181" type="noConversion"/>
  </si>
  <si>
    <t>10km</t>
    <phoneticPr fontId="181" type="noConversion"/>
  </si>
  <si>
    <t>식</t>
    <phoneticPr fontId="181" type="noConversion"/>
  </si>
  <si>
    <t>&lt;제2-0호표&gt; 하천기본계획(하천품셈)</t>
    <phoneticPr fontId="181" type="noConversion"/>
  </si>
  <si>
    <t>산근경비율</t>
  </si>
  <si>
    <t>산근 2-1  계획 목적, 범위, 기본원칙, 현황도(1km)</t>
  </si>
  <si>
    <t>산근 2-2  유역현황(10㎢)</t>
  </si>
  <si>
    <t>산근 2-3  하도특성 조사(1㎞)</t>
  </si>
  <si>
    <t>산근 2-4  하천의 치수특성 조사(10㎢)</t>
  </si>
  <si>
    <t>산근 2-5  하천의 이수특성 조사(10㎢)</t>
  </si>
  <si>
    <t>산근 2-6  하천환경 특성 조사(10㎢)</t>
  </si>
  <si>
    <t>산근 2-7  하천이용 현황 조사((10㎢))</t>
  </si>
  <si>
    <t>산근 2-8  관련계획 검토 및 조정(1㎞)</t>
  </si>
  <si>
    <t>산근 2-9  홍수량(10㎢)</t>
  </si>
  <si>
    <t>산근 2-10  홍수위(1㎞)</t>
  </si>
  <si>
    <t>산근 2-11  계획하폭(1㎞)</t>
  </si>
  <si>
    <t>산근 2-12  하상변동(1㎞)</t>
  </si>
  <si>
    <t>산근 2-13  시설물 능력검토(1㎞)</t>
  </si>
  <si>
    <t>산근 2-14  수자원 부존량 산정(10㎢)</t>
  </si>
  <si>
    <t>산근 2-15  하천관리유량 산정(1㎞)</t>
  </si>
  <si>
    <t>산근 2-16  하천수 사용시설물 수요·공급량 추정(10㎢)</t>
  </si>
  <si>
    <t>산근 2-17  하천환경특성 분석(1㎞)</t>
  </si>
  <si>
    <t>산근 2-18  치수 종합계획(1㎞)</t>
  </si>
  <si>
    <t>산근 2-19  이수 종합계획(10㎢)</t>
  </si>
  <si>
    <t>산근 2-20  하천환경 종합계획(10㎢)</t>
  </si>
  <si>
    <t>산근 2-21  하천공간 관리계획(1㎞)</t>
  </si>
  <si>
    <t>산근 2-22  경산근성 분석 및 소요재원 산정(1㎞)</t>
  </si>
  <si>
    <t>산근 2-23  투자우선순위, 결론 및 기대효과(1㎞)</t>
  </si>
  <si>
    <t>산근 2-24  보고서 작성(1㎞)</t>
  </si>
  <si>
    <t>산근 2-25  하천시설물도(1㎞)</t>
  </si>
  <si>
    <t>산근 2-26  산근방 및 호안 현황(1㎞)</t>
  </si>
  <si>
    <t>산근 2-27  댐, 홍수조절지, 저류지 등 현황(1㎞)</t>
  </si>
  <si>
    <t>산근 2-28  지하하천 및 방수로 현황(1㎞)</t>
  </si>
  <si>
    <t>산근 2-29  배수펌프장 현황(1㎞)</t>
  </si>
  <si>
    <t>산근 2-30  하구둑 현황(1㎞)</t>
  </si>
  <si>
    <t>산근 2-31  하천현황도(1㎞)</t>
  </si>
  <si>
    <t>산근 2-32  하천개황(1㎞)</t>
  </si>
  <si>
    <t>산근 2-33 측량기준점(1㎞)</t>
  </si>
  <si>
    <t>산근 2-34 하천수 상황(1㎞)</t>
  </si>
  <si>
    <t>산근 2-35 하천구역 현황(1㎞)</t>
  </si>
  <si>
    <t>산근 2-36 홍수관리구역 현황(1㎞)</t>
  </si>
  <si>
    <t>산근 2-37 하천개수 현황(1㎞)</t>
  </si>
  <si>
    <t>산근 2-38  하천기본계획 전산화(1㎞)</t>
  </si>
  <si>
    <t>산근 2-39  하천시설관리대장 전산화(1㎞)</t>
  </si>
  <si>
    <t>산근 2-40  전산화 성과 검수 지원(1㎞)</t>
  </si>
  <si>
    <t>산근 2-41 인쇄비-하천기본계획 (10km당)</t>
    <phoneticPr fontId="181" type="noConversion"/>
  </si>
  <si>
    <t>산근 2-42 인쇄비-하천대장 (10km당)</t>
    <phoneticPr fontId="181" type="noConversion"/>
  </si>
  <si>
    <t>산근 2-43 인쇄비-표지 (1식)</t>
    <phoneticPr fontId="181" type="noConversion"/>
  </si>
  <si>
    <t>산근 2-44 하상재료 시험(1km당 1회)</t>
    <phoneticPr fontId="181" type="noConversion"/>
  </si>
  <si>
    <t>&lt;산근2-45&gt; 자료수집</t>
    <phoneticPr fontId="187" type="noConversion"/>
  </si>
  <si>
    <t>&lt;산근2-46&gt; 현지조사</t>
    <phoneticPr fontId="187" type="noConversion"/>
  </si>
  <si>
    <t>&lt;산근2-47&gt; 보고 및 심사</t>
    <phoneticPr fontId="187" type="noConversion"/>
  </si>
  <si>
    <t>&lt;산근 2-48&gt; 출장비 산정기준</t>
    <phoneticPr fontId="187" type="noConversion"/>
  </si>
  <si>
    <t>&lt;산근 2-49&gt; 설계자문비</t>
    <phoneticPr fontId="187" type="noConversion"/>
  </si>
  <si>
    <t>산근2-1</t>
    <phoneticPr fontId="181" type="noConversion"/>
  </si>
  <si>
    <t>산근2-2</t>
    <phoneticPr fontId="181" type="noConversion"/>
  </si>
  <si>
    <t>산근2-3</t>
    <phoneticPr fontId="181" type="noConversion"/>
  </si>
  <si>
    <t>산근2-4</t>
    <phoneticPr fontId="181" type="noConversion"/>
  </si>
  <si>
    <t>산근2-5</t>
    <phoneticPr fontId="181" type="noConversion"/>
  </si>
  <si>
    <t>산근2-6</t>
    <phoneticPr fontId="181" type="noConversion"/>
  </si>
  <si>
    <t>산근2-7</t>
    <phoneticPr fontId="181" type="noConversion"/>
  </si>
  <si>
    <t>산근2-8</t>
    <phoneticPr fontId="181" type="noConversion"/>
  </si>
  <si>
    <t>산근2-9</t>
    <phoneticPr fontId="181" type="noConversion"/>
  </si>
  <si>
    <t>산근2-10</t>
    <phoneticPr fontId="181" type="noConversion"/>
  </si>
  <si>
    <t>산근2-11</t>
    <phoneticPr fontId="181" type="noConversion"/>
  </si>
  <si>
    <t>산근2-12</t>
    <phoneticPr fontId="181" type="noConversion"/>
  </si>
  <si>
    <t>산근2-13</t>
    <phoneticPr fontId="181" type="noConversion"/>
  </si>
  <si>
    <t>산근2-14</t>
    <phoneticPr fontId="181" type="noConversion"/>
  </si>
  <si>
    <t>산근2-15</t>
    <phoneticPr fontId="181" type="noConversion"/>
  </si>
  <si>
    <t>산근2-16</t>
    <phoneticPr fontId="181" type="noConversion"/>
  </si>
  <si>
    <t>산근2-17</t>
    <phoneticPr fontId="181" type="noConversion"/>
  </si>
  <si>
    <t>산근2-18</t>
    <phoneticPr fontId="181" type="noConversion"/>
  </si>
  <si>
    <t>산근2-19</t>
    <phoneticPr fontId="181" type="noConversion"/>
  </si>
  <si>
    <t>산근2-20</t>
    <phoneticPr fontId="181" type="noConversion"/>
  </si>
  <si>
    <t>산근2-21</t>
    <phoneticPr fontId="181" type="noConversion"/>
  </si>
  <si>
    <t>산근2-22</t>
    <phoneticPr fontId="181" type="noConversion"/>
  </si>
  <si>
    <t>산근2-23</t>
    <phoneticPr fontId="181" type="noConversion"/>
  </si>
  <si>
    <t>산근2-24</t>
    <phoneticPr fontId="181" type="noConversion"/>
  </si>
  <si>
    <t>산근2-25</t>
    <phoneticPr fontId="181" type="noConversion"/>
  </si>
  <si>
    <t>산근2-26</t>
    <phoneticPr fontId="181" type="noConversion"/>
  </si>
  <si>
    <t>산근2-27</t>
    <phoneticPr fontId="181" type="noConversion"/>
  </si>
  <si>
    <t>산근2-28</t>
    <phoneticPr fontId="181" type="noConversion"/>
  </si>
  <si>
    <t>산근2-29</t>
    <phoneticPr fontId="181" type="noConversion"/>
  </si>
  <si>
    <t>산근2-30</t>
    <phoneticPr fontId="181" type="noConversion"/>
  </si>
  <si>
    <t>산근2-31</t>
    <phoneticPr fontId="181" type="noConversion"/>
  </si>
  <si>
    <t>산근2-32</t>
    <phoneticPr fontId="181" type="noConversion"/>
  </si>
  <si>
    <t>산근2-33</t>
    <phoneticPr fontId="181" type="noConversion"/>
  </si>
  <si>
    <t>산근2-34</t>
    <phoneticPr fontId="181" type="noConversion"/>
  </si>
  <si>
    <t>산근2-35</t>
    <phoneticPr fontId="181" type="noConversion"/>
  </si>
  <si>
    <t>산근2-36</t>
    <phoneticPr fontId="181" type="noConversion"/>
  </si>
  <si>
    <t>산근2-37</t>
    <phoneticPr fontId="181" type="noConversion"/>
  </si>
  <si>
    <t>산근2-38</t>
    <phoneticPr fontId="181" type="noConversion"/>
  </si>
  <si>
    <t>산근2-39</t>
    <phoneticPr fontId="181" type="noConversion"/>
  </si>
  <si>
    <t>산근2-40</t>
    <phoneticPr fontId="181" type="noConversion"/>
  </si>
  <si>
    <t>산근2-41</t>
    <phoneticPr fontId="181" type="noConversion"/>
  </si>
  <si>
    <t>산근2-42</t>
  </si>
  <si>
    <t>산근2-43</t>
  </si>
  <si>
    <t>산근2-45</t>
    <phoneticPr fontId="181" type="noConversion"/>
  </si>
  <si>
    <t>산근2-46</t>
  </si>
  <si>
    <t>산근2-47</t>
  </si>
  <si>
    <t>산근2-49</t>
    <phoneticPr fontId="181" type="noConversion"/>
  </si>
  <si>
    <t>○ 직접인건비</t>
    <phoneticPr fontId="181" type="noConversion"/>
  </si>
  <si>
    <t>○ 직접경비</t>
    <phoneticPr fontId="181" type="noConversion"/>
  </si>
  <si>
    <t>(급경사지 5공,저수지 2공, 소규모 4공)</t>
    <phoneticPr fontId="241" type="noConversion"/>
  </si>
  <si>
    <t>저수지</t>
    <phoneticPr fontId="181" type="noConversion"/>
  </si>
  <si>
    <t>옹벽설치 800+사면고르기 800</t>
    <phoneticPr fontId="181" type="noConversion"/>
  </si>
  <si>
    <t>개소당 1000m2</t>
    <phoneticPr fontId="181" type="noConversion"/>
  </si>
  <si>
    <t>전라남도</t>
    <phoneticPr fontId="181" type="noConversion"/>
  </si>
  <si>
    <t>Ⅳ</t>
    <phoneticPr fontId="181" type="noConversion"/>
  </si>
  <si>
    <t>중급기능사</t>
    <phoneticPr fontId="181" type="noConversion"/>
  </si>
  <si>
    <t>나. 사업개요</t>
    <phoneticPr fontId="181" type="noConversion"/>
  </si>
  <si>
    <t>다. 하류부 영향 평가</t>
    <phoneticPr fontId="181" type="noConversion"/>
  </si>
  <si>
    <t>라. 비상상황 관리</t>
    <phoneticPr fontId="181" type="noConversion"/>
  </si>
  <si>
    <t>마. 응급조치 계획</t>
    <phoneticPr fontId="181" type="noConversion"/>
  </si>
  <si>
    <t>바. 지해구호 및 지역안정 계획</t>
    <phoneticPr fontId="181" type="noConversion"/>
  </si>
  <si>
    <t>사. EAP 실습 및 훈련</t>
    <phoneticPr fontId="181" type="noConversion"/>
  </si>
  <si>
    <t>아. 결론 및 보고서 작성</t>
    <phoneticPr fontId="181" type="noConversion"/>
  </si>
  <si>
    <t>댐.저수지포함</t>
    <phoneticPr fontId="181" type="noConversion"/>
  </si>
  <si>
    <t>댐.저수지미포함</t>
    <phoneticPr fontId="181" type="noConversion"/>
  </si>
  <si>
    <t>■ 비상대처계획 (적용수량)</t>
    <phoneticPr fontId="181" type="noConversion"/>
  </si>
  <si>
    <t>댐·저수지 비상대처계획 수립
직접인건비</t>
    <phoneticPr fontId="181" type="noConversion"/>
  </si>
  <si>
    <t xml:space="preserve"> 가. 작업계획</t>
    <phoneticPr fontId="181" type="noConversion"/>
  </si>
  <si>
    <t>10㎞</t>
    <phoneticPr fontId="181" type="noConversion"/>
  </si>
  <si>
    <t xml:space="preserve"> 나. 사업개요</t>
    <phoneticPr fontId="181" type="noConversion"/>
  </si>
  <si>
    <t xml:space="preserve"> 다. 하류부 영향 평가</t>
    <phoneticPr fontId="181" type="noConversion"/>
  </si>
  <si>
    <t xml:space="preserve">  1) 하류부 하천 및 유역개요</t>
    <phoneticPr fontId="181" type="noConversion"/>
  </si>
  <si>
    <t xml:space="preserve">  2) 댐 붕괴 위험성의 평가</t>
    <phoneticPr fontId="181" type="noConversion"/>
  </si>
  <si>
    <t xml:space="preserve">   ① 관련자료 조사검토</t>
    <phoneticPr fontId="181" type="noConversion"/>
  </si>
  <si>
    <t xml:space="preserve">   ② 수문학적 안전성 평가</t>
    <phoneticPr fontId="181" type="noConversion"/>
  </si>
  <si>
    <t xml:space="preserve">   ③ 내진 안전성 평가</t>
    <phoneticPr fontId="181" type="noConversion"/>
  </si>
  <si>
    <t xml:space="preserve">  1) EAP 기본정보 및 댐저수지 일반정보</t>
    <phoneticPr fontId="181" type="noConversion"/>
  </si>
  <si>
    <t xml:space="preserve">  2) EAP 배포기관</t>
    <phoneticPr fontId="181" type="noConversion"/>
  </si>
  <si>
    <t xml:space="preserve">  3) EAP 작성, 보완 및 갱신</t>
    <phoneticPr fontId="181" type="noConversion"/>
  </si>
  <si>
    <t xml:space="preserve">  3) 댐 붕괴 홍수류 해석</t>
    <phoneticPr fontId="181" type="noConversion"/>
  </si>
  <si>
    <t xml:space="preserve">   ① 기초자료 조사</t>
    <phoneticPr fontId="181" type="noConversion"/>
  </si>
  <si>
    <t xml:space="preserve">   ② 최근의 국·내외 댐 붕괴 사례 조사</t>
    <phoneticPr fontId="181" type="noConversion"/>
  </si>
  <si>
    <t xml:space="preserve">   ③ 댐 및 저수지 붕괴 시나리오 구성</t>
    <phoneticPr fontId="181" type="noConversion"/>
  </si>
  <si>
    <t xml:space="preserve">   ④ 시나리오에 따른 홍수량 산정(댐 유역)</t>
    <phoneticPr fontId="181" type="noConversion"/>
  </si>
  <si>
    <t xml:space="preserve">   ⑤ 시나리오에 따른 홍수량 산정(댐 하류유역)</t>
    <phoneticPr fontId="181" type="noConversion"/>
  </si>
  <si>
    <t xml:space="preserve">   ⑥ 댐 하류부 지형분석</t>
    <phoneticPr fontId="181" type="noConversion"/>
  </si>
  <si>
    <t xml:space="preserve">   ⑦ 댐 붕괴 모의 수행(1차원 해석)</t>
    <phoneticPr fontId="181" type="noConversion"/>
  </si>
  <si>
    <t xml:space="preserve">   ⑧ 댐 붕괴 모의 수행(2차원 해석)</t>
    <phoneticPr fontId="181" type="noConversion"/>
  </si>
  <si>
    <t xml:space="preserve">   ⑨ 홍수범람도 작성</t>
    <phoneticPr fontId="181" type="noConversion"/>
  </si>
  <si>
    <t xml:space="preserve">   ⑩ 주요지점별 홍수해석 결과 분석</t>
    <phoneticPr fontId="181" type="noConversion"/>
  </si>
  <si>
    <t>100km2</t>
    <phoneticPr fontId="181" type="noConversion"/>
  </si>
  <si>
    <t>50km2</t>
    <phoneticPr fontId="181" type="noConversion"/>
  </si>
  <si>
    <t>■ 댐·저수지 비상대처계획 수립 (기준소요인력, 방재분야 표준품셈(행정안전부고시 제2024-83호, 2024.10.28.))</t>
    <phoneticPr fontId="181" type="noConversion"/>
  </si>
  <si>
    <t>비상대처계획당</t>
    <phoneticPr fontId="181" type="noConversion"/>
  </si>
  <si>
    <t>계획연장당</t>
    <phoneticPr fontId="181" type="noConversion"/>
  </si>
  <si>
    <t>유역면적당</t>
    <phoneticPr fontId="181" type="noConversion"/>
  </si>
  <si>
    <t>지구개소당</t>
    <phoneticPr fontId="181" type="noConversion"/>
  </si>
  <si>
    <t>범람예상면적당</t>
    <phoneticPr fontId="181" type="noConversion"/>
  </si>
  <si>
    <t>필요시</t>
    <phoneticPr fontId="181" type="noConversion"/>
  </si>
  <si>
    <t xml:space="preserve"> 라. 비상상황 관리</t>
    <phoneticPr fontId="181" type="noConversion"/>
  </si>
  <si>
    <t xml:space="preserve">  1) 비상상황시 정보취득 및 보고방법</t>
    <phoneticPr fontId="181" type="noConversion"/>
  </si>
  <si>
    <t xml:space="preserve">  2) 비상대응기관의 책임과 의무</t>
    <phoneticPr fontId="181" type="noConversion"/>
  </si>
  <si>
    <t xml:space="preserve">  3) 비상발령절차 및 상황관리체계 </t>
    <phoneticPr fontId="181" type="noConversion"/>
  </si>
  <si>
    <t xml:space="preserve">  4) 유관기관 협조체계</t>
    <phoneticPr fontId="181" type="noConversion"/>
  </si>
  <si>
    <t xml:space="preserve"> 마. 응급조치 계획</t>
    <phoneticPr fontId="181" type="noConversion"/>
  </si>
  <si>
    <t xml:space="preserve">  1) 현장조사(대피장소, 대피경로 등)</t>
    <phoneticPr fontId="181" type="noConversion"/>
  </si>
  <si>
    <t xml:space="preserve">  2) 주민대피</t>
    <phoneticPr fontId="181" type="noConversion"/>
  </si>
  <si>
    <t xml:space="preserve">  3) 대체도로, 긴급통신, 비상급수</t>
    <phoneticPr fontId="181" type="noConversion"/>
  </si>
  <si>
    <t xml:space="preserve">  4) 긴급 구조·구급</t>
    <phoneticPr fontId="181" type="noConversion"/>
  </si>
  <si>
    <t xml:space="preserve">  5) 유발재난 및 2차피해 방지</t>
    <phoneticPr fontId="181" type="noConversion"/>
  </si>
  <si>
    <t xml:space="preserve">  6) 시설물 응급복구</t>
    <phoneticPr fontId="181" type="noConversion"/>
  </si>
  <si>
    <t xml:space="preserve"> 마. 재해구호 및 지역안정 계획</t>
    <phoneticPr fontId="181" type="noConversion"/>
  </si>
  <si>
    <t xml:space="preserve">  1) 이재민수용관리</t>
    <phoneticPr fontId="181" type="noConversion"/>
  </si>
  <si>
    <t xml:space="preserve">  2) 구호물자 접수·배분 및 생필품 공급</t>
    <phoneticPr fontId="181" type="noConversion"/>
  </si>
  <si>
    <t xml:space="preserve">  3) 의료·청소·방역 활동</t>
    <phoneticPr fontId="181" type="noConversion"/>
  </si>
  <si>
    <t xml:space="preserve">  4) 사회질서 유지 등 지역안정</t>
    <phoneticPr fontId="181" type="noConversion"/>
  </si>
  <si>
    <t xml:space="preserve">  5) 자원봉사활동</t>
    <phoneticPr fontId="181" type="noConversion"/>
  </si>
  <si>
    <t xml:space="preserve"> 사. EAP 실습 및 훈련</t>
    <phoneticPr fontId="181" type="noConversion"/>
  </si>
  <si>
    <t xml:space="preserve"> 아. 결론 및 보고서 작성</t>
    <phoneticPr fontId="181" type="noConversion"/>
  </si>
  <si>
    <t xml:space="preserve">  1) 훈련계획</t>
    <phoneticPr fontId="181" type="noConversion"/>
  </si>
  <si>
    <t xml:space="preserve">  2) 훈련 메시지 작성</t>
    <phoneticPr fontId="181" type="noConversion"/>
  </si>
  <si>
    <t xml:space="preserve">  1) EAP 보고서 작성</t>
    <phoneticPr fontId="181" type="noConversion"/>
  </si>
  <si>
    <t xml:space="preserve">  2) 하류부 영향평가 및 비상대처계획 수립</t>
    <phoneticPr fontId="181" type="noConversion"/>
  </si>
  <si>
    <t xml:space="preserve">  3) 비상대처계획도 작성</t>
    <phoneticPr fontId="181" type="noConversion"/>
  </si>
  <si>
    <t xml:space="preserve">   1) 유역면적 =</t>
    <phoneticPr fontId="181" type="noConversion"/>
  </si>
  <si>
    <t xml:space="preserve">   2) 계획연장 =</t>
    <phoneticPr fontId="181" type="noConversion"/>
  </si>
  <si>
    <t xml:space="preserve">       ※ 유역면적이 20km2 보다 작을 경우에는 20km2를 적용한다. </t>
    <phoneticPr fontId="181" type="noConversion"/>
  </si>
  <si>
    <r>
      <t xml:space="preserve">       보정계수(</t>
    </r>
    <r>
      <rPr>
        <sz val="11"/>
        <color rgb="FF000000"/>
        <rFont val="Calibri"/>
        <family val="3"/>
        <charset val="161"/>
      </rPr>
      <t>α</t>
    </r>
    <r>
      <rPr>
        <sz val="11"/>
        <color rgb="FF000000"/>
        <rFont val="맑은 고딕"/>
        <family val="3"/>
        <charset val="129"/>
      </rPr>
      <t>1)  =</t>
    </r>
    <phoneticPr fontId="181" type="noConversion"/>
  </si>
  <si>
    <r>
      <t xml:space="preserve">       보정계수(</t>
    </r>
    <r>
      <rPr>
        <sz val="11"/>
        <color rgb="FF000000"/>
        <rFont val="Calibri"/>
        <family val="3"/>
        <charset val="161"/>
      </rPr>
      <t>α</t>
    </r>
    <r>
      <rPr>
        <sz val="11"/>
        <color rgb="FF000000"/>
        <rFont val="맑은 고딕"/>
        <family val="3"/>
        <charset val="129"/>
      </rPr>
      <t>2)  =</t>
    </r>
    <phoneticPr fontId="181" type="noConversion"/>
  </si>
  <si>
    <t xml:space="preserve">(계획연장×5)/50(km)  = </t>
    <phoneticPr fontId="181" type="noConversion"/>
  </si>
  <si>
    <t xml:space="preserve">(유역면적/100)^0.55(km2)  = </t>
    <phoneticPr fontId="181" type="noConversion"/>
  </si>
  <si>
    <t>km2</t>
    <phoneticPr fontId="181" type="noConversion"/>
  </si>
  <si>
    <r>
      <t>2) 계획연장에 대한 작업량 보정계수(</t>
    </r>
    <r>
      <rPr>
        <b/>
        <sz val="11"/>
        <color rgb="FF000000"/>
        <rFont val="Calibri"/>
        <family val="3"/>
        <charset val="161"/>
      </rPr>
      <t>α3</t>
    </r>
    <r>
      <rPr>
        <b/>
        <sz val="11"/>
        <color rgb="FF000000"/>
        <rFont val="맑은 고딕"/>
        <family val="3"/>
        <charset val="129"/>
      </rPr>
      <t>)</t>
    </r>
    <phoneticPr fontId="181" type="noConversion"/>
  </si>
  <si>
    <r>
      <t xml:space="preserve"> 1) 면적에 대한 작업량 보정계수(</t>
    </r>
    <r>
      <rPr>
        <b/>
        <sz val="11"/>
        <color rgb="FF000000"/>
        <rFont val="Calibri"/>
        <family val="3"/>
        <charset val="161"/>
      </rPr>
      <t>α</t>
    </r>
    <r>
      <rPr>
        <b/>
        <sz val="11"/>
        <color rgb="FF000000"/>
        <rFont val="맑은 고딕"/>
        <family val="3"/>
        <charset val="129"/>
      </rPr>
      <t xml:space="preserve">1, </t>
    </r>
    <r>
      <rPr>
        <b/>
        <sz val="11"/>
        <color rgb="FF000000"/>
        <rFont val="Calibri"/>
        <family val="3"/>
        <charset val="161"/>
      </rPr>
      <t>α</t>
    </r>
    <r>
      <rPr>
        <b/>
        <sz val="11"/>
        <color rgb="FF000000"/>
        <rFont val="맑은 고딕"/>
        <family val="3"/>
        <charset val="129"/>
      </rPr>
      <t>2)</t>
    </r>
    <phoneticPr fontId="181" type="noConversion"/>
  </si>
  <si>
    <t xml:space="preserve">   1) 계획연장 =</t>
    <phoneticPr fontId="181" type="noConversion"/>
  </si>
  <si>
    <r>
      <t xml:space="preserve">       보정계수(</t>
    </r>
    <r>
      <rPr>
        <sz val="11"/>
        <color rgb="FF000000"/>
        <rFont val="Calibri"/>
        <family val="3"/>
        <charset val="161"/>
      </rPr>
      <t>α3</t>
    </r>
    <r>
      <rPr>
        <sz val="11"/>
        <color rgb="FF000000"/>
        <rFont val="맑은 고딕"/>
        <family val="3"/>
        <charset val="129"/>
      </rPr>
      <t>)  =</t>
    </r>
    <phoneticPr fontId="181" type="noConversion"/>
  </si>
  <si>
    <t xml:space="preserve">계획연장(km)/10  = </t>
    <phoneticPr fontId="181" type="noConversion"/>
  </si>
  <si>
    <r>
      <t>3) 댐 개소 수에 대한 작업량 보정계수(</t>
    </r>
    <r>
      <rPr>
        <b/>
        <sz val="11"/>
        <color rgb="FF000000"/>
        <rFont val="Calibri"/>
        <family val="3"/>
        <charset val="161"/>
      </rPr>
      <t>α4</t>
    </r>
    <r>
      <rPr>
        <b/>
        <sz val="11"/>
        <color rgb="FF000000"/>
        <rFont val="맑은 고딕"/>
        <family val="3"/>
        <charset val="129"/>
      </rPr>
      <t>)</t>
    </r>
    <phoneticPr fontId="181" type="noConversion"/>
  </si>
  <si>
    <r>
      <t xml:space="preserve">       보정계수(</t>
    </r>
    <r>
      <rPr>
        <sz val="11"/>
        <color rgb="FF000000"/>
        <rFont val="Calibri"/>
        <family val="3"/>
        <charset val="161"/>
      </rPr>
      <t>α4</t>
    </r>
    <r>
      <rPr>
        <sz val="11"/>
        <color rgb="FF000000"/>
        <rFont val="맑은 고딕"/>
        <family val="3"/>
        <charset val="129"/>
      </rPr>
      <t>)  =</t>
    </r>
    <phoneticPr fontId="181" type="noConversion"/>
  </si>
  <si>
    <t xml:space="preserve">   1) 댐 개소 수 =</t>
    <phoneticPr fontId="181" type="noConversion"/>
  </si>
  <si>
    <r>
      <t>4) 시·군·구 개소 수에 대한 작업량 보정계수(</t>
    </r>
    <r>
      <rPr>
        <b/>
        <sz val="11"/>
        <color rgb="FF000000"/>
        <rFont val="Calibri"/>
        <family val="3"/>
        <charset val="161"/>
      </rPr>
      <t>α</t>
    </r>
    <r>
      <rPr>
        <b/>
        <sz val="11"/>
        <color rgb="FF000000"/>
        <rFont val="맑은 고딕"/>
        <family val="3"/>
        <charset val="129"/>
      </rPr>
      <t>5)</t>
    </r>
    <phoneticPr fontId="181" type="noConversion"/>
  </si>
  <si>
    <t xml:space="preserve">   1) 시·군·구 개소 수 =</t>
    <phoneticPr fontId="181" type="noConversion"/>
  </si>
  <si>
    <t xml:space="preserve">       보정계수(α5)  =</t>
    <phoneticPr fontId="181" type="noConversion"/>
  </si>
  <si>
    <t xml:space="preserve">1+0.2×(시군구 개소 수-1)  = </t>
    <phoneticPr fontId="181" type="noConversion"/>
  </si>
  <si>
    <t xml:space="preserve">1+0.1×(댐 개소 수-1)  = </t>
    <phoneticPr fontId="181" type="noConversion"/>
  </si>
  <si>
    <t>α3</t>
    <phoneticPr fontId="181" type="noConversion"/>
  </si>
  <si>
    <t>α4, α5</t>
    <phoneticPr fontId="181" type="noConversion"/>
  </si>
  <si>
    <t>α5</t>
    <phoneticPr fontId="181" type="noConversion"/>
  </si>
  <si>
    <t>산근6-1</t>
    <phoneticPr fontId="181" type="noConversion"/>
  </si>
  <si>
    <t>2. 직접경비</t>
    <phoneticPr fontId="181" type="noConversion"/>
  </si>
  <si>
    <t>2. 직접경비 산정</t>
  </si>
  <si>
    <t>원</t>
    <phoneticPr fontId="187" type="noConversion"/>
  </si>
  <si>
    <t>- 적용기준 : 사규 여비 규정(총무규정 별표 6-1, 국내여비정액표), 1박2일 기준, 4(갑)이하</t>
    <phoneticPr fontId="187" type="noConversion"/>
  </si>
  <si>
    <t>구  분</t>
    <phoneticPr fontId="187" type="noConversion"/>
  </si>
  <si>
    <t>일  비</t>
    <phoneticPr fontId="187" type="noConversion"/>
  </si>
  <si>
    <t>숙 박 비</t>
    <phoneticPr fontId="187" type="noConversion"/>
  </si>
  <si>
    <t>식  비</t>
    <phoneticPr fontId="187" type="noConversion"/>
  </si>
  <si>
    <t>왕복교통비</t>
    <phoneticPr fontId="187" type="noConversion"/>
  </si>
  <si>
    <t>합  계</t>
    <phoneticPr fontId="187" type="noConversion"/>
  </si>
  <si>
    <t>1일출장</t>
    <phoneticPr fontId="187" type="noConversion"/>
  </si>
  <si>
    <t>1박2일</t>
    <phoneticPr fontId="187" type="noConversion"/>
  </si>
  <si>
    <t>2박3일</t>
    <phoneticPr fontId="187" type="noConversion"/>
  </si>
  <si>
    <t>-  출장여비(정부기관/시군구)</t>
    <phoneticPr fontId="187" type="noConversion"/>
  </si>
  <si>
    <t xml:space="preserve">  기준 : 1인, 1박2일, 정부기관, 시군구, 1회 1지점, 총 3회방문</t>
    <phoneticPr fontId="187" type="noConversion"/>
  </si>
  <si>
    <t xml:space="preserve">  목적 : 업무협의 및 현장조사 등</t>
    <phoneticPr fontId="187" type="noConversion"/>
  </si>
  <si>
    <t>-  출장여비(현장조사)</t>
    <phoneticPr fontId="187" type="noConversion"/>
  </si>
  <si>
    <t xml:space="preserve">  기준 : 1인, 2박3일, 현장 1개소, 1회 1지점, 총 3회방문</t>
    <phoneticPr fontId="187" type="noConversion"/>
  </si>
  <si>
    <t xml:space="preserve">   - 종합 보고서 : 100페이지, 1개 댐, 5부기준 </t>
    <phoneticPr fontId="187" type="noConversion"/>
  </si>
  <si>
    <t xml:space="preserve">     {(13,970+180)-5,920} * 100 * 3  =</t>
    <phoneticPr fontId="187" type="noConversion"/>
  </si>
  <si>
    <t xml:space="preserve">   - 보고서 부록  : 100페이지, 1개, 3부기준</t>
    <phoneticPr fontId="187" type="noConversion"/>
  </si>
  <si>
    <t xml:space="preserve">      {(13,970+180)-5,920} * 100 * 3  =</t>
    <phoneticPr fontId="187" type="noConversion"/>
  </si>
  <si>
    <t>근거 : 교육훈련지침 별표1(2018. 07. 16 개정 (제15차)), 연구개발지침(2018.04.09)</t>
    <phoneticPr fontId="187" type="noConversion"/>
  </si>
  <si>
    <t xml:space="preserve">  - 각 1회(장소섭외, 회의자료 준비 등) : 500,000원/회 * 1회 = </t>
    <phoneticPr fontId="187" type="noConversion"/>
  </si>
  <si>
    <t xml:space="preserve">  - 강진군(1개) : 1 개소</t>
    <phoneticPr fontId="187" type="noConversion"/>
  </si>
  <si>
    <t xml:space="preserve">  기관 방문 : 204,000원 * 1지점 * 3회 =</t>
    <phoneticPr fontId="187" type="noConversion"/>
  </si>
  <si>
    <t xml:space="preserve">  현장 1개소 : 314,000원 * 1개소/1개소/1회 * 3회=</t>
    <phoneticPr fontId="187" type="noConversion"/>
  </si>
  <si>
    <t xml:space="preserve"> 가. 인쇄비</t>
    <phoneticPr fontId="181" type="noConversion"/>
  </si>
  <si>
    <t xml:space="preserve"> 나. 출장비</t>
    <phoneticPr fontId="181" type="noConversion"/>
  </si>
  <si>
    <t xml:space="preserve"> 다. 자문비</t>
    <phoneticPr fontId="181" type="noConversion"/>
  </si>
  <si>
    <t xml:space="preserve">  1) 자문비</t>
    <phoneticPr fontId="181" type="noConversion"/>
  </si>
  <si>
    <t xml:space="preserve">  2) 설명회개최</t>
    <phoneticPr fontId="181" type="noConversion"/>
  </si>
  <si>
    <t>산근6-2</t>
    <phoneticPr fontId="181" type="noConversion"/>
  </si>
  <si>
    <t>산근6-3</t>
    <phoneticPr fontId="181" type="noConversion"/>
  </si>
  <si>
    <t>산근6-4</t>
  </si>
  <si>
    <t>산근6-5</t>
    <phoneticPr fontId="181" type="noConversion"/>
  </si>
  <si>
    <t>산근6-6</t>
    <phoneticPr fontId="181" type="noConversion"/>
  </si>
  <si>
    <t>산근6-7</t>
    <phoneticPr fontId="181" type="noConversion"/>
  </si>
  <si>
    <t>산근6-8</t>
  </si>
  <si>
    <t>산근6-9</t>
    <phoneticPr fontId="181" type="noConversion"/>
  </si>
  <si>
    <t>산근6-10</t>
    <phoneticPr fontId="181" type="noConversion"/>
  </si>
  <si>
    <t>산근6-11</t>
  </si>
  <si>
    <t>산근6-12</t>
  </si>
  <si>
    <t>산근6-13</t>
  </si>
  <si>
    <t>산근6-14</t>
  </si>
  <si>
    <t>산근6-15</t>
  </si>
  <si>
    <t>산근6-16</t>
  </si>
  <si>
    <t>산근6-17</t>
  </si>
  <si>
    <t>산근6-18</t>
  </si>
  <si>
    <t>산근6-19</t>
    <phoneticPr fontId="181" type="noConversion"/>
  </si>
  <si>
    <t>산근6-20</t>
    <phoneticPr fontId="181" type="noConversion"/>
  </si>
  <si>
    <t>산근6-21</t>
  </si>
  <si>
    <t>산근6-22</t>
  </si>
  <si>
    <t>산근6-23</t>
    <phoneticPr fontId="181" type="noConversion"/>
  </si>
  <si>
    <t>산근6-24</t>
    <phoneticPr fontId="181" type="noConversion"/>
  </si>
  <si>
    <t>산근6-25</t>
  </si>
  <si>
    <t>산근6-26</t>
  </si>
  <si>
    <t>산근6-27</t>
  </si>
  <si>
    <t>산근6-28</t>
  </si>
  <si>
    <t>산근6-29</t>
    <phoneticPr fontId="181" type="noConversion"/>
  </si>
  <si>
    <t>산근6-30</t>
  </si>
  <si>
    <t>산근6-31</t>
  </si>
  <si>
    <t>산근6-32</t>
  </si>
  <si>
    <t>산근6-33</t>
  </si>
  <si>
    <t>산근6-34</t>
    <phoneticPr fontId="181" type="noConversion"/>
  </si>
  <si>
    <t>산근6-35</t>
  </si>
  <si>
    <t>산근6-36</t>
  </si>
  <si>
    <t>산근6-37</t>
  </si>
  <si>
    <t>산근6-38</t>
  </si>
  <si>
    <t>산근6-39</t>
    <phoneticPr fontId="181" type="noConversion"/>
  </si>
  <si>
    <t>산근6-40</t>
  </si>
  <si>
    <t>산근6-41</t>
    <phoneticPr fontId="181" type="noConversion"/>
  </si>
  <si>
    <t>산근6-42</t>
    <phoneticPr fontId="181" type="noConversion"/>
  </si>
  <si>
    <t>운곡천(지방)</t>
  </si>
  <si>
    <t>침수방지대책 검토</t>
  </si>
  <si>
    <t>운곡천 정비방안</t>
  </si>
  <si>
    <t>비탈경사</t>
  </si>
  <si>
    <t>하천</t>
  </si>
  <si>
    <t>지 구 명</t>
  </si>
  <si>
    <t>안별</t>
  </si>
  <si>
    <t>둑마루폭</t>
  </si>
  <si>
    <t>호안</t>
  </si>
  <si>
    <t>TYPE</t>
  </si>
  <si>
    <t>과업</t>
  </si>
  <si>
    <t>대상</t>
  </si>
  <si>
    <t>제외지</t>
  </si>
  <si>
    <t>제내지</t>
  </si>
  <si>
    <t>운곡천</t>
  </si>
  <si>
    <t>우</t>
  </si>
  <si>
    <t>No.0+15~ No.5+50</t>
  </si>
  <si>
    <t>A,B</t>
  </si>
  <si>
    <t>포함</t>
  </si>
  <si>
    <t>좌</t>
  </si>
  <si>
    <t>No.1+75~ No.2+50</t>
  </si>
  <si>
    <t>〃</t>
  </si>
  <si>
    <t>No.8+35~ No.17+40</t>
  </si>
  <si>
    <t>No.19+00~ No.22+00</t>
  </si>
  <si>
    <t>제외</t>
  </si>
  <si>
    <t>측점(No.)</t>
  </si>
  <si>
    <t>연장(m)</t>
  </si>
  <si>
    <t>운곡1지구</t>
  </si>
  <si>
    <t>운곡2지구</t>
  </si>
  <si>
    <t>운곡3지구</t>
  </si>
  <si>
    <t>운곡4지구</t>
  </si>
  <si>
    <t>4개 지구</t>
  </si>
  <si>
    <t>축제 계획지구</t>
    <phoneticPr fontId="181" type="noConversion"/>
  </si>
  <si>
    <t>보축 계획지구</t>
  </si>
  <si>
    <t>과업대상</t>
  </si>
  <si>
    <t>No.0+50 ~ No.1+75</t>
  </si>
  <si>
    <t>F</t>
  </si>
  <si>
    <t>No.2+50 ~ No.5+20</t>
  </si>
  <si>
    <t>No.6+20 ~ No.6+90</t>
  </si>
  <si>
    <t>C,D.E</t>
  </si>
  <si>
    <t>No.8+10 ~ No.8+91</t>
  </si>
  <si>
    <t>No.17+00 ~ No.18+20</t>
  </si>
  <si>
    <t>보축1지구</t>
  </si>
  <si>
    <t>보축2지구</t>
  </si>
  <si>
    <t>보축3지구</t>
  </si>
  <si>
    <t>보축4지구</t>
  </si>
  <si>
    <t>보축5지구</t>
  </si>
  <si>
    <t>5개 지구</t>
  </si>
  <si>
    <t>No.0+00 ~ No.0+50</t>
  </si>
  <si>
    <t>No.5+20 ~ No.6+20</t>
  </si>
  <si>
    <t>No.5+50 ~ No.8+35</t>
  </si>
  <si>
    <t>No.6+90 ~ No.8+10</t>
  </si>
  <si>
    <t>No.8+91 ~ No.10+00</t>
  </si>
  <si>
    <t>A.B</t>
  </si>
  <si>
    <t>No.12+50 ~ No.17+00</t>
  </si>
  <si>
    <t>No.17+40 ~ No.19+00</t>
  </si>
  <si>
    <t>고호1지구</t>
  </si>
  <si>
    <t>고호2지구</t>
  </si>
  <si>
    <t>고호3지구</t>
  </si>
  <si>
    <t>고호4지구</t>
  </si>
  <si>
    <t>고호5지구</t>
  </si>
  <si>
    <t>고호6지구</t>
  </si>
  <si>
    <t>고호7지구</t>
  </si>
  <si>
    <t>고호 계획지구</t>
    <phoneticPr fontId="181" type="noConversion"/>
  </si>
  <si>
    <t>(1) 제방 및 호안계획</t>
    <phoneticPr fontId="181" type="noConversion"/>
  </si>
  <si>
    <t>(2) 배수시설물 계획</t>
    <phoneticPr fontId="181" type="noConversion"/>
  </si>
  <si>
    <t>하천명</t>
  </si>
  <si>
    <t>배수시설명</t>
  </si>
  <si>
    <t>측점</t>
  </si>
  <si>
    <t>(No.)</t>
  </si>
  <si>
    <t>기존시설 제원</t>
  </si>
  <si>
    <t>집수</t>
  </si>
  <si>
    <t>면적</t>
  </si>
  <si>
    <t>(km²)</t>
  </si>
  <si>
    <t>계획단면검토</t>
  </si>
  <si>
    <t>소요단면</t>
  </si>
  <si>
    <t>(m²)</t>
  </si>
  <si>
    <t>계획단면</t>
  </si>
  <si>
    <t>1+16</t>
  </si>
  <si>
    <t>2+36</t>
  </si>
  <si>
    <t>9+88</t>
  </si>
  <si>
    <t>3.0×2.0</t>
  </si>
  <si>
    <t>4.3×2.2@3</t>
  </si>
  <si>
    <t>13+2</t>
  </si>
  <si>
    <t>13+79</t>
  </si>
  <si>
    <t>14+68</t>
  </si>
  <si>
    <t>1.5×1.5@1</t>
  </si>
  <si>
    <t>15+84</t>
  </si>
  <si>
    <t>B(m)×H(m)@련</t>
  </si>
  <si>
    <t>(Φ,㎜)</t>
  </si>
  <si>
    <t>(B×H@련, Ø)</t>
  </si>
  <si>
    <t>운곡1배수통관</t>
  </si>
  <si>
    <t>운곡2배수통관</t>
  </si>
  <si>
    <t>운곡1배수암거</t>
  </si>
  <si>
    <t>운곡6배수통관</t>
  </si>
  <si>
    <t>운곡7배수통관</t>
  </si>
  <si>
    <t>운곡9배수통관</t>
  </si>
  <si>
    <t>운곡10배수통관</t>
  </si>
  <si>
    <t>소요단면 부족으로 인한 재가설</t>
    <phoneticPr fontId="181" type="noConversion"/>
  </si>
  <si>
    <t>축제계획에 의한 재가설</t>
  </si>
  <si>
    <t>4+11</t>
  </si>
  <si>
    <t>Ø800</t>
  </si>
  <si>
    <t>8+80</t>
  </si>
  <si>
    <t>Ø1200</t>
  </si>
  <si>
    <t>11+50</t>
  </si>
  <si>
    <t>Ø1000</t>
  </si>
  <si>
    <t>14+42</t>
  </si>
  <si>
    <t>16+70</t>
  </si>
  <si>
    <t>운곡3배수통관</t>
  </si>
  <si>
    <t>운곡4배수통관</t>
  </si>
  <si>
    <t>운곡5배수통관</t>
  </si>
  <si>
    <t>운곡8배수통관</t>
  </si>
  <si>
    <t>운곡11배수통관</t>
  </si>
  <si>
    <t>(3) 교량계획</t>
    <phoneticPr fontId="181" type="noConversion"/>
  </si>
  <si>
    <t xml:space="preserve">측 점 </t>
  </si>
  <si>
    <t>교 량 명</t>
  </si>
  <si>
    <t>계 획</t>
  </si>
  <si>
    <t>홍수위</t>
  </si>
  <si>
    <t>(EL.m)</t>
  </si>
  <si>
    <t>교폭</t>
  </si>
  <si>
    <t>기 존</t>
  </si>
  <si>
    <t>1+80</t>
  </si>
  <si>
    <t>철거</t>
  </si>
  <si>
    <t>2+53</t>
  </si>
  <si>
    <t>재설치</t>
  </si>
  <si>
    <t>2+89</t>
  </si>
  <si>
    <t>3+47</t>
  </si>
  <si>
    <t>4+77</t>
  </si>
  <si>
    <t>5+59</t>
  </si>
  <si>
    <t>9+00</t>
  </si>
  <si>
    <t>12+62</t>
  </si>
  <si>
    <t>14+56</t>
  </si>
  <si>
    <t>17+08</t>
  </si>
  <si>
    <t>운곡목교</t>
  </si>
  <si>
    <t>21+95</t>
  </si>
  <si>
    <t>연 장(m)</t>
  </si>
  <si>
    <t>운곡1교</t>
  </si>
  <si>
    <t>운곡2교</t>
  </si>
  <si>
    <t>운곡3교</t>
  </si>
  <si>
    <t>운곡4교</t>
  </si>
  <si>
    <t>운곡5교</t>
  </si>
  <si>
    <t>운곡6교</t>
  </si>
  <si>
    <t>운곡7교</t>
  </si>
  <si>
    <t>운곡8교</t>
  </si>
  <si>
    <t>운곡9교</t>
  </si>
  <si>
    <t>운곡10교</t>
  </si>
  <si>
    <t>재가설</t>
  </si>
  <si>
    <t>재가설</t>
    <phoneticPr fontId="181" type="noConversion"/>
  </si>
  <si>
    <t>철거</t>
    <phoneticPr fontId="181" type="noConversion"/>
  </si>
  <si>
    <t>(4) 보 및 낙차공 계획</t>
    <phoneticPr fontId="181" type="noConversion"/>
  </si>
  <si>
    <t>구 조 물 명</t>
  </si>
  <si>
    <t>측 점</t>
  </si>
  <si>
    <t>계 획 개 요</t>
  </si>
  <si>
    <t>높 이</t>
  </si>
  <si>
    <t>연 장</t>
  </si>
  <si>
    <t>2+31.5</t>
  </si>
  <si>
    <t>6+66.5</t>
  </si>
  <si>
    <t>8+37.8</t>
  </si>
  <si>
    <t>17+34.5</t>
  </si>
  <si>
    <t>계획규모(m)</t>
  </si>
  <si>
    <t>재설치(자연형)</t>
  </si>
  <si>
    <t>운곡2낙차보</t>
  </si>
  <si>
    <t>운곡3낙차보</t>
  </si>
  <si>
    <t>제4낙차공</t>
  </si>
  <si>
    <t>운곡2천 정비방안</t>
    <phoneticPr fontId="181" type="noConversion"/>
  </si>
  <si>
    <t>소하천</t>
  </si>
  <si>
    <t>명</t>
  </si>
  <si>
    <t>지구명</t>
  </si>
  <si>
    <t>구간</t>
  </si>
  <si>
    <t>연장</t>
  </si>
  <si>
    <t>상류</t>
  </si>
  <si>
    <t>혼합류</t>
  </si>
  <si>
    <t>유속</t>
  </si>
  <si>
    <t>(m/sec)</t>
  </si>
  <si>
    <t>소류력</t>
  </si>
  <si>
    <t>제방</t>
  </si>
  <si>
    <t>운곡</t>
  </si>
  <si>
    <t>0+00~</t>
  </si>
  <si>
    <t>9+36</t>
  </si>
  <si>
    <t>2.55~</t>
  </si>
  <si>
    <t>2.76~</t>
  </si>
  <si>
    <t>3.01~</t>
  </si>
  <si>
    <t>3.49~</t>
  </si>
  <si>
    <t>A,B,C</t>
  </si>
  <si>
    <t>9+40~</t>
  </si>
  <si>
    <t>11+45</t>
  </si>
  <si>
    <t>2.30~</t>
  </si>
  <si>
    <t>6.01~</t>
  </si>
  <si>
    <t>14+12~</t>
  </si>
  <si>
    <t>25+15</t>
  </si>
  <si>
    <t>2.03~</t>
  </si>
  <si>
    <t>2.88~</t>
  </si>
  <si>
    <t>3.25~</t>
  </si>
  <si>
    <t>11+29</t>
  </si>
  <si>
    <t>13+01~</t>
  </si>
  <si>
    <t>14+01</t>
  </si>
  <si>
    <t>3.21~</t>
  </si>
  <si>
    <t>12.76~</t>
  </si>
  <si>
    <t>4.90~</t>
  </si>
  <si>
    <t>24+31~</t>
  </si>
  <si>
    <t>25+34</t>
  </si>
  <si>
    <t>2.16~</t>
  </si>
  <si>
    <t>4.97~</t>
  </si>
  <si>
    <t>8.58~</t>
  </si>
  <si>
    <t>형식(Type)</t>
  </si>
  <si>
    <t>(kg/㎡)</t>
  </si>
  <si>
    <t>운곡2</t>
  </si>
  <si>
    <t>2천</t>
  </si>
  <si>
    <t>축제좌안1지구</t>
  </si>
  <si>
    <t>축제좌안2지구</t>
  </si>
  <si>
    <t>축제좌안3지구</t>
  </si>
  <si>
    <t>축제우안1지구</t>
  </si>
  <si>
    <t>축제우안2지구</t>
  </si>
  <si>
    <t>축제우안3지구</t>
  </si>
  <si>
    <t>소하천명</t>
  </si>
  <si>
    <t>(NO)</t>
  </si>
  <si>
    <t>기존규모</t>
  </si>
  <si>
    <t>계획규모</t>
  </si>
  <si>
    <t>홍수량</t>
  </si>
  <si>
    <t>소요</t>
  </si>
  <si>
    <t>단면</t>
  </si>
  <si>
    <t>계획</t>
  </si>
  <si>
    <t>1+18</t>
  </si>
  <si>
    <t>Ø600×1</t>
  </si>
  <si>
    <t>Ø800×1</t>
  </si>
  <si>
    <t>13+48</t>
  </si>
  <si>
    <t>Ø1,200×1</t>
  </si>
  <si>
    <t>2.0×1.5×1</t>
  </si>
  <si>
    <t>단면검토(㎡)</t>
  </si>
  <si>
    <t>B×H@련,</t>
  </si>
  <si>
    <t>(㎥/s)</t>
  </si>
  <si>
    <t>D×련</t>
  </si>
  <si>
    <t>운곡2천</t>
  </si>
  <si>
    <t>운곡2천 1배수통관</t>
  </si>
  <si>
    <t>운곡2천 2배수통관</t>
  </si>
  <si>
    <t>교량명</t>
  </si>
  <si>
    <t>(NO.)</t>
  </si>
  <si>
    <t>교량연장</t>
  </si>
  <si>
    <t>형하여유고</t>
  </si>
  <si>
    <t>하폭</t>
  </si>
  <si>
    <t>교량</t>
  </si>
  <si>
    <t>걸토</t>
  </si>
  <si>
    <t>결과</t>
  </si>
  <si>
    <t>여유고</t>
  </si>
  <si>
    <t>저고</t>
  </si>
  <si>
    <t>검토</t>
  </si>
  <si>
    <t>0+00</t>
  </si>
  <si>
    <t>NG</t>
  </si>
  <si>
    <t>5+29</t>
  </si>
  <si>
    <t>OK</t>
  </si>
  <si>
    <t>7+38</t>
  </si>
  <si>
    <t>8+42</t>
  </si>
  <si>
    <t>10+49</t>
  </si>
  <si>
    <t>19+30</t>
  </si>
  <si>
    <t>24+31</t>
  </si>
  <si>
    <t>운곡2천 1BOX교</t>
  </si>
  <si>
    <t>운곡2천 2BOX교</t>
  </si>
  <si>
    <t>운곡2천 3BOX교</t>
  </si>
  <si>
    <t>운곡2천 4교</t>
  </si>
  <si>
    <t>운곡2천 5교</t>
  </si>
  <si>
    <t>운곡2천 6교</t>
  </si>
  <si>
    <t>운곡2천 7BOX교</t>
  </si>
  <si>
    <t>운곡2천 8흄관교</t>
  </si>
  <si>
    <t>구조물명</t>
  </si>
  <si>
    <t>어도</t>
  </si>
  <si>
    <t>유무</t>
  </si>
  <si>
    <t>재료</t>
  </si>
  <si>
    <t>상태</t>
  </si>
  <si>
    <t>기존</t>
  </si>
  <si>
    <t>5+42</t>
  </si>
  <si>
    <t>×</t>
  </si>
  <si>
    <t>Con'c</t>
  </si>
  <si>
    <t>양호</t>
  </si>
  <si>
    <t>14+14</t>
  </si>
  <si>
    <t>15+31</t>
  </si>
  <si>
    <t>16+10</t>
  </si>
  <si>
    <t>16+40</t>
  </si>
  <si>
    <t>17+23</t>
  </si>
  <si>
    <t>18+06</t>
  </si>
  <si>
    <t>18+35</t>
  </si>
  <si>
    <t>20+06</t>
  </si>
  <si>
    <t>20+38</t>
  </si>
  <si>
    <t>21+17</t>
  </si>
  <si>
    <t>21+49</t>
  </si>
  <si>
    <t>22+31</t>
  </si>
  <si>
    <t>24+14</t>
  </si>
  <si>
    <t>운곡2천 1낙차공</t>
  </si>
  <si>
    <t>운곡2천 2낙차공</t>
  </si>
  <si>
    <t>운곡2천 3낙차공</t>
  </si>
  <si>
    <t>운곡2천 4낙차공</t>
  </si>
  <si>
    <t>운곡2천 5낙차공</t>
  </si>
  <si>
    <t>운곡2천 6낙차공</t>
  </si>
  <si>
    <t>운곡2천 7낙차공</t>
  </si>
  <si>
    <t>운곡2천 8낙차공</t>
  </si>
  <si>
    <t>운곡2천 9낙차공</t>
  </si>
  <si>
    <t>운곡2천 10낙차공</t>
  </si>
  <si>
    <t>운곡2천 11낙차공</t>
  </si>
  <si>
    <t>운곡2천 12낙차공</t>
  </si>
  <si>
    <t>운곡2천 13낙차공</t>
  </si>
  <si>
    <t>운곡2천 1낙차보</t>
  </si>
  <si>
    <t>제1낙차공</t>
    <phoneticPr fontId="181" type="noConversion"/>
  </si>
  <si>
    <t>운곡천 내수침수 방지대책</t>
    <phoneticPr fontId="181" type="noConversion"/>
  </si>
  <si>
    <t>유수지 용량은 V=1,000㎥, 펌프용량은 100㎥/min</t>
    <phoneticPr fontId="181" type="noConversion"/>
  </si>
  <si>
    <r>
      <t xml:space="preserve">우수관거는 기존 </t>
    </r>
    <r>
      <rPr>
        <b/>
        <sz val="9"/>
        <color rgb="FF000000"/>
        <rFont val="Segoe UI Symbol"/>
        <family val="3"/>
      </rPr>
      <t>⏀</t>
    </r>
    <r>
      <rPr>
        <b/>
        <sz val="9"/>
        <color rgb="FF000000"/>
        <rFont val="맑은 고딕"/>
        <family val="3"/>
        <charset val="129"/>
        <scheme val="minor"/>
      </rPr>
      <t>300~</t>
    </r>
    <r>
      <rPr>
        <b/>
        <sz val="9"/>
        <color rgb="FF000000"/>
        <rFont val="Segoe UI Symbol"/>
        <family val="3"/>
      </rPr>
      <t>⏀</t>
    </r>
    <r>
      <rPr>
        <b/>
        <sz val="9"/>
        <color rgb="FF000000"/>
        <rFont val="맑은 고딕"/>
        <family val="3"/>
        <charset val="129"/>
        <scheme val="minor"/>
      </rPr>
      <t xml:space="preserve">800, 암거 □0.5×0.5~□0.7×0.7을 </t>
    </r>
    <r>
      <rPr>
        <b/>
        <sz val="9"/>
        <color rgb="FF000000"/>
        <rFont val="Segoe UI Symbol"/>
        <family val="3"/>
      </rPr>
      <t>⏀</t>
    </r>
    <r>
      <rPr>
        <b/>
        <sz val="9"/>
        <color rgb="FF000000"/>
        <rFont val="맑은 고딕"/>
        <family val="3"/>
        <charset val="129"/>
        <scheme val="minor"/>
      </rPr>
      <t>300~</t>
    </r>
    <r>
      <rPr>
        <b/>
        <sz val="9"/>
        <color rgb="FF000000"/>
        <rFont val="Segoe UI Symbol"/>
        <family val="3"/>
      </rPr>
      <t>⏀</t>
    </r>
    <r>
      <rPr>
        <b/>
        <sz val="9"/>
        <color rgb="FF000000"/>
        <rFont val="맑은 고딕"/>
        <family val="3"/>
        <charset val="129"/>
        <scheme val="minor"/>
      </rPr>
      <t>1,000, 암거 0.7×0.7로 확장</t>
    </r>
    <phoneticPr fontId="181" type="noConversion"/>
  </si>
  <si>
    <t>구 분</t>
  </si>
  <si>
    <t>물 량</t>
  </si>
  <si>
    <t xml:space="preserve">사업비 </t>
  </si>
  <si>
    <t>(천 원)</t>
  </si>
  <si>
    <t xml:space="preserve">(백만원) </t>
  </si>
  <si>
    <t>총 사업비</t>
  </si>
  <si>
    <t>공</t>
  </si>
  <si>
    <t>순공사비</t>
  </si>
  <si>
    <t>사</t>
  </si>
  <si>
    <t>하</t>
  </si>
  <si>
    <t>소 계</t>
  </si>
  <si>
    <t>비　</t>
  </si>
  <si>
    <t>천</t>
  </si>
  <si>
    <t>축제지구</t>
  </si>
  <si>
    <t>m</t>
  </si>
  <si>
    <t>보축지구</t>
  </si>
  <si>
    <t>고호지구</t>
  </si>
  <si>
    <t>배수구조물</t>
  </si>
  <si>
    <t>보 및 낙차공</t>
  </si>
  <si>
    <t>교</t>
  </si>
  <si>
    <t>량</t>
  </si>
  <si>
    <t>상부공</t>
  </si>
  <si>
    <t>B=2.5~6m×L=25m (9개소)</t>
    <phoneticPr fontId="241" type="noConversion"/>
  </si>
  <si>
    <t>하부공</t>
  </si>
  <si>
    <t>교대 2개소 (9개소)</t>
    <phoneticPr fontId="241" type="noConversion"/>
  </si>
  <si>
    <t>가드레일</t>
  </si>
  <si>
    <t>L=250m×2 (9개소)</t>
    <phoneticPr fontId="241" type="noConversion"/>
  </si>
  <si>
    <t>가도/가교</t>
  </si>
  <si>
    <t>연결도로</t>
  </si>
  <si>
    <t>접속도로 및 마을 진입로</t>
  </si>
  <si>
    <t>운곡2천(소하천)</t>
  </si>
  <si>
    <t>B=2.5~3m×L=12~16m (3개소)</t>
    <phoneticPr fontId="241" type="noConversion"/>
  </si>
  <si>
    <t>교대 2개소 (6개소)</t>
    <phoneticPr fontId="241" type="noConversion"/>
  </si>
  <si>
    <t>L=148m × 2</t>
  </si>
  <si>
    <t>유수지 및 펌프장</t>
  </si>
  <si>
    <t>㎥/min</t>
  </si>
  <si>
    <t>하수도분야 보조금 편성 및 집행</t>
  </si>
  <si>
    <t>우수관거 개량</t>
  </si>
  <si>
    <t>관리 실무요령의 펌프장 공사비</t>
  </si>
  <si>
    <t>부대공</t>
    <phoneticPr fontId="241" type="noConversion"/>
  </si>
  <si>
    <t>보상비</t>
  </si>
  <si>
    <t>㎡</t>
  </si>
  <si>
    <t>공시지가 3배 적용</t>
  </si>
  <si>
    <t>폐기물처리비</t>
  </si>
  <si>
    <t>공사비의 5%</t>
  </si>
  <si>
    <t>용</t>
  </si>
  <si>
    <t>조사 및 설계비</t>
  </si>
  <si>
    <t>※ 조사비, 설계비, 소규모 환경</t>
  </si>
  <si>
    <t>역</t>
  </si>
  <si>
    <t>영향평가, 문화재 지표조사 등</t>
  </si>
  <si>
    <t>비</t>
  </si>
  <si>
    <t>감리비</t>
  </si>
  <si>
    <t>2022년 자연재난조사 및 복구계획 수립 편람
단가 적용(157~174p)</t>
    <phoneticPr fontId="181" type="noConversion"/>
  </si>
  <si>
    <t>공사비의 10%</t>
    <phoneticPr fontId="181" type="noConversion"/>
  </si>
  <si>
    <t>내역서</t>
    <phoneticPr fontId="181" type="noConversion"/>
  </si>
  <si>
    <t>운곡천</t>
    <phoneticPr fontId="181" type="noConversion"/>
  </si>
  <si>
    <t>운곡2천</t>
    <phoneticPr fontId="181" type="noConversion"/>
  </si>
  <si>
    <t>9+36</t>
    <phoneticPr fontId="181" type="noConversion"/>
  </si>
  <si>
    <t>5+35</t>
    <phoneticPr fontId="181" type="noConversion"/>
  </si>
  <si>
    <t>사리부설(보축) 지방하천-중소규모 p.157</t>
    <phoneticPr fontId="181" type="noConversion"/>
  </si>
  <si>
    <t>콘크리트포장(보축) 지방하천-중소규모 p.158</t>
    <phoneticPr fontId="181" type="noConversion"/>
  </si>
  <si>
    <t>콘크리트포장(축제) 지방하천-중소규모(축제+블록+돌망태) p.158</t>
    <phoneticPr fontId="181" type="noConversion"/>
  </si>
  <si>
    <t>공 종</t>
  </si>
  <si>
    <t>산출근거</t>
  </si>
  <si>
    <t>합 계</t>
  </si>
  <si>
    <t>1. 공사비</t>
  </si>
  <si>
    <t>1.1 하천정비</t>
  </si>
  <si>
    <t>· 2022년 자연재난조사 및 복구계획 수립</t>
  </si>
  <si>
    <t>편람단가 적용 (p.157, p.171, p.174, p.158)</t>
  </si>
  <si>
    <t>- 축제 2,507,881원/m, 보축 1,072,518원/m</t>
  </si>
  <si>
    <t>- 교량 4,229,509원/m (상부(Slab)B=5m, H=3m)</t>
  </si>
  <si>
    <t>- 보 및 낙차공 3,216,352원/m (H=1.5m)</t>
  </si>
  <si>
    <t>- 배수통관 및 배수암거 각 규격별 단가 적용</t>
  </si>
  <si>
    <t>1.2 교량</t>
  </si>
  <si>
    <t>1.3 보 및 낙차공</t>
  </si>
  <si>
    <t>1.4 배수구조물</t>
  </si>
  <si>
    <t>1.5 펌프장 및 유수지</t>
  </si>
  <si>
    <t>- 하수도분야 보조금 편성 및 집행관리</t>
  </si>
  <si>
    <t>실무요령의 펌프장 공사비</t>
  </si>
  <si>
    <t>1.6 우수관거 개량</t>
  </si>
  <si>
    <t>1.7 부대공사</t>
  </si>
  <si>
    <t>2. 폐기물처리비</t>
  </si>
  <si>
    <t>· 공사비 × 5%</t>
  </si>
  <si>
    <t>3. 용지보상비</t>
  </si>
  <si>
    <t xml:space="preserve">토지 및 </t>
  </si>
  <si>
    <t>지장물 등　</t>
  </si>
  <si>
    <t>· 면적 × 공시지가(원/㎡)× 공시지가 3배</t>
  </si>
  <si>
    <t>4. 조사ㆍ설계비</t>
  </si>
  <si>
    <t>5. 감리비</t>
  </si>
  <si>
    <t>1식　</t>
  </si>
  <si>
    <t>1. 하천정비</t>
    <phoneticPr fontId="181" type="noConversion"/>
  </si>
  <si>
    <t>3.937km</t>
    <phoneticPr fontId="181" type="noConversion"/>
  </si>
  <si>
    <t>2. 교량</t>
    <phoneticPr fontId="181" type="noConversion"/>
  </si>
  <si>
    <t>12개소</t>
    <phoneticPr fontId="181" type="noConversion"/>
  </si>
  <si>
    <t>3. 보 및 낙차공</t>
    <phoneticPr fontId="181" type="noConversion"/>
  </si>
  <si>
    <t>4개소</t>
    <phoneticPr fontId="181" type="noConversion"/>
  </si>
  <si>
    <t>4. 배수구조물</t>
    <phoneticPr fontId="181" type="noConversion"/>
  </si>
  <si>
    <t>5개소</t>
    <phoneticPr fontId="181" type="noConversion"/>
  </si>
  <si>
    <t>5. 펌프장 및 유수지</t>
    <phoneticPr fontId="181" type="noConversion"/>
  </si>
  <si>
    <t>신설 Q=100㎥/min, 
유수지 1,000㎥</t>
    <phoneticPr fontId="181" type="noConversion"/>
  </si>
  <si>
    <t>6. 관거정비</t>
    <phoneticPr fontId="181" type="noConversion"/>
  </si>
  <si>
    <t>L=1.976</t>
    <phoneticPr fontId="181" type="noConversion"/>
  </si>
  <si>
    <t>7. 부대공사</t>
    <phoneticPr fontId="181" type="noConversion"/>
  </si>
  <si>
    <t>1식</t>
    <phoneticPr fontId="181" type="noConversion"/>
  </si>
  <si>
    <t>○ 인쇄규격 : 백상지 10절, 10포인트, 양면인쇄, 조판생략 감액 5,920원 적용</t>
    <phoneticPr fontId="187" type="noConversion"/>
  </si>
  <si>
    <t>○ 인쇄비(제출용CD포함)</t>
    <phoneticPr fontId="187" type="noConversion"/>
  </si>
  <si>
    <t xml:space="preserve">  - 사외강사(B) 기준 : 150,000원/시간ⅹ3시간/회ⅹ1회 = </t>
    <phoneticPr fontId="187" type="noConversion"/>
  </si>
  <si>
    <r>
      <t xml:space="preserve">  - 사외강사(C) 기준 : 120,000원/시간ⅹ3시간/회ⅹ1회 =</t>
    </r>
    <r>
      <rPr>
        <b/>
        <sz val="12"/>
        <rFont val="바탕체"/>
        <family val="1"/>
        <charset val="129"/>
      </rPr>
      <t/>
    </r>
    <phoneticPr fontId="187" type="noConversion"/>
  </si>
  <si>
    <t>(배수로연장 200m당 1공)</t>
    <phoneticPr fontId="181" type="noConversion"/>
  </si>
  <si>
    <t>섬진강</t>
    <phoneticPr fontId="181" type="noConversion"/>
  </si>
  <si>
    <t>화순천</t>
    <phoneticPr fontId="181" type="noConversion"/>
  </si>
  <si>
    <t>제 2-1 호표 지형현황측량(1식)</t>
    <phoneticPr fontId="181" type="noConversion"/>
  </si>
  <si>
    <t>제 2-2 호표 수도노선측량(1km)</t>
    <phoneticPr fontId="181" type="noConversion"/>
  </si>
  <si>
    <t>제 2-3 호표 용지측량(1km)</t>
    <phoneticPr fontId="181" type="noConversion"/>
  </si>
  <si>
    <t>제 2-4 호표 하천종단측량(1km)</t>
    <phoneticPr fontId="181" type="noConversion"/>
  </si>
  <si>
    <t>제 2-5 호표 하천횡단측량(1km)</t>
    <phoneticPr fontId="181" type="noConversion"/>
  </si>
  <si>
    <t>제 2-6 호표 지장물 및 구조물조사(1km)</t>
    <phoneticPr fontId="181" type="noConversion"/>
  </si>
  <si>
    <t>제 2-7 호표 공공측량성과심사(1식)</t>
    <phoneticPr fontId="181" type="noConversion"/>
  </si>
  <si>
    <t>&lt;산근 2-0&gt; 측량조사 수량산출</t>
    <phoneticPr fontId="181" type="noConversion"/>
  </si>
  <si>
    <t>[산근 2-1] 지형현황측량 인원산출 근거</t>
    <phoneticPr fontId="181" type="noConversion"/>
  </si>
  <si>
    <t>[산근 2-2] 수도노선측량 (1㎞당)</t>
    <phoneticPr fontId="181" type="noConversion"/>
  </si>
  <si>
    <t>[산근 2-3] 용지측량</t>
    <phoneticPr fontId="181" type="noConversion"/>
  </si>
  <si>
    <t>[산근 2-4 하천종횡단측량]</t>
    <phoneticPr fontId="181" type="noConversion"/>
  </si>
  <si>
    <t>&lt;산근 2-5&gt; 지장물 및 구조물조사(건설엔지니어링 대가 등에 관한 기준 국토교통부고시 제2021-961호)</t>
    <phoneticPr fontId="181" type="noConversion"/>
  </si>
  <si>
    <t>(산근 2-6)</t>
    <phoneticPr fontId="181" type="noConversion"/>
  </si>
  <si>
    <t>[제 3-1호표] 토질조사(점토,육상,NX기준) m당</t>
    <phoneticPr fontId="181" type="noConversion"/>
  </si>
  <si>
    <t>[제 3-2호표] 토질조사(모래,육상,NX기준,m당)</t>
    <phoneticPr fontId="181" type="noConversion"/>
  </si>
  <si>
    <t>[제 3-3호표] 토질조사(자갈,육상,NX기준,m당)</t>
    <phoneticPr fontId="181" type="noConversion"/>
  </si>
  <si>
    <t>[제 3-4호표] 토질조사(풍화암,육상,NX기준) m당</t>
    <phoneticPr fontId="181" type="noConversion"/>
  </si>
  <si>
    <t>[제 3-5호표] 토질조사(연암,육상,NX기준) m당</t>
    <phoneticPr fontId="181" type="noConversion"/>
  </si>
  <si>
    <t>[제 3-6호표] 표준관입시험(육상, 1회당, 수동)</t>
    <phoneticPr fontId="181" type="noConversion"/>
  </si>
  <si>
    <t>[제 3-7호표] 기계기구설치 · 해체(개소당, 수동30m이내)</t>
    <phoneticPr fontId="181" type="noConversion"/>
  </si>
  <si>
    <t>[제 3-8호표] 토질시험(NX기준)</t>
    <phoneticPr fontId="181" type="noConversion"/>
  </si>
  <si>
    <t>[제 3-9호표] 시추공 되메우기 (NX, 10m 당)</t>
    <phoneticPr fontId="181" type="noConversion"/>
  </si>
  <si>
    <t>[제 3-10호표] 시험굴 조사 (심도 2m이내, 개소당)</t>
    <phoneticPr fontId="181" type="noConversion"/>
  </si>
  <si>
    <t>[산근 3-0] 지반조사 수량산출</t>
    <phoneticPr fontId="204" type="noConversion"/>
  </si>
  <si>
    <t>[산근 3-1] 지반조사 단가</t>
    <phoneticPr fontId="181" type="noConversion"/>
  </si>
  <si>
    <t>산근 5-40.　보고서 인쇄비(물가자료, 2014.5월호, P347~349)</t>
    <phoneticPr fontId="187" type="noConversion"/>
  </si>
  <si>
    <t>산근 5-41.　자문비</t>
    <phoneticPr fontId="187" type="noConversion"/>
  </si>
  <si>
    <t>산근 5-42.　설명회 개최</t>
    <phoneticPr fontId="187" type="noConversion"/>
  </si>
  <si>
    <t>산근5-39.　출 장 여 비</t>
    <phoneticPr fontId="187" type="noConversion"/>
  </si>
  <si>
    <t>&lt;산근 5-1&gt; 작업계획</t>
    <phoneticPr fontId="181" type="noConversion"/>
  </si>
  <si>
    <t>&lt;산근 5-2&gt; EAP 기본정보 및 댐저수지 일반정보</t>
    <phoneticPr fontId="181" type="noConversion"/>
  </si>
  <si>
    <t>&lt;산근 5-3&gt; EAP 배포기관</t>
  </si>
  <si>
    <t>&lt;산근 5-4&gt; EAP 작성, 보완 및 갱신</t>
  </si>
  <si>
    <t>&lt;산근 5-5&gt; 하류부 하천 및 유역 개요</t>
  </si>
  <si>
    <t>&lt;산근 5-6&gt; 관련자료 조사검토</t>
  </si>
  <si>
    <t>&lt;산근 5-7&gt; 수문학적 안전성 평가</t>
  </si>
  <si>
    <t>&lt;산근 5-8&gt; 내진 안전성 평가</t>
  </si>
  <si>
    <t>&lt;산근 5-9&gt;  기초자료 조사</t>
  </si>
  <si>
    <t>&lt;산근 5-10&gt; 최근의 국·내외 댐 붕괴 사례 조사</t>
  </si>
  <si>
    <t>&lt;산근 5-11&gt; 댐 및 저수지 붕괴 시나리오 구성</t>
  </si>
  <si>
    <t>&lt;산근 5-12&gt; 시나리오에 따른 홍수량 산정(댐 유역)</t>
  </si>
  <si>
    <t>&lt;산근 5-13&gt; 시나리오에 따른 홍수량 산정(댐 하류유역)</t>
  </si>
  <si>
    <t>&lt;산근 5-14&gt; 댐 하류부 지형분석</t>
  </si>
  <si>
    <t>&lt;산근 5-15&gt; 댐 붕괴 모의 수행(1차원 해석)</t>
  </si>
  <si>
    <t>&lt;산근 5-16&gt; 댐 붕괴 모의 수행(2차원 해석)</t>
  </si>
  <si>
    <t>&lt;산근 5-17&gt; 홍수범람도 작성</t>
  </si>
  <si>
    <t>&lt;산근 5-18&gt; 주요지점별 홍수해석 결과 분석</t>
  </si>
  <si>
    <t>&lt;산근 5-19&gt; 비상상황시 정보취득 및 보고방법</t>
  </si>
  <si>
    <t>&lt;산근 5-20&gt; 비상대응기관의 책임과 임무</t>
  </si>
  <si>
    <t>&lt;산근 5-21&gt; 비상발령절차 및 상황관리체계</t>
  </si>
  <si>
    <t>&lt;산근 5-22&gt; 유관기관 협조체계</t>
  </si>
  <si>
    <t>&lt;산근 5-23&gt; 현장조사(대피장소, 대피경로 등)</t>
  </si>
  <si>
    <t>&lt;산근 5-24&gt; 주민대피</t>
  </si>
  <si>
    <t>&lt;산근 5-25&gt; 대체도로, 긴급통신, 비상급수</t>
  </si>
  <si>
    <t>&lt;산근 5-26&gt; 긴급 구조·구급</t>
  </si>
  <si>
    <t>&lt;산근 5-27&gt; 유발재난 및 2차피해 방지</t>
  </si>
  <si>
    <t>&lt;산근 5-28&gt; 시설물 응급복구</t>
  </si>
  <si>
    <t>&lt;산근 5-29&gt; 이재민수용관리</t>
  </si>
  <si>
    <t>&lt;산근 5-30&gt; 구호물자 접수·배분 및 생필품 공급</t>
  </si>
  <si>
    <t>&lt;산근 5-31&gt; 의료·청소·방역 활동</t>
  </si>
  <si>
    <t>&lt;산근 5-32&gt; 사회질서 유지 및 지역안정</t>
  </si>
  <si>
    <t>&lt;산근 5-33&gt; 자원봉사활동</t>
  </si>
  <si>
    <t>&lt;산근 5-34&gt; 훈련계획</t>
  </si>
  <si>
    <t>&lt;산근 5-35&gt; 훈련 메세지 작성</t>
  </si>
  <si>
    <t>&lt;산근 5-36&gt; EAP 보고서 작성</t>
  </si>
  <si>
    <t>&lt;산근 5-37&gt; 하류부 영향평가 및 비상대처계획 수립</t>
  </si>
  <si>
    <t>&lt;산근 5-38&gt; 비상대처계획도 작성</t>
  </si>
  <si>
    <t>&lt;제5호표&gt; 비상대처계획(방재품셈)</t>
    <phoneticPr fontId="181" type="noConversion"/>
  </si>
  <si>
    <t>(산근 4-3) (비교견적1)</t>
    <phoneticPr fontId="181" type="noConversion"/>
  </si>
  <si>
    <t>(산근 4-3) (비교견적2)</t>
    <phoneticPr fontId="181" type="noConversion"/>
  </si>
  <si>
    <t>(산근 4-2)</t>
    <phoneticPr fontId="181" type="noConversion"/>
  </si>
  <si>
    <r>
      <t xml:space="preserve">&lt;산근 </t>
    </r>
    <r>
      <rPr>
        <b/>
        <sz val="11"/>
        <rFont val="맑은 고딕"/>
        <family val="3"/>
        <charset val="129"/>
      </rPr>
      <t>4</t>
    </r>
    <r>
      <rPr>
        <b/>
        <sz val="11"/>
        <rFont val="돋음"/>
        <family val="3"/>
        <charset val="129"/>
      </rPr>
      <t>-1&gt; 설계안전성검토</t>
    </r>
    <phoneticPr fontId="181" type="noConversion"/>
  </si>
  <si>
    <t xml:space="preserve">  1) 보고서</t>
    <phoneticPr fontId="181" type="noConversion"/>
  </si>
  <si>
    <t xml:space="preserve">  2) 보고자료 (PPT, 요약자료)</t>
    <phoneticPr fontId="181" type="noConversion"/>
  </si>
  <si>
    <t>4.354km</t>
    <phoneticPr fontId="181" type="noConversion"/>
  </si>
  <si>
    <t>* 진도 석교천 마스터플랜</t>
    <phoneticPr fontId="181" type="noConversion"/>
  </si>
  <si>
    <t>-</t>
    <phoneticPr fontId="181" type="noConversion"/>
  </si>
  <si>
    <t>295㎥/min</t>
    <phoneticPr fontId="181" type="noConversion"/>
  </si>
  <si>
    <t>· 공사비 × 10%</t>
    <phoneticPr fontId="181" type="noConversion"/>
  </si>
  <si>
    <t>· 공사비 × 12%</t>
    <phoneticPr fontId="181" type="noConversion"/>
  </si>
  <si>
    <t>1개소</t>
    <phoneticPr fontId="181" type="noConversion"/>
  </si>
  <si>
    <t>금 액(만원)</t>
    <phoneticPr fontId="181" type="noConversion"/>
  </si>
  <si>
    <t>석교천 하천기본계획을 최대한 이용</t>
    <phoneticPr fontId="181" type="noConversion"/>
  </si>
  <si>
    <t>마스터플랜 및 기본계획</t>
    <phoneticPr fontId="181" type="noConversion"/>
  </si>
  <si>
    <t>펌프장 부지 추정</t>
    <phoneticPr fontId="181" type="noConversion"/>
  </si>
  <si>
    <t xml:space="preserve"> -. 배수갑문</t>
    <phoneticPr fontId="204" type="noConversion"/>
  </si>
  <si>
    <t>필요시</t>
    <phoneticPr fontId="181" type="noConversion"/>
  </si>
  <si>
    <t>*교량 1개당 3공 적용</t>
    <phoneticPr fontId="181" type="noConversion"/>
  </si>
  <si>
    <t>(하천 500m당 1공+교량(1개, 3공))</t>
    <phoneticPr fontId="181" type="noConversion"/>
  </si>
  <si>
    <t>&lt;제1호표&gt; 방재품셈</t>
    <phoneticPr fontId="181" type="noConversion"/>
  </si>
  <si>
    <t>▩ 복사 및 인쇄비</t>
    <phoneticPr fontId="181" type="noConversion"/>
  </si>
  <si>
    <t>침수방지대책 마스터플랜 및 기본계획 
직접인건비</t>
    <phoneticPr fontId="181" type="noConversion"/>
  </si>
  <si>
    <t>(산근 3-1)</t>
    <phoneticPr fontId="243" type="noConversion"/>
  </si>
  <si>
    <t>엔지니어링 손해배상보험 또는 공제 업무처리 요령[시행 2017. 5. 18.] [산업통상자원부고시 제2017-69호, 2017. 5. 18., 일부개정]</t>
    <phoneticPr fontId="181" type="noConversion"/>
  </si>
  <si>
    <r>
      <t xml:space="preserve">제2조(적용범위 등) 이 업무처리 요령은 「엔지니어링산업 진흥법」(이하 "법"이라 한다) 제2조제7호 및 영 제5조의 </t>
    </r>
    <r>
      <rPr>
        <b/>
        <u/>
        <sz val="9"/>
        <color rgb="FF0000FF"/>
        <rFont val="돋움"/>
        <family val="3"/>
        <charset val="129"/>
      </rPr>
      <t xml:space="preserve">발주청이 시행하는 </t>
    </r>
    <phoneticPr fontId="181" type="noConversion"/>
  </si>
  <si>
    <r>
      <rPr>
        <b/>
        <u/>
        <sz val="9"/>
        <color rgb="FF0000FF"/>
        <rFont val="돋움"/>
        <family val="3"/>
        <charset val="129"/>
      </rPr>
      <t>엔지니어링사업</t>
    </r>
    <r>
      <rPr>
        <sz val="9"/>
        <color rgb="FF000000"/>
        <rFont val="돋움"/>
        <family val="3"/>
        <charset val="129"/>
      </rPr>
      <t>에 대하여 적용한다. 다만, 「건설기술관리법」이나 그 밖의 법률에 다른 규정이 있는 경우에는 그 법률에서 정하는 바에 따른다.</t>
    </r>
    <phoneticPr fontId="181" type="noConversion"/>
  </si>
  <si>
    <t>표준공사기간
(년)</t>
    <phoneticPr fontId="181" type="noConversion"/>
  </si>
  <si>
    <t>하수도
건설공사</t>
    <phoneticPr fontId="243" type="noConversion"/>
  </si>
  <si>
    <r>
      <rPr>
        <sz val="11"/>
        <rFont val="맑은 고딕"/>
        <family val="3"/>
        <charset val="129"/>
      </rPr>
      <t>&lt;</t>
    </r>
    <r>
      <rPr>
        <sz val="11"/>
        <rFont val="돋음"/>
        <family val="3"/>
        <charset val="129"/>
      </rPr>
      <t xml:space="preserve">산근 </t>
    </r>
    <r>
      <rPr>
        <sz val="11"/>
        <rFont val="맑은 고딕"/>
        <family val="3"/>
        <charset val="129"/>
      </rPr>
      <t>3</t>
    </r>
    <r>
      <rPr>
        <sz val="11"/>
        <rFont val="돋음"/>
        <family val="3"/>
        <charset val="129"/>
      </rPr>
      <t>-</t>
    </r>
    <r>
      <rPr>
        <sz val="11"/>
        <rFont val="맑은 고딕"/>
        <family val="3"/>
        <charset val="129"/>
      </rPr>
      <t>1&gt;</t>
    </r>
    <phoneticPr fontId="243" type="noConversion"/>
  </si>
  <si>
    <t>&lt;산근 4)&gt;</t>
    <phoneticPr fontId="181" type="noConversion"/>
  </si>
  <si>
    <t>공제가입기간</t>
    <phoneticPr fontId="241" type="noConversion"/>
  </si>
  <si>
    <t>금회계약기간</t>
    <phoneticPr fontId="241" type="noConversion"/>
  </si>
  <si>
    <t>=1단계 + 2단계 : 계약기간 1년 + 사업 완료 후 1년</t>
    <phoneticPr fontId="181" type="noConversion"/>
  </si>
  <si>
    <t>초  과  일  수</t>
    <phoneticPr fontId="181" type="noConversion"/>
  </si>
  <si>
    <t>=용역계약기간</t>
    <phoneticPr fontId="181" type="noConversion"/>
  </si>
  <si>
    <t>산근1-1</t>
    <phoneticPr fontId="181" type="noConversion"/>
  </si>
  <si>
    <t>산근1-3</t>
  </si>
  <si>
    <t>산근1-4</t>
  </si>
  <si>
    <t>산근1-5</t>
  </si>
  <si>
    <t>산근1-6</t>
  </si>
  <si>
    <t>산근1-7</t>
  </si>
  <si>
    <t>산근1-8</t>
  </si>
  <si>
    <t>산근1-9</t>
  </si>
  <si>
    <t>산근1-10</t>
  </si>
  <si>
    <t>산근1-11</t>
  </si>
  <si>
    <t>산근1-12</t>
  </si>
  <si>
    <t>산근1-13</t>
  </si>
  <si>
    <t>산근1-14</t>
  </si>
  <si>
    <t>산근1-15</t>
  </si>
  <si>
    <t>산근1-21</t>
  </si>
  <si>
    <t>산근1-22</t>
  </si>
  <si>
    <t>산근1-23</t>
  </si>
  <si>
    <t>산근1-24</t>
  </si>
  <si>
    <t>산근1-62</t>
  </si>
  <si>
    <t>산근1-63</t>
  </si>
  <si>
    <t>산근1-71</t>
  </si>
  <si>
    <t xml:space="preserve">  요약보고서</t>
    <phoneticPr fontId="181" type="noConversion"/>
  </si>
  <si>
    <t>공표 : 한국엔지니어링협회
적용 : 2026년 1월 1일부터
1일 8시간기준
월평균근무일수 : 20.3일</t>
    <phoneticPr fontId="181" type="noConversion"/>
  </si>
  <si>
    <t>엔지니어링 2026년 노임단가(건설)</t>
    <phoneticPr fontId="181" type="noConversion"/>
  </si>
  <si>
    <t xml:space="preserve">  합             계</t>
    <phoneticPr fontId="181" type="noConversion"/>
  </si>
  <si>
    <t>10부 적용</t>
    <phoneticPr fontId="181" type="noConversion"/>
  </si>
  <si>
    <t>■ 침수방지대책 기본계획 (기준소요인력, 방재분야 표준품셈(행정안전부고시 제2024-83호, 2024.10.28.))</t>
    <phoneticPr fontId="181" type="noConversion"/>
  </si>
  <si>
    <t xml:space="preserve"> 나. 관련자료 조사 및 검토</t>
    <phoneticPr fontId="181" type="noConversion"/>
  </si>
  <si>
    <t xml:space="preserve"> 다. 피해현황 및 원인분석</t>
    <phoneticPr fontId="181" type="noConversion"/>
  </si>
  <si>
    <t xml:space="preserve"> 라. 정비계획수립</t>
    <phoneticPr fontId="181" type="noConversion"/>
  </si>
  <si>
    <t xml:space="preserve"> 마. 성과품 작성</t>
    <phoneticPr fontId="181" type="noConversion"/>
  </si>
  <si>
    <t xml:space="preserve">  1) 기본계획 보고서</t>
    <phoneticPr fontId="181" type="noConversion"/>
  </si>
  <si>
    <t xml:space="preserve">  2) 중간 및 최종 보고자료 작성 (PPT)</t>
    <phoneticPr fontId="181" type="noConversion"/>
  </si>
  <si>
    <t>■ 침수방지대책 기본계획 (적용수량)</t>
    <phoneticPr fontId="181" type="noConversion"/>
  </si>
  <si>
    <t>침수방지대책 기본계획  직접인건비</t>
    <phoneticPr fontId="181" type="noConversion"/>
  </si>
  <si>
    <r>
      <t xml:space="preserve"> 5) 중간 및 최종 보고자료 작성 보정계수(</t>
    </r>
    <r>
      <rPr>
        <b/>
        <sz val="11"/>
        <color rgb="FF000000"/>
        <rFont val="Calibri"/>
        <family val="2"/>
      </rPr>
      <t>α18</t>
    </r>
    <r>
      <rPr>
        <b/>
        <sz val="11"/>
        <color rgb="FF000000"/>
        <rFont val="맑은 고딕"/>
        <family val="3"/>
        <charset val="129"/>
      </rPr>
      <t>)</t>
    </r>
    <phoneticPr fontId="181" type="noConversion"/>
  </si>
  <si>
    <t>평택시</t>
    <phoneticPr fontId="181" type="noConversion"/>
  </si>
  <si>
    <r>
      <t>4) 펌프용량에 따른 보정계수(</t>
    </r>
    <r>
      <rPr>
        <b/>
        <sz val="11"/>
        <color rgb="FF000000"/>
        <rFont val="Calibri"/>
        <family val="3"/>
        <charset val="161"/>
      </rPr>
      <t>α</t>
    </r>
    <r>
      <rPr>
        <b/>
        <sz val="11"/>
        <color rgb="FF000000"/>
        <rFont val="맑은 고딕"/>
        <family val="3"/>
        <charset val="129"/>
      </rPr>
      <t>5)</t>
    </r>
    <phoneticPr fontId="181" type="noConversion"/>
  </si>
  <si>
    <r>
      <t xml:space="preserve"> 5) 도시화율에 따른 보정계수(</t>
    </r>
    <r>
      <rPr>
        <b/>
        <sz val="11"/>
        <color rgb="FF000000"/>
        <rFont val="Calibri"/>
        <family val="2"/>
      </rPr>
      <t>α</t>
    </r>
    <r>
      <rPr>
        <b/>
        <sz val="11"/>
        <color rgb="FF000000"/>
        <rFont val="맑은 고딕"/>
        <family val="3"/>
        <charset val="129"/>
      </rPr>
      <t>7)</t>
    </r>
    <phoneticPr fontId="181" type="noConversion"/>
  </si>
  <si>
    <t>&lt;산근 1-2&gt; 관련자료 조사</t>
    <phoneticPr fontId="181" type="noConversion"/>
  </si>
  <si>
    <t>&lt;산근 1-3&gt; 관련계획 검토</t>
    <phoneticPr fontId="181" type="noConversion"/>
  </si>
  <si>
    <t>&lt;산근 1-5&gt; 수리, 수문조사</t>
    <phoneticPr fontId="181" type="noConversion"/>
  </si>
  <si>
    <t>&lt;산근 1-6&gt; 강우분석</t>
    <phoneticPr fontId="181" type="noConversion"/>
  </si>
  <si>
    <t>&lt;산근 1-7&gt; 유출분석</t>
    <phoneticPr fontId="181" type="noConversion"/>
  </si>
  <si>
    <t>&lt;산근 1-8&gt;  홍수위산정</t>
    <phoneticPr fontId="181" type="noConversion"/>
  </si>
  <si>
    <t>&lt;산근 1-9&gt; 범람해석(2차원 시뮬레이션)</t>
    <phoneticPr fontId="181" type="noConversion"/>
  </si>
  <si>
    <t>&lt;산근 1-10&gt; 피해원인분석</t>
    <phoneticPr fontId="181" type="noConversion"/>
  </si>
  <si>
    <t>&lt;산근 1-11&gt; 침수위험지구(하천재해)</t>
    <phoneticPr fontId="181" type="noConversion"/>
  </si>
  <si>
    <t>&lt;산근 1-12&gt; 침수위험지구(내수재해)</t>
    <phoneticPr fontId="181" type="noConversion"/>
  </si>
  <si>
    <t>&lt;산근 1-13&gt; 유실위험지구</t>
    <phoneticPr fontId="181" type="noConversion"/>
  </si>
  <si>
    <t>&lt;산근 1-14&gt; 고립위험지구</t>
    <phoneticPr fontId="181" type="noConversion"/>
  </si>
  <si>
    <t>&lt;산근 1-15&gt; 하천, 소하천시설물</t>
    <phoneticPr fontId="181" type="noConversion"/>
  </si>
  <si>
    <t>&lt;산근 1-16&gt; 배수펌프장 및 유수지</t>
    <phoneticPr fontId="181" type="noConversion"/>
  </si>
  <si>
    <t>&lt;산근 1-17&gt; 우수관로</t>
    <phoneticPr fontId="181" type="noConversion"/>
  </si>
  <si>
    <t>&lt;산근 1-18&gt; 우수유출저감시설</t>
    <phoneticPr fontId="181" type="noConversion"/>
  </si>
  <si>
    <t>마. 보고자료 및 직접경비</t>
    <phoneticPr fontId="181" type="noConversion"/>
  </si>
  <si>
    <t>&lt;산근 1-19&gt; 기본계획 보고서</t>
    <phoneticPr fontId="181" type="noConversion"/>
  </si>
  <si>
    <t>&lt;산근 1-20&gt; PPT 자료 등 작성</t>
    <phoneticPr fontId="181" type="noConversion"/>
  </si>
  <si>
    <t>&lt;산근 1-21&gt; 직접경비</t>
    <phoneticPr fontId="181" type="noConversion"/>
  </si>
  <si>
    <t xml:space="preserve"> 아. 성과품 작성</t>
    <phoneticPr fontId="181" type="noConversion"/>
  </si>
  <si>
    <t>침수방지대책 기본계획</t>
    <phoneticPr fontId="181" type="noConversion"/>
  </si>
  <si>
    <t>2026년</t>
    <phoneticPr fontId="181" type="noConversion"/>
  </si>
  <si>
    <t xml:space="preserve">유역면적(km2)^0.30  = </t>
    <phoneticPr fontId="181" type="noConversion"/>
  </si>
  <si>
    <t>기수립 등 관련자료 활용</t>
    <phoneticPr fontId="181" type="noConversion"/>
  </si>
  <si>
    <t>공급원가(천원단위 이하 절사)</t>
    <phoneticPr fontId="181" type="noConversion"/>
  </si>
  <si>
    <t>용역대가 조정</t>
    <phoneticPr fontId="181" type="noConversion"/>
  </si>
  <si>
    <t>침수방지대책 기본계획 1식(침수방지시설 최적대안 검토 등)</t>
    <phoneticPr fontId="188" type="noConversion"/>
  </si>
  <si>
    <t>통복천 유역 침수방지대책 타당성 조사 및 기본계획 수립 용역</t>
    <phoneticPr fontId="181" type="noConversion"/>
  </si>
  <si>
    <t xml:space="preserve">2026.10.   </t>
    <phoneticPr fontId="181" type="noConversion"/>
  </si>
  <si>
    <t>담 당 자</t>
    <phoneticPr fontId="187" type="noConversion"/>
  </si>
  <si>
    <t>팀   장</t>
    <phoneticPr fontId="187" type="noConversion"/>
  </si>
  <si>
    <t>안전건설교통국
안전총괄과</t>
    <phoneticPr fontId="1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</si>
</sst>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4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&quot;₩&quot;&quot;₩&quot;&quot;₩&quot;&quot;₩&quot;&quot;₩&quot;&quot;₩&quot;&quot;₩&quot;&quot;₩&quot;&quot;₩&quot;&quot;₩&quot;\-#,##0_ ;_ * &quot;-&quot;_ ;_ @_ "/>
    <numFmt numFmtId="177" formatCode="#,##0_ "/>
    <numFmt numFmtId="178" formatCode="0.0"/>
    <numFmt numFmtId="179" formatCode="_-* #,##0.0_-;\-* #,##0.0_-;_-* &quot;-&quot;_-;_-@_-"/>
    <numFmt numFmtId="180" formatCode="0.000"/>
    <numFmt numFmtId="181" formatCode="_-* #,##0.000_-;\-* #,##0.000_-;_-* &quot;-&quot;_-;_-@_-"/>
    <numFmt numFmtId="182" formatCode="#,##0.00_ "/>
    <numFmt numFmtId="183" formatCode="_-* #,##0.00_-;\-* #,##0.00_-;_-* &quot;-&quot;_-;_-@_-"/>
    <numFmt numFmtId="184" formatCode="0.0_ "/>
    <numFmt numFmtId="185" formatCode="0.00_ "/>
    <numFmt numFmtId="186" formatCode="0.00_);[Red]\(0.00\)"/>
    <numFmt numFmtId="187" formatCode="_-* #,##0_-;\-* #,##0_-;_-* &quot;-&quot;??_-;_-@_-"/>
    <numFmt numFmtId="188" formatCode="_ * #,##0_ ;_ * \-#,##0_ ;_ * &quot;-&quot;_ ;_ @_ "/>
    <numFmt numFmtId="189" formatCode="0_ "/>
    <numFmt numFmtId="190" formatCode="#,##0_);[Red]\(#,##0\)"/>
    <numFmt numFmtId="19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2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3" formatCode="mm&quot;월&quot;\ dd&quot;일&quot;"/>
    <numFmt numFmtId="194" formatCode="_-* #,##0.0_-;\-* #,##0.0_-;_-* &quot;-&quot;??_-;_-@_-"/>
    <numFmt numFmtId="195" formatCode="#,##0.00_);[Red]\(#,##0.00\)"/>
    <numFmt numFmtId="196" formatCode="_ &quot;₩&quot;* #,##0_ ;_ &quot;₩&quot;* \-#,##0_ ;_ &quot;₩&quot;* &quot;-&quot;_ ;_ @_ "/>
    <numFmt numFmtId="197" formatCode="_ &quot;₩&quot;* #,##0.00_ ;_ &quot;₩&quot;* \-#,##0.00_ ;_ &quot;₩&quot;* &quot;-&quot;??_ ;_ @_ "/>
    <numFmt numFmtId="198" formatCode="_ * #,##0.00_ ;_ * \-#,##0.00_ ;_ * &quot;-&quot;??_ ;_ @_ "/>
    <numFmt numFmtId="199" formatCode="#,##0.000"/>
    <numFmt numFmtId="200" formatCode="#,##0;\-#,##0;&quot;-&quot;"/>
    <numFmt numFmtId="201" formatCode="#,##0.0000;\(#,##0.0000\);\ &quot;-&quot;\ "/>
    <numFmt numFmtId="202" formatCode="_ * #,##0_ ;_ * &quot;₩&quot;&quot;₩&quot;&quot;₩&quot;\-#,##0_ ;_ * &quot;-&quot;_ ;_ @_ "/>
    <numFmt numFmtId="203" formatCode="0.00000"/>
    <numFmt numFmtId="204" formatCode="_ &quot;₩&quot;* #,##0.00_ ;_ &quot;₩&quot;* &quot;₩&quot;&quot;₩&quot;&quot;₩&quot;&quot;₩&quot;\-#,##0.00_ ;_ &quot;₩&quot;* &quot;-&quot;??_ ;_ @_ "/>
    <numFmt numFmtId="205" formatCode="yy&quot;년&quot;\ mm&quot;월&quot;\ dd&quot;일&quot;\ \ &quot;현재&quot;"/>
    <numFmt numFmtId="206" formatCode="0.##"/>
    <numFmt numFmtId="207" formatCode="#,##0.0000\ ;\(#,##0.0000\)"/>
    <numFmt numFmtId="208" formatCode="&quot;$&quot;#,##0.00;&quot;$&quot;\-#,##0.00"/>
    <numFmt numFmtId="209" formatCode="#,##0.0;\(#,##0.0\);\ &quot;-&quot;\ "/>
    <numFmt numFmtId="210" formatCode="_-[$€-2]* #,##0.00_-;\-[$€-2]* #,##0.00_-;_-[$€-2]* &quot;-&quot;??_-"/>
    <numFmt numFmtId="211" formatCode="0.00000%"/>
    <numFmt numFmtId="212" formatCode="&quot;$&quot;#,##0;[Red]&quot;$&quot;\-#,##0"/>
    <numFmt numFmtId="213" formatCode="&quot;A$&quot;\ #,##0.0;&quot;$&quot;\-#,##0.0"/>
    <numFmt numFmtId="214" formatCode="&quot;$&quot;#,##0;&quot;$&quot;\-#,##0"/>
    <numFmt numFmtId="215" formatCode="&quot;$&quot;#,##0;&quot;$&quot;&quot;$&quot;&quot;$&quot;&quot;$&quot;\-#,##0"/>
    <numFmt numFmtId="216" formatCode="#."/>
    <numFmt numFmtId="217" formatCode="_(&quot;RM&quot;* #,##0.00_);_(&quot;RM&quot;* \(#,##0.00\);_(&quot;RM&quot;* &quot;-&quot;??_);_(@_)"/>
    <numFmt numFmtId="218" formatCode="&quot;US$&quot;#,##0_);\(&quot;US$&quot;#,##0\)"/>
    <numFmt numFmtId="219" formatCode="#,##0.0"/>
    <numFmt numFmtId="220" formatCode="0.0%"/>
    <numFmt numFmtId="221" formatCode="#,##0;[Red]&quot;-&quot;#,##0"/>
    <numFmt numFmtId="222" formatCode="&quot;  &quot;@"/>
    <numFmt numFmtId="223" formatCode="#,##0;&quot;-&quot;#,##0"/>
    <numFmt numFmtId="224" formatCode="&quot;*&quot;#,##0\ &quot;일 (월)&quot;\ \ "/>
    <numFmt numFmtId="225" formatCode="&quot;?#,##0.00;\-&quot;&quot;?&quot;#,##0.00"/>
    <numFmt numFmtId="226" formatCode="&quot;$&quot;#,##0;[Red]&quot;$&quot;&quot;$&quot;&quot;$&quot;&quot;$&quot;\-#,##0"/>
    <numFmt numFmtId="227" formatCode="&quot;US$&quot;#,##0_);[Red]\(&quot;US$&quot;#,##0\)"/>
    <numFmt numFmtId="228" formatCode="_-* #,##0_-;&quot;₩&quot;\!\!\-* #,##0_-;_-* &quot;-&quot;_-;_-@_-"/>
    <numFmt numFmtId="229" formatCode="#,##0\ ;[Red]&quot;-&quot;#,##0\ "/>
    <numFmt numFmtId="230" formatCode="#,###\ \ "/>
    <numFmt numFmtId="231" formatCode="_-* #,##0.00_-;&quot;$&quot;&quot;$&quot;\-* #,##0.00_-;_-* &quot;-&quot;??_-;_-@_-"/>
    <numFmt numFmtId="232" formatCode="&quot;$&quot;#,##0_);\(&quot;$&quot;#,##0\)"/>
    <numFmt numFmtId="233" formatCode="&quot;$&quot;#,##0.00;&quot;$&quot;&quot;$&quot;&quot;$&quot;&quot;$&quot;\-#,##0.00"/>
    <numFmt numFmtId="234" formatCode="&quot;₩&quot;\!\$#\!\,##0_);[Red]&quot;₩&quot;\!\(&quot;₩&quot;\!\$#\!\,##0&quot;₩&quot;\!\)"/>
    <numFmt numFmtId="235" formatCode="General_)"/>
    <numFmt numFmtId="236" formatCode="0.0_)"/>
    <numFmt numFmtId="237" formatCode="#,##0;\-#,##0.00"/>
    <numFmt numFmtId="238" formatCode="#\!\,##0;&quot;₩&quot;\!\-#\!\,##0\!.00"/>
    <numFmt numFmtId="239" formatCode="_-&quot;$&quot;* #,##0_-;\-&quot;$&quot;* #,##0_-;_-&quot;$&quot;* &quot;-&quot;_-;_-@_-"/>
    <numFmt numFmtId="240" formatCode="&quot;₩&quot;#,##0;&quot;₩&quot;\-#,##0"/>
    <numFmt numFmtId="241" formatCode="0.0000"/>
    <numFmt numFmtId="242" formatCode="0.0_);[Red]\(0.0\)"/>
    <numFmt numFmtId="243" formatCode="#,##0.000_ "/>
    <numFmt numFmtId="244" formatCode="&quot;₩&quot;#,##0;&quot;₩&quot;&quot;₩&quot;\-#,##0"/>
    <numFmt numFmtId="245" formatCode="#,##0.0;[Red]#,##0.0;&quot; &quot;"/>
    <numFmt numFmtId="246" formatCode="0.0000%"/>
    <numFmt numFmtId="247" formatCode="#,##0.0000"/>
    <numFmt numFmtId="248" formatCode="#,##0.00;[Red]#,##0.00;&quot; &quot;"/>
    <numFmt numFmtId="249" formatCode="&quot;Fr.&quot;\ #,##0;[Red]&quot;Fr.&quot;\ \-#,##0"/>
    <numFmt numFmtId="250" formatCode="&quot;Fr.&quot;\ #,##0.00;[Red]&quot;Fr.&quot;\ \-#,##0.00"/>
    <numFmt numFmtId="251" formatCode="_*\ ??_-"/>
    <numFmt numFmtId="252" formatCode="_-* #,##0;\-* #,##0;_-* &quot;-&quot;;_-@"/>
    <numFmt numFmtId="253" formatCode="_ * #,##0_ ;_ * &quot;₩&quot;&quot;₩&quot;&quot;₩&quot;&quot;₩&quot;\-#,##0_ ;_ * &quot;-&quot;_ ;_ @_ "/>
    <numFmt numFmtId="254" formatCode="\ "/>
    <numFmt numFmtId="255" formatCode="&quot;₩&quot;#,##0.00;[Red]&quot;₩&quot;&quot;₩&quot;\!\-#,##0.00"/>
    <numFmt numFmtId="256" formatCode="#.00"/>
    <numFmt numFmtId="257" formatCode="_-&quot;₩&quot;* #,##0.00_-;\!\-&quot;₩&quot;* #,##0.00_-;_-&quot;₩&quot;* &quot;-&quot;??_-;_-@_-"/>
    <numFmt numFmtId="258" formatCode="#,##0.00;[Red]&quot;-&quot;#,##0.00"/>
    <numFmt numFmtId="259" formatCode="\&lt;#,##0\&gt;"/>
    <numFmt numFmtId="260" formatCode="&quot;₩&quot;#,##0.00;[Red]&quot;₩&quot;\-#,##0.00"/>
    <numFmt numFmtId="261" formatCode="&quot;₩&quot;#,##0;[Red]&quot;₩&quot;\-#,##0"/>
    <numFmt numFmtId="262" formatCode="%#.00"/>
    <numFmt numFmtId="263" formatCode="#,##0."/>
    <numFmt numFmtId="264" formatCode="_-* #,##0&quot;₩&quot;\ _D_M_-;&quot;₩&quot;\-* #,##0&quot;₩&quot;\ _D_M_-;_-* &quot;-&quot;&quot;₩&quot;\ _D_M_-;_-@_-"/>
    <numFmt numFmtId="265" formatCode="* #,##0.0"/>
    <numFmt numFmtId="266" formatCode="#,##0.00000"/>
    <numFmt numFmtId="267" formatCode="_ * #,##0_ ;_ * &quot;₩&quot;\-#,##0_ ;_ * &quot;-&quot;??_ ;_ @_ "/>
    <numFmt numFmtId="268" formatCode="0.0%;[Red]&quot;△&quot;0.0%"/>
    <numFmt numFmtId="269" formatCode="0.00000000"/>
    <numFmt numFmtId="270" formatCode="&quot;$&quot;#,##0.00_);[Red]\(&quot;$&quot;#,##0.00\)"/>
    <numFmt numFmtId="271" formatCode="&quot;₩&quot;#,##0.00;&quot;₩&quot;\-#,##0.00"/>
    <numFmt numFmtId="272" formatCode="&quot;$&quot;#,##0.00;;"/>
    <numFmt numFmtId="273" formatCode="0\ &quot;EA&quot;"/>
    <numFmt numFmtId="274" formatCode="\$#.00"/>
    <numFmt numFmtId="275" formatCode="\$#."/>
    <numFmt numFmtId="276" formatCode="_ * #,##0_ ;_ * &quot;₩&quot;&quot;₩&quot;&quot;₩&quot;&quot;₩&quot;&quot;₩&quot;\-#,##0_ ;_ * &quot;-&quot;_ ;_ @_ "/>
    <numFmt numFmtId="277" formatCode="_-* #,##0.00_-;\!\-* #,##0.00_-;_-* &quot;-&quot;??_-;_-@_-"/>
    <numFmt numFmtId="278" formatCode="###,###,"/>
    <numFmt numFmtId="279" formatCode="\!\$#,##0_);[Red]\!\(\!\$#,##0\!\)"/>
    <numFmt numFmtId="280" formatCode="_-* #,##0_-;\!\-* #,##0_-;_-* &quot;-&quot;_-;_-@_-"/>
    <numFmt numFmtId="281" formatCode="\!\$#,##0.00_);\!\(\!\$#,##0.00\!\)"/>
    <numFmt numFmtId="282" formatCode="\!\$#,##0.00_);[Red]\!\(\!\$#,##0.00\!\)"/>
    <numFmt numFmtId="283" formatCode="&quot;₩&quot;#,##0.00;[Red]\!\-&quot;₩&quot;#,##0.00"/>
    <numFmt numFmtId="284" formatCode="&quot;$&quot;#,##0.00"/>
    <numFmt numFmtId="285" formatCode="_ &quot;₩&quot;* #,##0.0000000_ ;_ &quot;₩&quot;* &quot;₩&quot;\-#,##0.0000000_ ;_ &quot;₩&quot;* &quot;-&quot;??_ ;_ @_ "/>
    <numFmt numFmtId="286" formatCode="#,##0;[Red]&quot;△&quot;#,##0"/>
    <numFmt numFmtId="287" formatCode="0\ &quot;t&quot;"/>
    <numFmt numFmtId="288" formatCode="_ * #,##0.000000_ ;_ * &quot;₩&quot;\-#,##0.000000_ ;_ * &quot;-&quot;??_ ;_ @_ "/>
    <numFmt numFmtId="289" formatCode=";;;"/>
    <numFmt numFmtId="290" formatCode="&quot;₩&quot;#,##0;\!\-&quot;₩&quot;#,##0"/>
    <numFmt numFmtId="291" formatCode="&quot;₩&quot;#,##0;[Red]\!\-&quot;₩&quot;#,##0"/>
    <numFmt numFmtId="292" formatCode="&quot;₩&quot;#,##0.00;\!\-&quot;₩&quot;#,##0.00"/>
    <numFmt numFmtId="293" formatCode="_ &quot;SFr.&quot;* #,##0_ ;_ &quot;SFr.&quot;* &quot;₩&quot;&quot;₩&quot;&quot;₩&quot;&quot;₩&quot;&quot;₩&quot;&quot;₩&quot;&quot;₩&quot;&quot;₩&quot;&quot;₩&quot;&quot;₩&quot;&quot;₩&quot;&quot;₩&quot;&quot;₩&quot;\-#,##0_ ;_ &quot;SFr.&quot;* &quot;-&quot;_ ;_ @_ "/>
    <numFmt numFmtId="294" formatCode="[Red]#,##0"/>
    <numFmt numFmtId="295" formatCode="[Red]#,##0.00"/>
    <numFmt numFmtId="296" formatCode="[Red]#,##0.000"/>
    <numFmt numFmtId="297" formatCode=";\ ;\ ;"/>
    <numFmt numFmtId="298" formatCode="0.00\ &quot;)&quot;"/>
    <numFmt numFmtId="299" formatCode="0.00\ &quot;)]&quot;"/>
    <numFmt numFmtId="300" formatCode="_ &quot;₩&quot;* #,##0.00_ ;_ &quot;₩&quot;* &quot;₩&quot;&quot;₩&quot;&quot;₩&quot;&quot;₩&quot;&quot;₩&quot;&quot;₩&quot;&quot;₩&quot;&quot;₩&quot;\-#,##0.00_ ;_ &quot;₩&quot;* &quot;-&quot;??_ ;_ @_ "/>
    <numFmt numFmtId="301" formatCode="&quot;$&quot;#,##0.00_);\(&quot;$&quot;#,##0.00\)"/>
    <numFmt numFmtId="302" formatCode="0.000\ &quot;²&quot;"/>
    <numFmt numFmtId="303" formatCode="&quot;(&quot;\ 0.00"/>
    <numFmt numFmtId="304" formatCode="&quot;[(&quot;\ 0.00"/>
    <numFmt numFmtId="305" formatCode="_-#,##0;\-#,##0;&quot;-&quot;_-;_-@_-"/>
    <numFmt numFmtId="306" formatCode="\$#,##0.00;\(\$#,##0.00\)"/>
    <numFmt numFmtId="307" formatCode="\$#,##0;\(\$#,##0\)"/>
    <numFmt numFmtId="308" formatCode="#,##0;\(#,##0\)"/>
    <numFmt numFmtId="309" formatCode="* #,##0\ ;[Red]* &quot;-&quot;#,##0\ "/>
    <numFmt numFmtId="310" formatCode="#,##0.####;[Red]&quot;-&quot;#,##0.####"/>
    <numFmt numFmtId="311" formatCode="#,##0.0###\ ;[Red]&quot;-&quot;#,##0.0###\ "/>
    <numFmt numFmtId="312" formatCode="0_);\(0\)"/>
    <numFmt numFmtId="313" formatCode="@\ &quot;주임&quot;"/>
    <numFmt numFmtId="314" formatCode="&quot;R$&quot;#,##0.00;&quot;R$&quot;\-#,##0.00"/>
    <numFmt numFmtId="315" formatCode="_-&quot;₩&quot;* #,##0_-;\!\-&quot;₩&quot;* #,##0_-;_-&quot;₩&quot;* &quot;-&quot;_-;_-@_-"/>
    <numFmt numFmtId="316" formatCode="&quot;₩&quot;#,##0;[Red]&quot;₩&quot;\!\-&quot;₩&quot;#,##0"/>
    <numFmt numFmtId="317" formatCode="_-* #,##0_-;&quot;₩&quot;&quot;₩&quot;\!\!\-* #,##0_-;_-* &quot;-&quot;_-;_-@_-"/>
    <numFmt numFmtId="318" formatCode="#,##0&quot;칸&quot;"/>
    <numFmt numFmtId="319" formatCode="_ &quot;₩&quot;* #,##0_ ;_ &quot;₩&quot;* \-#,##0_ ;_ &quot;₩&quot;* \-_ ;_ @_ "/>
    <numFmt numFmtId="320" formatCode="_ &quot;₩&quot;* #,##0.00_ ;_ &quot;₩&quot;* \-#,##0.00_ ;_ &quot;₩&quot;* \-??_ ;_ @_ "/>
    <numFmt numFmtId="321" formatCode="_ * #,##0_ ;_ * \-#,##0_ ;_ * \-_ ;_ @_ "/>
    <numFmt numFmtId="322" formatCode="_ * #,##0.00_ ;_ * \-#,##0.00_ ;_ * \-??_ ;_ @_ "/>
    <numFmt numFmtId="323" formatCode="&quot;도급대비&quot;0.00%"/>
    <numFmt numFmtId="324" formatCode="_ &quot;?&quot;* #,##0_ ;_ &quot;?&quot;* \-#,##0_ ;_ &quot;?&quot;* &quot;-&quot;_ ;_ @_ "/>
    <numFmt numFmtId="325" formatCode="_ &quot;?&quot;* #,##0.00_ ;_ &quot;?&quot;* \-#,##0.00_ ;_ &quot;?&quot;* &quot;-&quot;??_ ;_ @_ "/>
    <numFmt numFmtId="326" formatCode="#,##0.0_);\(#,##0.0\)"/>
    <numFmt numFmtId="327" formatCode="_(* #,##0.0000_);_(* \(#,##0.0000\);_(* &quot;-&quot;??_);_(@_)"/>
    <numFmt numFmtId="328" formatCode="#,##0.00&quot;£&quot;_);[Red]\(#,##0.00&quot;£&quot;\)"/>
    <numFmt numFmtId="329" formatCode="_ * #,##0_)&quot;£&quot;_ ;_ * \(#,##0\)&quot;£&quot;_ ;_ * &quot;-&quot;_)&quot;£&quot;_ ;_ @_ "/>
    <numFmt numFmtId="330" formatCode="_(&quot;$&quot;* #,##0.00_);_(&quot;$&quot;* \(#,##0.00\);_(&quot;$&quot;* &quot;-&quot;??_);_(@_)"/>
    <numFmt numFmtId="331" formatCode="0.0%;\(0.0%\)"/>
    <numFmt numFmtId="332" formatCode="0.00;[Red]0.00"/>
    <numFmt numFmtId="333" formatCode="\ 0.00"/>
    <numFmt numFmtId="334" formatCode="&quot;₩&quot;\$#,##0_);&quot;₩&quot;\(&quot;₩&quot;\$#,##0&quot;₩&quot;\)"/>
    <numFmt numFmtId="335" formatCode="0%_);[Red]\(0%\)"/>
    <numFmt numFmtId="336" formatCode="_ * #,##0_)_£_ ;_ * \(#,##0\)_£_ ;_ * &quot;-&quot;_)_£_ ;_ @_ "/>
    <numFmt numFmtId="337" formatCode="_ * #,##0.00_)&quot;£&quot;_ ;_ * \(#,##0.00\)&quot;£&quot;_ ;_ * &quot;-&quot;??_)&quot;£&quot;_ ;_ @_ "/>
    <numFmt numFmtId="338" formatCode="_(* #,##0_);_(* \(#,##0\);_(* &quot;-&quot;_);_(@_)"/>
    <numFmt numFmtId="339" formatCode="0.00000000000_);[Red]\(0.00000000000\)"/>
    <numFmt numFmtId="340" formatCode="0.000_ "/>
    <numFmt numFmtId="341" formatCode="_-* #,##0.0_-;\-* #,##0.0_-;_-* &quot;-&quot;?_-;_-@_-"/>
    <numFmt numFmtId="342" formatCode="#,###.00&quot;㎢&quot;"/>
    <numFmt numFmtId="343" formatCode="_-* #,##0_-;\-* #,##0_-;_-* &quot;-&quot;?_-;_-@_-"/>
    <numFmt numFmtId="344" formatCode="#,###&quot;개&quot;&quot;소&quot;"/>
    <numFmt numFmtId="345" formatCode="####&quot;개읍&quot;&quot;면&quot;"/>
    <numFmt numFmtId="346" formatCode="0.000000"/>
    <numFmt numFmtId="347" formatCode="_-* #,##0.000_-;\-* #,##0.000_-;_-* &quot;-&quot;??_-;_-@_-"/>
    <numFmt numFmtId="348" formatCode="#,###&quot;m&quot;"/>
    <numFmt numFmtId="349" formatCode="#,##0_ ;[Red]\-#,##0\ "/>
    <numFmt numFmtId="350" formatCode="General;\-General\,&quot;&quot;;@"/>
    <numFmt numFmtId="351" formatCode="&quot;A = &quot;\ #,##0\ &quot;㎡&quot;"/>
    <numFmt numFmtId="352" formatCode="&quot;L = &quot;\ #,##0\ &quot;M&quot;"/>
    <numFmt numFmtId="353" formatCode="0.00\ &quot;km&quot;"/>
    <numFmt numFmtId="354" formatCode="0_);[Red]\(0\)"/>
    <numFmt numFmtId="355" formatCode="##,##0.000&quot;%&quot;"/>
    <numFmt numFmtId="356" formatCode="0.000%"/>
    <numFmt numFmtId="357" formatCode="&quot;금&quot;\ #,##0&quot;원&quot;"/>
    <numFmt numFmtId="358" formatCode="&quot;적용(&quot;0%&quot;)&quot;"/>
    <numFmt numFmtId="359" formatCode="0&quot;점&quot;"/>
    <numFmt numFmtId="360" formatCode="#,###&quot;만㎡&quot;"/>
    <numFmt numFmtId="361" formatCode="#,###&quot;/14 x&quot;\ "/>
    <numFmt numFmtId="362" formatCode="#,###.00&quot; x&quot;\ "/>
    <numFmt numFmtId="363" formatCode="0.00\ &quot;=&quot;"/>
    <numFmt numFmtId="364" formatCode="#,###&quot;/30 x&quot;\ "/>
    <numFmt numFmtId="365" formatCode="#,###&quot;/150 x&quot;\ "/>
    <numFmt numFmtId="366" formatCode="#,###.00&quot;/15 x&quot;\ "/>
    <numFmt numFmtId="367" formatCode="#,###&quot;/10 x&quot;\ "/>
    <numFmt numFmtId="368" formatCode="&quot;(&quot;0.00&quot;)&quot;_ "/>
    <numFmt numFmtId="369" formatCode="#,###&quot;점&quot;"/>
    <numFmt numFmtId="370" formatCode="&quot;(&quot;0.0&quot;)&quot;_ "/>
    <numFmt numFmtId="371" formatCode="\ #,###&quot; 억원&quot;"/>
    <numFmt numFmtId="372" formatCode="#,###&quot;㎡&quot;"/>
    <numFmt numFmtId="373" formatCode="&quot;유역면적 &quot;#,###&quot;㎢이상&quot;"/>
    <numFmt numFmtId="374" formatCode="#,##0.0_);[Red]\(#,##0.0\)"/>
  </numFmts>
  <fonts count="34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돋움체"/>
      <family val="3"/>
      <charset val="129"/>
    </font>
    <font>
      <sz val="10"/>
      <color rgb="FF000000"/>
      <name val="MS Sans Serif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10"/>
      <color rgb="FF000000"/>
      <name val="Helv"/>
    </font>
    <font>
      <sz val="12"/>
      <color rgb="FF000000"/>
      <name val="Times New Roman"/>
      <family val="1"/>
    </font>
    <font>
      <sz val="10"/>
      <color rgb="FF000000"/>
      <name val="Courier New"/>
      <family val="3"/>
    </font>
    <font>
      <sz val="11"/>
      <color rgb="FF000000"/>
      <name val="굴림체"/>
      <family val="3"/>
      <charset val="129"/>
    </font>
    <font>
      <sz val="12"/>
      <color rgb="FF000000"/>
      <name val="Arial"/>
      <family val="2"/>
    </font>
    <font>
      <sz val="10"/>
      <color rgb="FF000000"/>
      <name val="돋움체"/>
      <family val="3"/>
      <charset val="129"/>
    </font>
    <font>
      <sz val="12"/>
      <color rgb="FF000000"/>
      <name val="¹UAAA¼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System"/>
      <family val="3"/>
      <charset val="129"/>
    </font>
    <font>
      <sz val="8"/>
      <color rgb="FF000000"/>
      <name val="¹UAAA¼"/>
      <family val="3"/>
      <charset val="129"/>
    </font>
    <font>
      <sz val="11"/>
      <color rgb="FF000000"/>
      <name val="¹ÙÅÁÃ¼"/>
      <family val="3"/>
      <charset val="129"/>
    </font>
    <font>
      <b/>
      <sz val="10"/>
      <color rgb="FF000000"/>
      <name val="Helv"/>
    </font>
    <font>
      <sz val="1"/>
      <color rgb="FF000000"/>
      <name val="Courier"/>
      <family val="3"/>
    </font>
    <font>
      <sz val="12"/>
      <color rgb="FF000000"/>
      <name val="굴림체"/>
      <family val="3"/>
      <charset val="129"/>
    </font>
    <font>
      <sz val="10"/>
      <color rgb="FF000000"/>
      <name val="MS Serif"/>
    </font>
    <font>
      <sz val="10"/>
      <color rgb="FF800000"/>
      <name val="MS Serif"/>
    </font>
    <font>
      <sz val="12"/>
      <color rgb="FF9999FF"/>
      <name val="Arial"/>
      <family val="2"/>
    </font>
    <font>
      <sz val="8"/>
      <color rgb="FF000000"/>
      <name val="Arial"/>
      <family val="2"/>
    </font>
    <font>
      <sz val="10"/>
      <color rgb="FF000000"/>
      <name val="바탕체"/>
      <family val="1"/>
      <charset val="129"/>
    </font>
    <font>
      <b/>
      <sz val="12"/>
      <color rgb="FF000000"/>
      <name val="Helv"/>
    </font>
    <font>
      <b/>
      <sz val="12"/>
      <color rgb="FF000000"/>
      <name val="Arial"/>
      <family val="2"/>
    </font>
    <font>
      <b/>
      <sz val="1"/>
      <color rgb="FF000000"/>
      <name val="Courier"/>
      <family val="3"/>
    </font>
    <font>
      <sz val="10"/>
      <color rgb="FF000000"/>
      <name val="Univers (WN)"/>
    </font>
    <font>
      <b/>
      <sz val="11"/>
      <color rgb="FF000000"/>
      <name val="Helv"/>
    </font>
    <font>
      <sz val="7"/>
      <color rgb="FF000000"/>
      <name val="Small Fonts"/>
      <family val="3"/>
      <charset val="129"/>
    </font>
    <font>
      <sz val="8"/>
      <color rgb="FF000000"/>
      <name val="돋움"/>
      <family val="3"/>
      <charset val="129"/>
    </font>
    <font>
      <sz val="8"/>
      <color rgb="FF000000"/>
      <name val="Helv"/>
    </font>
    <font>
      <b/>
      <sz val="16"/>
      <color rgb="FF000000"/>
      <name val="돋움"/>
      <family val="3"/>
      <charset val="129"/>
    </font>
    <font>
      <b/>
      <sz val="8"/>
      <color rgb="FF000000"/>
      <name val="Helv"/>
    </font>
    <font>
      <sz val="18"/>
      <color rgb="FF0000FF"/>
      <name val="MS Sans Serif"/>
    </font>
    <font>
      <b/>
      <u/>
      <sz val="13"/>
      <color rgb="FF000000"/>
      <name val="굴림체"/>
      <family val="3"/>
      <charset val="129"/>
    </font>
    <font>
      <b/>
      <i/>
      <sz val="18"/>
      <color rgb="FF0000FF"/>
      <name val="돋움체"/>
      <family val="3"/>
      <charset val="129"/>
    </font>
    <font>
      <sz val="8"/>
      <color rgb="FF000000"/>
      <name val="바탕체"/>
      <family val="1"/>
      <charset val="129"/>
    </font>
    <font>
      <i/>
      <outline/>
      <u/>
      <sz val="1"/>
      <color rgb="FF9999FF"/>
      <name val="Courier"/>
      <family val="3"/>
    </font>
    <font>
      <sz val="12"/>
      <color rgb="FF000000"/>
      <name val="명조"/>
      <family val="3"/>
      <charset val="129"/>
    </font>
    <font>
      <u/>
      <sz val="12"/>
      <color rgb="FF800080"/>
      <name val="바탕체"/>
      <family val="1"/>
      <charset val="129"/>
    </font>
    <font>
      <sz val="11"/>
      <color rgb="FF9C6500"/>
      <name val="맑은 고딕"/>
      <family val="3"/>
      <charset val="129"/>
    </font>
    <font>
      <sz val="9"/>
      <color rgb="FF000000"/>
      <name val="MS Sans Serif"/>
    </font>
    <font>
      <sz val="10"/>
      <color rgb="FF000000"/>
      <name val="바탕"/>
      <family val="1"/>
      <charset val="129"/>
    </font>
    <font>
      <sz val="8"/>
      <color rgb="FF000000"/>
      <name val="돋움체"/>
      <family val="3"/>
      <charset val="129"/>
    </font>
    <font>
      <b/>
      <sz val="12"/>
      <color rgb="FF8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명조"/>
      <family val="3"/>
      <charset val="129"/>
    </font>
    <font>
      <sz val="10"/>
      <color rgb="FF000000"/>
      <name val="궁서(English)"/>
      <family val="1"/>
      <charset val="129"/>
    </font>
    <font>
      <sz val="10"/>
      <color rgb="FF0000FF"/>
      <name val="굴림체"/>
      <family val="3"/>
      <charset val="129"/>
    </font>
    <font>
      <sz val="11"/>
      <color rgb="FF000000"/>
      <name val="바탕체"/>
      <family val="1"/>
      <charset val="129"/>
    </font>
    <font>
      <sz val="9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color rgb="FFFFFFFF"/>
      <name val="맑은 고딕"/>
      <family val="3"/>
      <charset val="129"/>
    </font>
    <font>
      <sz val="9"/>
      <color rgb="FF000000"/>
      <name val="바탕체"/>
      <family val="1"/>
      <charset val="129"/>
    </font>
    <font>
      <sz val="10"/>
      <color rgb="FF000000"/>
      <name val="μ¸¿oA¼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i/>
      <sz val="9"/>
      <color rgb="FF000000"/>
      <name val="Times New Roman"/>
      <family val="1"/>
    </font>
    <font>
      <sz val="10"/>
      <color rgb="FF000000"/>
      <name val="Geneva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4"/>
      <color rgb="FF000000"/>
      <name val="뼥?ⓒ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9"/>
      <color rgb="FFFF0000"/>
      <name val="바탕체"/>
      <family val="1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6"/>
      <color rgb="FF000000"/>
      <name val="돋움체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9"/>
      <color rgb="FF000000"/>
      <name val="Arial"/>
      <family val="2"/>
    </font>
    <font>
      <sz val="11"/>
      <color rgb="FF000000"/>
      <name val="HY신명조"/>
      <family val="1"/>
      <charset val="129"/>
    </font>
    <font>
      <u/>
      <sz val="8.25"/>
      <color rgb="FF800080"/>
      <name val="돋움"/>
      <family val="3"/>
      <charset val="129"/>
    </font>
    <font>
      <sz val="9"/>
      <color rgb="FF000000"/>
      <name val="돋움체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¹ÙÅÁÃ¼"/>
      <family val="3"/>
      <charset val="129"/>
    </font>
    <font>
      <b/>
      <i/>
      <sz val="11"/>
      <color rgb="FF000000"/>
      <name val="Times New Roman"/>
      <family val="1"/>
    </font>
    <font>
      <b/>
      <sz val="10"/>
      <color rgb="FF000000"/>
      <name val="Arial"/>
      <family val="2"/>
    </font>
    <font>
      <b/>
      <i/>
      <sz val="10"/>
      <color rgb="FF000000"/>
      <name val="Times New Roman"/>
      <family val="1"/>
    </font>
    <font>
      <sz val="12"/>
      <color rgb="FF000000"/>
      <name val="Helv"/>
    </font>
    <font>
      <sz val="11"/>
      <color rgb="FF000000"/>
      <name val="돋움체"/>
      <family val="3"/>
      <charset val="129"/>
    </font>
    <font>
      <b/>
      <sz val="14"/>
      <color rgb="FF0000FF"/>
      <name val="바탕체"/>
      <family val="1"/>
      <charset val="129"/>
    </font>
    <font>
      <sz val="12"/>
      <color rgb="FF000000"/>
      <name val="뼻뮝"/>
      <family val="3"/>
      <charset val="129"/>
    </font>
    <font>
      <sz val="10"/>
      <color rgb="FFFF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b/>
      <sz val="12"/>
      <color rgb="FF0000FF"/>
      <name val="돋움체"/>
      <family val="3"/>
      <charset val="129"/>
    </font>
    <font>
      <sz val="10"/>
      <color rgb="FF000000"/>
      <name val="굴림"/>
      <family val="3"/>
      <charset val="129"/>
    </font>
    <font>
      <u/>
      <sz val="11"/>
      <color rgb="FF0000FF"/>
      <name val="돋움"/>
      <family val="3"/>
      <charset val="129"/>
    </font>
    <font>
      <i/>
      <sz val="12"/>
      <color rgb="FF000000"/>
      <name val="굴림체"/>
      <family val="3"/>
      <charset val="129"/>
    </font>
    <font>
      <sz val="10"/>
      <color rgb="FF000000"/>
      <name val="Arial Narrow"/>
      <family val="2"/>
    </font>
    <font>
      <sz val="10"/>
      <color rgb="FF000000"/>
      <name val="¸íÁ¶"/>
      <family val="3"/>
      <charset val="129"/>
    </font>
    <font>
      <sz val="12"/>
      <color rgb="FF000000"/>
      <name val="견명조"/>
      <family val="3"/>
      <charset val="129"/>
    </font>
    <font>
      <b/>
      <sz val="12"/>
      <color rgb="FF000000"/>
      <name val="바탕체"/>
      <family val="1"/>
      <charset val="129"/>
    </font>
    <font>
      <sz val="12"/>
      <color rgb="FF000000"/>
      <name val="ⓒoUAAA¨u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μ¸¿o"/>
      <family val="3"/>
      <charset val="129"/>
    </font>
    <font>
      <b/>
      <sz val="8"/>
      <color rgb="FF000000"/>
      <name val="Arial"/>
      <family val="2"/>
    </font>
    <font>
      <sz val="10"/>
      <color rgb="FF000000"/>
      <name val="±¼¸²Ã¼"/>
      <family val="3"/>
      <charset val="129"/>
    </font>
    <font>
      <sz val="10"/>
      <color rgb="FFFFFFFF"/>
      <name val="Arial"/>
      <family val="2"/>
    </font>
    <font>
      <b/>
      <sz val="11"/>
      <color rgb="FF800000"/>
      <name val="Arial"/>
      <family val="2"/>
    </font>
    <font>
      <b/>
      <sz val="10"/>
      <color rgb="FF008000"/>
      <name val="Arial"/>
      <family val="2"/>
    </font>
    <font>
      <b/>
      <sz val="9"/>
      <color rgb="FF000000"/>
      <name val="Arial"/>
      <family val="2"/>
    </font>
    <font>
      <b/>
      <i/>
      <sz val="14"/>
      <color rgb="FF000000"/>
      <name val="Times New Roman"/>
      <family val="1"/>
    </font>
    <font>
      <u/>
      <sz val="10"/>
      <color rgb="FFFF00FF"/>
      <name val="MS Sans Serif"/>
    </font>
    <font>
      <b/>
      <sz val="9"/>
      <color rgb="FFFFFFFF"/>
      <name val="Arial"/>
      <family val="2"/>
    </font>
    <font>
      <u/>
      <sz val="8"/>
      <color rgb="FF0000FF"/>
      <name val="Times New Roman"/>
      <family val="1"/>
    </font>
    <font>
      <b/>
      <sz val="16"/>
      <color rgb="FF000000"/>
      <name val="Times New Roman"/>
      <family val="1"/>
    </font>
    <font>
      <sz val="24"/>
      <color rgb="FF000000"/>
      <name val="Courier New"/>
      <family val="3"/>
    </font>
    <font>
      <b/>
      <sz val="12"/>
      <color rgb="FF800000"/>
      <name val="Arial"/>
      <family val="2"/>
    </font>
    <font>
      <b/>
      <i/>
      <sz val="18"/>
      <color rgb="FF800000"/>
      <name val="Times New Roman"/>
      <family val="1"/>
    </font>
    <font>
      <b/>
      <sz val="8"/>
      <color rgb="FF000080"/>
      <name val="Arial"/>
      <family val="2"/>
    </font>
    <font>
      <sz val="12"/>
      <color rgb="FF000000"/>
      <name val="궁서체"/>
      <family val="1"/>
      <charset val="129"/>
    </font>
    <font>
      <sz val="8"/>
      <color rgb="FF000000"/>
      <name val="굴림체"/>
      <family val="3"/>
      <charset val="129"/>
    </font>
    <font>
      <b/>
      <u/>
      <sz val="16"/>
      <color rgb="FF000000"/>
      <name val="돋움"/>
      <family val="3"/>
      <charset val="129"/>
    </font>
    <font>
      <sz val="12"/>
      <color rgb="FF000000"/>
      <name val="宋体"/>
      <family val="3"/>
      <charset val="129"/>
    </font>
    <font>
      <b/>
      <sz val="10"/>
      <color rgb="FF000000"/>
      <name val="바탕체"/>
      <family val="1"/>
      <charset val="129"/>
    </font>
    <font>
      <b/>
      <sz val="18"/>
      <color rgb="FF000000"/>
      <name val="바탕체"/>
      <family val="1"/>
      <charset val="129"/>
    </font>
    <font>
      <sz val="12"/>
      <color rgb="FF000000"/>
      <name val="新細明體"/>
      <family val="3"/>
      <charset val="129"/>
    </font>
    <font>
      <sz val="11"/>
      <color rgb="FF000000"/>
      <name val="굴림"/>
      <family val="3"/>
      <charset val="129"/>
    </font>
    <font>
      <b/>
      <u/>
      <sz val="16"/>
      <color rgb="FF000000"/>
      <name val="굴림체"/>
      <family val="3"/>
      <charset val="129"/>
    </font>
    <font>
      <b/>
      <sz val="12"/>
      <color rgb="FF000000"/>
      <name val="돋움"/>
      <family val="3"/>
      <charset val="129"/>
    </font>
    <font>
      <sz val="10"/>
      <color rgb="FF000000"/>
      <name val="Gulim"/>
    </font>
    <font>
      <b/>
      <sz val="18"/>
      <color rgb="FF000000"/>
      <name val="Arial"/>
      <family val="2"/>
    </font>
    <font>
      <b/>
      <sz val="11"/>
      <color rgb="FFFF0000"/>
      <name val="맑은 고딕"/>
      <family val="3"/>
      <charset val="129"/>
    </font>
    <font>
      <u/>
      <sz val="8.5"/>
      <color rgb="FF800080"/>
      <name val="바탕체"/>
      <family val="1"/>
      <charset val="129"/>
    </font>
    <font>
      <b/>
      <sz val="11"/>
      <color rgb="FF333399"/>
      <name val="맑은 고딕"/>
      <family val="3"/>
      <charset val="129"/>
    </font>
    <font>
      <sz val="11"/>
      <color rgb="FF808000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sz val="12"/>
      <color rgb="FF000000"/>
      <name val="¹????¼"/>
      <family val="3"/>
      <charset val="129"/>
    </font>
    <font>
      <sz val="10"/>
      <color rgb="FF000000"/>
      <name val="한컴바탕"/>
      <family val="3"/>
      <charset val="129"/>
    </font>
    <font>
      <sz val="1"/>
      <color rgb="FF000000"/>
      <name val="한컴바탕"/>
      <family val="1"/>
      <charset val="129"/>
    </font>
    <font>
      <b/>
      <sz val="1"/>
      <color rgb="FF000000"/>
      <name val="한컴바탕"/>
      <family val="1"/>
      <charset val="129"/>
    </font>
    <font>
      <sz val="12"/>
      <color rgb="FF000000"/>
      <name val="한컴바탕"/>
      <family val="1"/>
      <charset val="129"/>
    </font>
    <font>
      <b/>
      <sz val="10"/>
      <color rgb="FF000000"/>
      <name val="한컴바탕"/>
      <family val="1"/>
      <charset val="129"/>
    </font>
    <font>
      <sz val="10"/>
      <color rgb="FF000000"/>
      <name val="Impact"/>
      <family val="2"/>
    </font>
    <font>
      <sz val="10"/>
      <color rgb="FF800000"/>
      <name val="한컴바탕"/>
      <family val="1"/>
      <charset val="129"/>
    </font>
    <font>
      <b/>
      <sz val="12"/>
      <color rgb="FF000000"/>
      <name val="한컴바탕"/>
      <family val="1"/>
      <charset val="129"/>
    </font>
    <font>
      <b/>
      <sz val="11"/>
      <color rgb="FF000000"/>
      <name val="한컴바탕"/>
      <family val="1"/>
      <charset val="129"/>
    </font>
    <font>
      <sz val="7"/>
      <color rgb="FF000000"/>
      <name val="한컴바탕"/>
      <family val="1"/>
      <charset val="129"/>
    </font>
    <font>
      <b/>
      <sz val="8"/>
      <color rgb="FF000000"/>
      <name val="한컴바탕"/>
      <family val="1"/>
      <charset val="129"/>
    </font>
    <font>
      <sz val="10"/>
      <color rgb="FF000000"/>
      <name val="새굴림"/>
      <family val="1"/>
      <charset val="129"/>
    </font>
    <font>
      <b/>
      <sz val="10"/>
      <color rgb="FF000000"/>
      <name val="굴림"/>
      <family val="3"/>
      <charset val="129"/>
    </font>
    <font>
      <b/>
      <sz val="8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0.5"/>
      <color rgb="FF000000"/>
      <name val="맑은 고딕"/>
      <family val="3"/>
      <charset val="129"/>
    </font>
    <font>
      <sz val="10.5"/>
      <color rgb="FF00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HCI Poppy"/>
    </font>
    <font>
      <sz val="10"/>
      <color rgb="FF0000FF"/>
      <name val="휴먼명조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20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Calibri"/>
      <family val="2"/>
    </font>
    <font>
      <b/>
      <u/>
      <sz val="16"/>
      <color rgb="FF000000"/>
      <name val="맑은 고딕"/>
      <family val="3"/>
      <charset val="129"/>
    </font>
    <font>
      <b/>
      <sz val="11"/>
      <color rgb="FF000000"/>
      <name val="Calibri"/>
      <family val="2"/>
    </font>
    <font>
      <sz val="11"/>
      <color rgb="FF000000"/>
      <name val="MS Gothic"/>
      <family val="3"/>
      <charset val="128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0.5"/>
      <name val="맑은 고딕"/>
      <family val="3"/>
      <charset val="129"/>
    </font>
    <font>
      <b/>
      <sz val="11"/>
      <color rgb="FF000000"/>
      <name val="Calibri"/>
      <family val="3"/>
      <charset val="161"/>
    </font>
    <font>
      <sz val="11"/>
      <color rgb="FF000000"/>
      <name val="맑은 고딕"/>
      <family val="2"/>
      <charset val="129"/>
    </font>
    <font>
      <sz val="11"/>
      <color rgb="FF000000"/>
      <name val="Calibri"/>
      <family val="3"/>
      <charset val="161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</font>
    <font>
      <sz val="10.5"/>
      <color theme="1"/>
      <name val="맑은 고딕"/>
      <family val="3"/>
      <charset val="129"/>
    </font>
    <font>
      <b/>
      <sz val="10.5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b/>
      <sz val="10.5"/>
      <name val="맑은 고딕"/>
      <family val="3"/>
      <charset val="129"/>
    </font>
    <font>
      <sz val="11"/>
      <color rgb="FF000000"/>
      <name val="맑은 고딕"/>
      <family val="3"/>
      <charset val="161"/>
    </font>
    <font>
      <sz val="11"/>
      <color rgb="FF000000"/>
      <name val="Calibri"/>
      <family val="3"/>
      <charset val="129"/>
    </font>
    <font>
      <sz val="10"/>
      <color theme="1"/>
      <name val="맑은 고딕"/>
      <family val="3"/>
      <charset val="129"/>
    </font>
    <font>
      <sz val="10"/>
      <name val="돋움"/>
      <family val="3"/>
      <charset val="129"/>
    </font>
    <font>
      <sz val="8"/>
      <name val="굴림체"/>
      <family val="3"/>
      <charset val="129"/>
    </font>
    <font>
      <sz val="12"/>
      <name val="돋움"/>
      <family val="3"/>
      <charset val="129"/>
    </font>
    <font>
      <sz val="9"/>
      <name val="돋움체"/>
      <family val="3"/>
      <charset val="129"/>
    </font>
    <font>
      <b/>
      <u/>
      <sz val="20"/>
      <name val="맑은 고딕"/>
      <family val="3"/>
      <charset val="129"/>
      <scheme val="minor"/>
    </font>
    <font>
      <sz val="11"/>
      <color theme="1"/>
      <name val="HY신명조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name val="돋움체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u/>
      <sz val="20"/>
      <name val="맑은 고딕"/>
      <family val="3"/>
      <charset val="129"/>
    </font>
    <font>
      <sz val="9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sz val="8"/>
      <name val="바탕체"/>
      <family val="1"/>
      <charset val="129"/>
    </font>
    <font>
      <sz val="9"/>
      <color indexed="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9"/>
      <name val="굴림"/>
      <family val="3"/>
      <charset val="129"/>
    </font>
    <font>
      <sz val="12"/>
      <name val="바탕체"/>
      <family val="1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b/>
      <sz val="8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Dotum"/>
      <family val="3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9"/>
      <name val="맑은 고딕"/>
      <family val="3"/>
      <charset val="129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4"/>
      <color indexed="13"/>
      <name val="굴림체"/>
      <family val="3"/>
      <charset val="129"/>
    </font>
    <font>
      <b/>
      <sz val="12"/>
      <color indexed="62"/>
      <name val="굴림체"/>
      <family val="3"/>
      <charset val="129"/>
    </font>
    <font>
      <b/>
      <sz val="12"/>
      <color indexed="13"/>
      <name val="굴림체"/>
      <family val="3"/>
      <charset val="129"/>
    </font>
    <font>
      <b/>
      <sz val="18"/>
      <name val="굴림체"/>
      <family val="3"/>
      <charset val="129"/>
    </font>
    <font>
      <b/>
      <sz val="14"/>
      <name val="굴림체"/>
      <family val="3"/>
      <charset val="129"/>
    </font>
    <font>
      <b/>
      <sz val="28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24"/>
      <name val="굴림체"/>
      <family val="3"/>
      <charset val="129"/>
    </font>
    <font>
      <b/>
      <sz val="22"/>
      <name val="굴림체"/>
      <family val="3"/>
      <charset val="129"/>
    </font>
    <font>
      <b/>
      <sz val="26"/>
      <name val="굴림체"/>
      <family val="3"/>
      <charset val="129"/>
    </font>
    <font>
      <b/>
      <sz val="24"/>
      <color indexed="8"/>
      <name val="굴림체"/>
      <family val="3"/>
      <charset val="129"/>
    </font>
    <font>
      <b/>
      <sz val="13"/>
      <name val="굴림체"/>
      <family val="3"/>
      <charset val="129"/>
    </font>
    <font>
      <b/>
      <sz val="6"/>
      <name val="굴림체"/>
      <family val="3"/>
      <charset val="129"/>
    </font>
    <font>
      <sz val="14"/>
      <name val="굴림체"/>
      <family val="3"/>
      <charset val="129"/>
    </font>
    <font>
      <sz val="14"/>
      <color indexed="9"/>
      <name val="굴림체"/>
      <family val="3"/>
      <charset val="129"/>
    </font>
    <font>
      <b/>
      <sz val="9"/>
      <name val="돋움체"/>
      <family val="3"/>
      <charset val="129"/>
    </font>
    <font>
      <sz val="11"/>
      <name val="돋음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10"/>
      <name val="돋움"/>
      <family val="3"/>
      <charset val="129"/>
    </font>
    <font>
      <sz val="8"/>
      <name val="굴림"/>
      <family val="3"/>
      <charset val="129"/>
    </font>
    <font>
      <b/>
      <u/>
      <sz val="20"/>
      <name val="굴림체"/>
      <family val="3"/>
      <charset val="129"/>
    </font>
    <font>
      <sz val="20"/>
      <name val="굴림체"/>
      <family val="3"/>
      <charset val="129"/>
    </font>
    <font>
      <sz val="8"/>
      <color rgb="FFFF0000"/>
      <name val="굴림체"/>
      <family val="3"/>
      <charset val="129"/>
    </font>
    <font>
      <b/>
      <sz val="8"/>
      <color rgb="FFFF0000"/>
      <name val="굴림체"/>
      <family val="3"/>
      <charset val="129"/>
    </font>
    <font>
      <sz val="7"/>
      <name val="굴림체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4"/>
      <color indexed="8"/>
      <name val="돋움"/>
      <family val="3"/>
      <charset val="129"/>
    </font>
    <font>
      <sz val="10"/>
      <color rgb="FFFF0000"/>
      <name val="돋움"/>
      <family val="3"/>
      <charset val="129"/>
    </font>
    <font>
      <sz val="14"/>
      <name val="돋움"/>
      <family val="3"/>
      <charset val="129"/>
    </font>
    <font>
      <sz val="10"/>
      <color rgb="FFFF0000"/>
      <name val="돋움"/>
      <family val="2"/>
      <charset val="129"/>
    </font>
    <font>
      <sz val="8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vertAlign val="subscript"/>
      <sz val="10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rgb="FF000000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1"/>
      <name val="돋음"/>
      <family val="3"/>
      <charset val="129"/>
    </font>
    <font>
      <b/>
      <u/>
      <sz val="10"/>
      <name val="굴림체"/>
      <family val="3"/>
      <charset val="129"/>
    </font>
    <font>
      <b/>
      <u/>
      <sz val="16"/>
      <name val="굴림체"/>
      <family val="3"/>
      <charset val="129"/>
    </font>
    <font>
      <sz val="11.5"/>
      <name val="굴림체"/>
      <family val="3"/>
      <charset val="129"/>
    </font>
    <font>
      <vertAlign val="superscript"/>
      <sz val="9"/>
      <name val="굴림체"/>
      <family val="3"/>
      <charset val="129"/>
    </font>
    <font>
      <sz val="11"/>
      <color rgb="FFFF0000"/>
      <name val="굴림체"/>
      <family val="3"/>
      <charset val="129"/>
    </font>
    <font>
      <b/>
      <sz val="7"/>
      <name val="굴림체"/>
      <family val="3"/>
      <charset val="129"/>
    </font>
    <font>
      <b/>
      <sz val="16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sz val="11.5"/>
      <name val="맑은 고딕"/>
      <family val="3"/>
      <charset val="129"/>
    </font>
    <font>
      <sz val="10"/>
      <color rgb="FF000000"/>
      <name val="HY신명조"/>
      <family val="1"/>
      <charset val="129"/>
    </font>
    <font>
      <b/>
      <sz val="14"/>
      <name val="돋움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7"/>
      <color theme="1"/>
      <name val="돋음"/>
      <family val="3"/>
      <charset val="129"/>
    </font>
    <font>
      <sz val="7"/>
      <name val="돋음"/>
      <family val="3"/>
      <charset val="129"/>
    </font>
    <font>
      <sz val="7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</font>
    <font>
      <sz val="7"/>
      <name val="돋움"/>
      <family val="3"/>
      <charset val="129"/>
    </font>
    <font>
      <sz val="7"/>
      <color rgb="FFFF0000"/>
      <name val="돋움"/>
      <family val="3"/>
      <charset val="129"/>
    </font>
    <font>
      <sz val="7"/>
      <color rgb="FFFF0000"/>
      <name val="돋음"/>
      <family val="3"/>
      <charset val="129"/>
    </font>
    <font>
      <sz val="10"/>
      <name val="돋움체"/>
      <family val="3"/>
      <charset val="129"/>
    </font>
    <font>
      <b/>
      <sz val="7"/>
      <name val="돋움"/>
      <family val="3"/>
      <charset val="129"/>
    </font>
    <font>
      <sz val="8"/>
      <color theme="1"/>
      <name val="돋움"/>
      <family val="3"/>
      <charset val="129"/>
    </font>
    <font>
      <b/>
      <u/>
      <sz val="18"/>
      <color rgb="FF000000"/>
      <name val="맑은 고딕"/>
      <family val="3"/>
      <charset val="129"/>
    </font>
    <font>
      <sz val="18"/>
      <color rgb="FF000000"/>
      <name val="굴림"/>
      <family val="3"/>
      <charset val="129"/>
    </font>
    <font>
      <sz val="6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"/>
      <family val="3"/>
      <charset val="129"/>
    </font>
    <font>
      <sz val="26"/>
      <name val="바탕체"/>
      <family val="1"/>
      <charset val="129"/>
    </font>
    <font>
      <b/>
      <sz val="9"/>
      <color indexed="81"/>
      <name val="돋움"/>
      <family val="3"/>
      <charset val="129"/>
    </font>
    <font>
      <sz val="6"/>
      <name val="굴림체"/>
      <family val="3"/>
      <charset val="129"/>
    </font>
    <font>
      <b/>
      <sz val="12"/>
      <name val="바탕체"/>
      <family val="1"/>
      <charset val="129"/>
    </font>
    <font>
      <sz val="9"/>
      <color rgb="FF000000"/>
      <name val="맑은 고딕"/>
      <family val="3"/>
      <charset val="129"/>
      <scheme val="minor"/>
    </font>
    <font>
      <b/>
      <sz val="9"/>
      <color rgb="FF000000"/>
      <name val="Segoe UI Symbol"/>
      <family val="3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.5"/>
      <color rgb="FF000000"/>
      <name val="맑은 고딕"/>
      <family val="3"/>
      <charset val="129"/>
      <scheme val="minor"/>
    </font>
    <font>
      <sz val="10.5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8"/>
      <color indexed="62"/>
      <name val="굴림체"/>
      <family val="3"/>
      <charset val="129"/>
    </font>
    <font>
      <b/>
      <sz val="9"/>
      <color rgb="FF000000"/>
      <name val="돋움"/>
      <family val="3"/>
      <charset val="129"/>
    </font>
    <font>
      <b/>
      <u/>
      <sz val="9"/>
      <color rgb="FF0000FF"/>
      <name val="돋움"/>
      <family val="3"/>
      <charset val="129"/>
    </font>
    <font>
      <sz val="10.5"/>
      <color rgb="FFFF0000"/>
      <name val="맑은 고딕"/>
      <family val="3"/>
      <charset val="129"/>
    </font>
  </fonts>
  <fills count="4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FF"/>
      </patternFill>
    </fill>
    <fill>
      <patternFill patternType="solid">
        <fgColor rgb="FFFFEB9C"/>
      </patternFill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gray0625">
        <fgColor rgb="FF00FF00"/>
        <bgColor rgb="FF00FFFF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003300"/>
      </patternFill>
    </fill>
    <fill>
      <patternFill patternType="solid">
        <fgColor rgb="FF00FFFF"/>
      </patternFill>
    </fill>
    <fill>
      <patternFill patternType="solid">
        <fgColor rgb="FF800000"/>
      </patternFill>
    </fill>
    <fill>
      <patternFill patternType="solid">
        <fgColor rgb="FF003366"/>
      </patternFill>
    </fill>
    <fill>
      <patternFill patternType="solid">
        <fgColor rgb="FF666699"/>
      </patternFill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rgb="FFFFC0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907B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medium">
        <color rgb="FFFFFFFF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FF000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FF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rgb="FFFFCC00"/>
      </left>
      <right/>
      <top style="thick">
        <color rgb="FFFFCC00"/>
      </top>
      <bottom style="thick">
        <color rgb="FFFFCC00"/>
      </bottom>
      <diagonal/>
    </border>
    <border>
      <left style="thick">
        <color rgb="FFFFFFFF"/>
      </left>
      <right/>
      <top style="thick">
        <color rgb="FFFFFFFF"/>
      </top>
      <bottom style="thick">
        <color rgb="FF80808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rgb="FF808080"/>
      </left>
      <right style="thin">
        <color rgb="FFFFFFFF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FFFFFF"/>
      </right>
      <top style="thin">
        <color rgb="FFFFFFFF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808080"/>
      </left>
      <right style="thin">
        <color rgb="FFFFFFFF"/>
      </right>
      <top style="thin">
        <color rgb="FF808080"/>
      </top>
      <bottom style="thin">
        <color rgb="FFFFFFF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CCFFFF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thick">
        <color rgb="FF3366FF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rgb="FFB2B2B2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auto="1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thin">
        <color indexed="64"/>
      </left>
      <right/>
      <top style="hair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 diagonalDown="1"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Down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Down="1">
      <left style="hair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 diagonalDown="1">
      <left style="thin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/>
      <top style="hair">
        <color indexed="64"/>
      </top>
      <bottom/>
      <diagonal style="hair">
        <color indexed="64"/>
      </diagonal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/>
      <top style="dotted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tted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dotted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 style="thin">
        <color indexed="64"/>
      </left>
      <right style="thin">
        <color indexed="64"/>
      </right>
      <top/>
      <bottom style="dotted">
        <color rgb="FF000000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dotted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indexed="64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/>
      <top style="thin">
        <color indexed="64"/>
      </top>
      <bottom style="dotted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tted">
        <color rgb="FF00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282828"/>
      </left>
      <right style="thin">
        <color rgb="FF000000"/>
      </right>
      <top style="thick">
        <color rgb="FF282828"/>
      </top>
      <bottom/>
      <diagonal/>
    </border>
    <border>
      <left style="thick">
        <color rgb="FF282828"/>
      </left>
      <right style="thin">
        <color rgb="FF000000"/>
      </right>
      <top/>
      <bottom/>
      <diagonal/>
    </border>
    <border>
      <left style="thick">
        <color rgb="FF282828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282828"/>
      </top>
      <bottom/>
      <diagonal/>
    </border>
    <border>
      <left style="thin">
        <color rgb="FF000000"/>
      </left>
      <right/>
      <top style="thick">
        <color rgb="FF282828"/>
      </top>
      <bottom/>
      <diagonal/>
    </border>
    <border>
      <left/>
      <right style="thin">
        <color rgb="FF000000"/>
      </right>
      <top style="thick">
        <color rgb="FF282828"/>
      </top>
      <bottom/>
      <diagonal/>
    </border>
    <border>
      <left style="thin">
        <color rgb="FF000000"/>
      </left>
      <right style="thick">
        <color rgb="FF282828"/>
      </right>
      <top style="thick">
        <color rgb="FF282828"/>
      </top>
      <bottom/>
      <diagonal/>
    </border>
    <border>
      <left style="thin">
        <color rgb="FF000000"/>
      </left>
      <right style="thick">
        <color rgb="FF282828"/>
      </right>
      <top/>
      <bottom/>
      <diagonal/>
    </border>
    <border>
      <left style="thin">
        <color rgb="FF000000"/>
      </left>
      <right style="thick">
        <color rgb="FF282828"/>
      </right>
      <top/>
      <bottom style="double">
        <color rgb="FF000000"/>
      </bottom>
      <diagonal/>
    </border>
    <border>
      <left style="thick">
        <color rgb="FF282828"/>
      </left>
      <right style="thin">
        <color rgb="FF000000"/>
      </right>
      <top style="double">
        <color rgb="FF000000"/>
      </top>
      <bottom/>
      <diagonal/>
    </border>
    <border>
      <left style="thick">
        <color rgb="FF282828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282828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282828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282828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8515">
    <xf numFmtId="0" fontId="0" fillId="0" borderId="0">
      <alignment vertical="center"/>
    </xf>
    <xf numFmtId="41" fontId="180" fillId="0" borderId="0">
      <alignment vertical="center"/>
    </xf>
    <xf numFmtId="0" fontId="180" fillId="0" borderId="0"/>
    <xf numFmtId="41" fontId="180" fillId="0" borderId="0"/>
    <xf numFmtId="3" fontId="7" fillId="0" borderId="1"/>
    <xf numFmtId="24" fontId="8" fillId="0" borderId="0"/>
    <xf numFmtId="191" fontId="8" fillId="0" borderId="0"/>
    <xf numFmtId="192" fontId="8" fillId="0" borderId="0"/>
    <xf numFmtId="191" fontId="8" fillId="0" borderId="0"/>
    <xf numFmtId="192" fontId="8" fillId="0" borderId="0"/>
    <xf numFmtId="178" fontId="180" fillId="0" borderId="0">
      <alignment vertical="center"/>
    </xf>
    <xf numFmtId="40" fontId="9" fillId="0" borderId="2"/>
    <xf numFmtId="38" fontId="9" fillId="0" borderId="3">
      <alignment horizontal="right"/>
    </xf>
    <xf numFmtId="0" fontId="9" fillId="0" borderId="0"/>
    <xf numFmtId="0" fontId="9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0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1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2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0" fillId="0" borderId="0"/>
    <xf numFmtId="0" fontId="12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2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2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2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0" fillId="0" borderId="0"/>
    <xf numFmtId="0" fontId="180" fillId="0" borderId="0"/>
    <xf numFmtId="0" fontId="9" fillId="0" borderId="0"/>
    <xf numFmtId="0" fontId="9" fillId="0" borderId="0"/>
    <xf numFmtId="183" fontId="180" fillId="0" borderId="0">
      <protection locked="0"/>
    </xf>
    <xf numFmtId="0" fontId="10" fillId="0" borderId="0"/>
    <xf numFmtId="0" fontId="10" fillId="0" borderId="0"/>
    <xf numFmtId="0" fontId="13" fillId="0" borderId="0"/>
    <xf numFmtId="193" fontId="180" fillId="0" borderId="0">
      <alignment vertical="center"/>
    </xf>
    <xf numFmtId="194" fontId="180" fillId="0" borderId="0">
      <alignment vertical="center"/>
    </xf>
    <xf numFmtId="187" fontId="180" fillId="0" borderId="0">
      <alignment vertical="center"/>
    </xf>
    <xf numFmtId="183" fontId="180" fillId="0" borderId="0">
      <protection locked="0"/>
    </xf>
    <xf numFmtId="183" fontId="180" fillId="0" borderId="0">
      <protection locked="0"/>
    </xf>
    <xf numFmtId="3" fontId="7" fillId="0" borderId="1"/>
    <xf numFmtId="3" fontId="7" fillId="0" borderId="1"/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195" fontId="9" fillId="0" borderId="0">
      <protection locked="0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2" fontId="14" fillId="0" borderId="4">
      <alignment horizontal="right" vertical="center"/>
    </xf>
    <xf numFmtId="183" fontId="180" fillId="0" borderId="0">
      <protection locked="0"/>
    </xf>
    <xf numFmtId="0" fontId="15" fillId="0" borderId="0"/>
    <xf numFmtId="9" fontId="9" fillId="0" borderId="0">
      <protection locked="0"/>
    </xf>
    <xf numFmtId="0" fontId="16" fillId="0" borderId="0"/>
    <xf numFmtId="195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0" fontId="17" fillId="0" borderId="0">
      <alignment vertical="center"/>
    </xf>
    <xf numFmtId="195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37" fontId="18" fillId="0" borderId="0"/>
    <xf numFmtId="0" fontId="180" fillId="0" borderId="0">
      <protection locked="0"/>
    </xf>
    <xf numFmtId="37" fontId="18" fillId="0" borderId="0"/>
    <xf numFmtId="195" fontId="9" fillId="0" borderId="0">
      <protection locked="0"/>
    </xf>
    <xf numFmtId="183" fontId="180" fillId="0" borderId="0">
      <protection locked="0"/>
    </xf>
    <xf numFmtId="0" fontId="8" fillId="0" borderId="0"/>
    <xf numFmtId="195" fontId="9" fillId="0" borderId="0">
      <protection locked="0"/>
    </xf>
    <xf numFmtId="37" fontId="18" fillId="0" borderId="0"/>
    <xf numFmtId="37" fontId="18" fillId="0" borderId="0"/>
    <xf numFmtId="183" fontId="180" fillId="0" borderId="0">
      <protection locked="0"/>
    </xf>
    <xf numFmtId="183" fontId="180" fillId="0" borderId="0">
      <protection locked="0"/>
    </xf>
    <xf numFmtId="0" fontId="19" fillId="0" borderId="0"/>
    <xf numFmtId="195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0" fontId="20" fillId="0" borderId="0"/>
    <xf numFmtId="0" fontId="21" fillId="0" borderId="0"/>
    <xf numFmtId="0" fontId="20" fillId="0" borderId="0"/>
    <xf numFmtId="0" fontId="22" fillId="0" borderId="0"/>
    <xf numFmtId="200" fontId="10" fillId="0" borderId="0"/>
    <xf numFmtId="0" fontId="23" fillId="0" borderId="0"/>
    <xf numFmtId="195" fontId="9" fillId="0" borderId="0">
      <protection locked="0"/>
    </xf>
    <xf numFmtId="183" fontId="180" fillId="0" borderId="5">
      <protection locked="0"/>
    </xf>
    <xf numFmtId="4" fontId="24" fillId="0" borderId="0">
      <protection locked="0"/>
    </xf>
    <xf numFmtId="38" fontId="10" fillId="0" borderId="0"/>
    <xf numFmtId="201" fontId="180" fillId="0" borderId="0"/>
    <xf numFmtId="3" fontId="10" fillId="0" borderId="0"/>
    <xf numFmtId="202" fontId="25" fillId="0" borderId="0"/>
    <xf numFmtId="0" fontId="26" fillId="0" borderId="0">
      <alignment horizontal="left"/>
    </xf>
    <xf numFmtId="0" fontId="11" fillId="0" borderId="0"/>
    <xf numFmtId="203" fontId="180" fillId="0" borderId="0">
      <protection locked="0"/>
    </xf>
    <xf numFmtId="0" fontId="10" fillId="0" borderId="0"/>
    <xf numFmtId="204" fontId="180" fillId="0" borderId="0"/>
    <xf numFmtId="205" fontId="180" fillId="0" borderId="0"/>
    <xf numFmtId="206" fontId="9" fillId="0" borderId="0">
      <protection locked="0"/>
    </xf>
    <xf numFmtId="207" fontId="180" fillId="0" borderId="0"/>
    <xf numFmtId="208" fontId="180" fillId="0" borderId="0">
      <protection locked="0"/>
    </xf>
    <xf numFmtId="209" fontId="180" fillId="0" borderId="0"/>
    <xf numFmtId="183" fontId="180" fillId="0" borderId="0">
      <protection locked="0"/>
    </xf>
    <xf numFmtId="183" fontId="180" fillId="0" borderId="0">
      <protection locked="0"/>
    </xf>
    <xf numFmtId="0" fontId="27" fillId="0" borderId="0">
      <alignment horizontal="left"/>
    </xf>
    <xf numFmtId="210" fontId="18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211" fontId="180" fillId="0" borderId="0">
      <protection locked="0"/>
    </xf>
    <xf numFmtId="38" fontId="29" fillId="2" borderId="0"/>
    <xf numFmtId="3" fontId="30" fillId="0" borderId="6">
      <alignment horizontal="right" vertical="center"/>
    </xf>
    <xf numFmtId="4" fontId="30" fillId="0" borderId="6">
      <alignment horizontal="right" vertical="center"/>
    </xf>
    <xf numFmtId="0" fontId="31" fillId="0" borderId="0">
      <alignment horizontal="left"/>
    </xf>
    <xf numFmtId="0" fontId="32" fillId="0" borderId="7">
      <alignment horizontal="left" vertical="center"/>
    </xf>
    <xf numFmtId="0" fontId="32" fillId="0" borderId="8">
      <alignment horizontal="left" vertical="center"/>
    </xf>
    <xf numFmtId="0" fontId="33" fillId="0" borderId="0">
      <protection locked="0"/>
    </xf>
    <xf numFmtId="0" fontId="33" fillId="0" borderId="0">
      <protection locked="0"/>
    </xf>
    <xf numFmtId="212" fontId="180" fillId="0" borderId="0">
      <protection locked="0"/>
    </xf>
    <xf numFmtId="212" fontId="180" fillId="0" borderId="0">
      <protection locked="0"/>
    </xf>
    <xf numFmtId="0" fontId="34" fillId="0" borderId="0"/>
    <xf numFmtId="10" fontId="29" fillId="3" borderId="1"/>
    <xf numFmtId="0" fontId="180" fillId="0" borderId="9">
      <protection locked="0"/>
    </xf>
    <xf numFmtId="0" fontId="35" fillId="0" borderId="9"/>
    <xf numFmtId="37" fontId="36" fillId="0" borderId="0"/>
    <xf numFmtId="0" fontId="10" fillId="0" borderId="0"/>
    <xf numFmtId="213" fontId="180" fillId="0" borderId="0"/>
    <xf numFmtId="0" fontId="9" fillId="0" borderId="0"/>
    <xf numFmtId="3" fontId="37" fillId="0" borderId="0"/>
    <xf numFmtId="0" fontId="10" fillId="0" borderId="0"/>
    <xf numFmtId="0" fontId="10" fillId="0" borderId="0"/>
    <xf numFmtId="214" fontId="180" fillId="0" borderId="0">
      <protection locked="0"/>
    </xf>
    <xf numFmtId="10" fontId="10" fillId="0" borderId="0"/>
    <xf numFmtId="30" fontId="38" fillId="0" borderId="0">
      <alignment horizontal="left"/>
    </xf>
    <xf numFmtId="0" fontId="39" fillId="0" borderId="0">
      <alignment horizontal="centerContinuous"/>
    </xf>
    <xf numFmtId="0" fontId="35" fillId="0" borderId="0"/>
    <xf numFmtId="40" fontId="40" fillId="0" borderId="0">
      <alignment horizontal="right"/>
    </xf>
    <xf numFmtId="0" fontId="41" fillId="2" borderId="0">
      <alignment horizontal="centerContinuous"/>
    </xf>
    <xf numFmtId="0" fontId="42" fillId="0" borderId="0">
      <alignment horizontal="centerContinuous" vertical="center"/>
    </xf>
    <xf numFmtId="0" fontId="25" fillId="4" borderId="0">
      <alignment horizontal="center" vertical="center"/>
    </xf>
    <xf numFmtId="49" fontId="43" fillId="0" borderId="0">
      <alignment horizontal="centerContinuous" vertical="center"/>
    </xf>
    <xf numFmtId="212" fontId="180" fillId="0" borderId="10">
      <protection locked="0"/>
    </xf>
    <xf numFmtId="0" fontId="44" fillId="0" borderId="11">
      <alignment horizontal="left"/>
    </xf>
    <xf numFmtId="0" fontId="45" fillId="0" borderId="0">
      <protection locked="0"/>
    </xf>
    <xf numFmtId="215" fontId="9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46" fillId="0" borderId="0"/>
    <xf numFmtId="0" fontId="180" fillId="0" borderId="0">
      <protection locked="0"/>
    </xf>
    <xf numFmtId="0" fontId="24" fillId="0" borderId="0">
      <protection locked="0"/>
    </xf>
    <xf numFmtId="49" fontId="180" fillId="0" borderId="0"/>
    <xf numFmtId="3" fontId="8" fillId="0" borderId="12">
      <alignment horizontal="center"/>
    </xf>
    <xf numFmtId="0" fontId="24" fillId="0" borderId="0">
      <protection locked="0"/>
    </xf>
    <xf numFmtId="0" fontId="47" fillId="0" borderId="0">
      <alignment vertical="top"/>
      <protection locked="0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>
      <alignment horizontal="distributed" vertical="center" wrapText="1"/>
    </xf>
    <xf numFmtId="195" fontId="9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95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217" fontId="9" fillId="0" borderId="0">
      <alignment horizontal="center" vertical="center"/>
    </xf>
    <xf numFmtId="218" fontId="9" fillId="0" borderId="0">
      <alignment horizontal="center" vertical="center"/>
    </xf>
    <xf numFmtId="9" fontId="15" fillId="4" borderId="0">
      <alignment horizontal="right"/>
    </xf>
    <xf numFmtId="10" fontId="15" fillId="0" borderId="0">
      <alignment horizontal="right"/>
    </xf>
    <xf numFmtId="219" fontId="180" fillId="0" borderId="0"/>
    <xf numFmtId="220" fontId="17" fillId="0" borderId="0"/>
    <xf numFmtId="0" fontId="48" fillId="5" borderId="0">
      <alignment vertical="center"/>
    </xf>
    <xf numFmtId="0" fontId="180" fillId="0" borderId="0"/>
    <xf numFmtId="0" fontId="49" fillId="0" borderId="2">
      <alignment horizontal="center" vertical="center"/>
    </xf>
    <xf numFmtId="0" fontId="17" fillId="0" borderId="0">
      <alignment horizontal="centerContinuous" vertical="center"/>
    </xf>
    <xf numFmtId="177" fontId="50" fillId="0" borderId="13">
      <alignment vertical="center"/>
    </xf>
    <xf numFmtId="0" fontId="51" fillId="0" borderId="0">
      <alignment vertical="center"/>
    </xf>
    <xf numFmtId="221" fontId="52" fillId="0" borderId="0">
      <alignment vertical="center"/>
    </xf>
    <xf numFmtId="41" fontId="180" fillId="0" borderId="0"/>
    <xf numFmtId="211" fontId="9" fillId="0" borderId="0"/>
    <xf numFmtId="41" fontId="53" fillId="0" borderId="0">
      <alignment vertical="center"/>
    </xf>
    <xf numFmtId="43" fontId="180" fillId="0" borderId="0"/>
    <xf numFmtId="0" fontId="10" fillId="0" borderId="0"/>
    <xf numFmtId="0" fontId="9" fillId="0" borderId="0"/>
    <xf numFmtId="0" fontId="54" fillId="0" borderId="14"/>
    <xf numFmtId="222" fontId="30" fillId="0" borderId="1">
      <alignment vertical="center"/>
    </xf>
    <xf numFmtId="223" fontId="55" fillId="0" borderId="0"/>
    <xf numFmtId="224" fontId="180" fillId="0" borderId="0"/>
    <xf numFmtId="225" fontId="9" fillId="0" borderId="0"/>
    <xf numFmtId="0" fontId="180" fillId="0" borderId="0"/>
    <xf numFmtId="0" fontId="56" fillId="0" borderId="0">
      <alignment vertical="center"/>
    </xf>
    <xf numFmtId="0" fontId="57" fillId="0" borderId="0">
      <alignment horizontal="centerContinuous" vertical="center"/>
    </xf>
    <xf numFmtId="4" fontId="24" fillId="0" borderId="0">
      <protection locked="0"/>
    </xf>
    <xf numFmtId="0" fontId="46" fillId="0" borderId="0"/>
    <xf numFmtId="4" fontId="24" fillId="0" borderId="0">
      <protection locked="0"/>
    </xf>
    <xf numFmtId="226" fontId="9" fillId="0" borderId="0">
      <protection locked="0"/>
    </xf>
    <xf numFmtId="0" fontId="9" fillId="0" borderId="0"/>
    <xf numFmtId="195" fontId="9" fillId="0" borderId="0">
      <protection locked="0"/>
    </xf>
    <xf numFmtId="216" fontId="24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95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227" fontId="9" fillId="0" borderId="0">
      <alignment vertical="center"/>
    </xf>
    <xf numFmtId="38" fontId="17" fillId="0" borderId="0">
      <alignment vertical="center"/>
    </xf>
    <xf numFmtId="216" fontId="24" fillId="0" borderId="0">
      <protection locked="0"/>
    </xf>
    <xf numFmtId="228" fontId="180" fillId="0" borderId="15">
      <alignment horizontal="center" vertical="center"/>
    </xf>
    <xf numFmtId="41" fontId="180" fillId="0" borderId="0"/>
    <xf numFmtId="176" fontId="10" fillId="0" borderId="0"/>
    <xf numFmtId="188" fontId="9" fillId="0" borderId="0">
      <alignment vertical="center"/>
    </xf>
    <xf numFmtId="182" fontId="15" fillId="4" borderId="0">
      <alignment horizontal="right"/>
    </xf>
    <xf numFmtId="38" fontId="17" fillId="0" borderId="0">
      <alignment vertical="center"/>
    </xf>
    <xf numFmtId="177" fontId="17" fillId="0" borderId="0">
      <alignment vertical="center"/>
    </xf>
    <xf numFmtId="38" fontId="17" fillId="0" borderId="0">
      <alignment vertical="center"/>
    </xf>
    <xf numFmtId="40" fontId="9" fillId="0" borderId="2"/>
    <xf numFmtId="229" fontId="11" fillId="0" borderId="0"/>
    <xf numFmtId="230" fontId="58" fillId="0" borderId="0"/>
    <xf numFmtId="195" fontId="9" fillId="0" borderId="0">
      <protection locked="0"/>
    </xf>
    <xf numFmtId="216" fontId="24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95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42" fontId="180" fillId="0" borderId="0"/>
    <xf numFmtId="231" fontId="9" fillId="0" borderId="0">
      <protection locked="0"/>
    </xf>
    <xf numFmtId="195" fontId="9" fillId="0" borderId="0">
      <protection locked="0"/>
    </xf>
    <xf numFmtId="0" fontId="59" fillId="0" borderId="13">
      <alignment horizontal="center" vertical="center"/>
    </xf>
    <xf numFmtId="0" fontId="59" fillId="0" borderId="13">
      <alignment horizontal="left" vertical="center"/>
    </xf>
    <xf numFmtId="0" fontId="59" fillId="0" borderId="13">
      <alignment vertical="center" textRotation="255"/>
    </xf>
    <xf numFmtId="216" fontId="24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95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40" fontId="9" fillId="0" borderId="0">
      <protection locked="0"/>
    </xf>
    <xf numFmtId="195" fontId="9" fillId="0" borderId="0">
      <protection locked="0"/>
    </xf>
    <xf numFmtId="0" fontId="53" fillId="0" borderId="0">
      <alignment vertical="center"/>
    </xf>
    <xf numFmtId="0" fontId="53" fillId="0" borderId="0">
      <alignment vertical="center"/>
    </xf>
    <xf numFmtId="0" fontId="9" fillId="0" borderId="0"/>
    <xf numFmtId="0" fontId="180" fillId="0" borderId="0"/>
    <xf numFmtId="0" fontId="9" fillId="0" borderId="13">
      <alignment vertical="center" wrapText="1"/>
    </xf>
    <xf numFmtId="232" fontId="180" fillId="0" borderId="0"/>
    <xf numFmtId="0" fontId="24" fillId="0" borderId="5">
      <protection locked="0"/>
    </xf>
    <xf numFmtId="0" fontId="9" fillId="0" borderId="0">
      <protection locked="0"/>
    </xf>
    <xf numFmtId="233" fontId="9" fillId="0" borderId="0">
      <protection locked="0"/>
    </xf>
    <xf numFmtId="0" fontId="180" fillId="0" borderId="0"/>
    <xf numFmtId="9" fontId="180" fillId="0" borderId="0"/>
    <xf numFmtId="0" fontId="180" fillId="0" borderId="0"/>
    <xf numFmtId="9" fontId="180" fillId="0" borderId="0">
      <alignment vertical="center"/>
    </xf>
    <xf numFmtId="0" fontId="180" fillId="0" borderId="0"/>
    <xf numFmtId="0" fontId="180" fillId="0" borderId="0">
      <alignment vertical="center"/>
    </xf>
    <xf numFmtId="0" fontId="180" fillId="0" borderId="0">
      <alignment vertical="center"/>
    </xf>
    <xf numFmtId="0" fontId="180" fillId="0" borderId="0">
      <alignment vertical="center"/>
    </xf>
    <xf numFmtId="0" fontId="8" fillId="0" borderId="15">
      <alignment horizontal="center"/>
    </xf>
    <xf numFmtId="24" fontId="8" fillId="0" borderId="0"/>
    <xf numFmtId="24" fontId="8" fillId="0" borderId="0"/>
    <xf numFmtId="24" fontId="8" fillId="0" borderId="0"/>
    <xf numFmtId="234" fontId="8" fillId="0" borderId="0"/>
    <xf numFmtId="191" fontId="8" fillId="0" borderId="0"/>
    <xf numFmtId="192" fontId="8" fillId="0" borderId="0"/>
    <xf numFmtId="191" fontId="8" fillId="0" borderId="0"/>
    <xf numFmtId="24" fontId="8" fillId="0" borderId="0"/>
    <xf numFmtId="192" fontId="8" fillId="0" borderId="0"/>
    <xf numFmtId="0" fontId="1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11" fillId="0" borderId="0"/>
    <xf numFmtId="0" fontId="9" fillId="0" borderId="0"/>
    <xf numFmtId="0" fontId="53" fillId="6" borderId="0">
      <alignment vertical="center"/>
    </xf>
    <xf numFmtId="0" fontId="53" fillId="6" borderId="0">
      <alignment vertical="center"/>
    </xf>
    <xf numFmtId="0" fontId="53" fillId="7" borderId="0">
      <alignment vertical="center"/>
    </xf>
    <xf numFmtId="0" fontId="53" fillId="7" borderId="0">
      <alignment vertical="center"/>
    </xf>
    <xf numFmtId="0" fontId="53" fillId="8" borderId="0">
      <alignment vertical="center"/>
    </xf>
    <xf numFmtId="0" fontId="53" fillId="8" borderId="0">
      <alignment vertical="center"/>
    </xf>
    <xf numFmtId="0" fontId="53" fillId="9" borderId="0">
      <alignment vertical="center"/>
    </xf>
    <xf numFmtId="0" fontId="53" fillId="9" borderId="0">
      <alignment vertical="center"/>
    </xf>
    <xf numFmtId="0" fontId="53" fillId="10" borderId="0">
      <alignment vertical="center"/>
    </xf>
    <xf numFmtId="0" fontId="53" fillId="10" borderId="0">
      <alignment vertical="center"/>
    </xf>
    <xf numFmtId="0" fontId="53" fillId="11" borderId="0">
      <alignment vertical="center"/>
    </xf>
    <xf numFmtId="0" fontId="53" fillId="11" borderId="0">
      <alignment vertical="center"/>
    </xf>
    <xf numFmtId="0" fontId="53" fillId="12" borderId="0">
      <alignment vertical="center"/>
    </xf>
    <xf numFmtId="0" fontId="53" fillId="12" borderId="0">
      <alignment vertical="center"/>
    </xf>
    <xf numFmtId="0" fontId="53" fillId="13" borderId="0">
      <alignment vertical="center"/>
    </xf>
    <xf numFmtId="0" fontId="53" fillId="13" borderId="0">
      <alignment vertical="center"/>
    </xf>
    <xf numFmtId="0" fontId="53" fillId="14" borderId="0">
      <alignment vertical="center"/>
    </xf>
    <xf numFmtId="0" fontId="53" fillId="14" borderId="0">
      <alignment vertical="center"/>
    </xf>
    <xf numFmtId="0" fontId="53" fillId="9" borderId="0">
      <alignment vertical="center"/>
    </xf>
    <xf numFmtId="0" fontId="53" fillId="9" borderId="0">
      <alignment vertical="center"/>
    </xf>
    <xf numFmtId="0" fontId="53" fillId="12" borderId="0">
      <alignment vertical="center"/>
    </xf>
    <xf numFmtId="0" fontId="53" fillId="12" borderId="0">
      <alignment vertical="center"/>
    </xf>
    <xf numFmtId="0" fontId="53" fillId="15" borderId="0">
      <alignment vertical="center"/>
    </xf>
    <xf numFmtId="0" fontId="53" fillId="15" borderId="0">
      <alignment vertical="center"/>
    </xf>
    <xf numFmtId="0" fontId="60" fillId="16" borderId="0">
      <alignment vertical="center"/>
    </xf>
    <xf numFmtId="0" fontId="60" fillId="16" borderId="0">
      <alignment vertical="center"/>
    </xf>
    <xf numFmtId="0" fontId="60" fillId="13" borderId="0">
      <alignment vertical="center"/>
    </xf>
    <xf numFmtId="0" fontId="60" fillId="13" borderId="0">
      <alignment vertical="center"/>
    </xf>
    <xf numFmtId="0" fontId="60" fillId="14" borderId="0">
      <alignment vertical="center"/>
    </xf>
    <xf numFmtId="0" fontId="60" fillId="14" borderId="0">
      <alignment vertical="center"/>
    </xf>
    <xf numFmtId="0" fontId="60" fillId="17" borderId="0">
      <alignment vertical="center"/>
    </xf>
    <xf numFmtId="0" fontId="60" fillId="17" borderId="0">
      <alignment vertical="center"/>
    </xf>
    <xf numFmtId="0" fontId="60" fillId="18" borderId="0">
      <alignment vertical="center"/>
    </xf>
    <xf numFmtId="0" fontId="60" fillId="18" borderId="0">
      <alignment vertical="center"/>
    </xf>
    <xf numFmtId="0" fontId="60" fillId="19" borderId="0">
      <alignment vertical="center"/>
    </xf>
    <xf numFmtId="0" fontId="60" fillId="19" borderId="0">
      <alignment vertical="center"/>
    </xf>
    <xf numFmtId="0" fontId="61" fillId="0" borderId="16">
      <alignment horizontal="center" vertical="center"/>
    </xf>
    <xf numFmtId="196" fontId="18" fillId="0" borderId="0"/>
    <xf numFmtId="197" fontId="18" fillId="0" borderId="0"/>
    <xf numFmtId="197" fontId="62" fillId="0" borderId="0"/>
    <xf numFmtId="198" fontId="18" fillId="0" borderId="0"/>
    <xf numFmtId="58" fontId="180" fillId="0" borderId="0"/>
    <xf numFmtId="200" fontId="10" fillId="0" borderId="0"/>
    <xf numFmtId="3" fontId="63" fillId="0" borderId="0">
      <alignment horizontal="center"/>
    </xf>
    <xf numFmtId="38" fontId="10" fillId="0" borderId="0"/>
    <xf numFmtId="201" fontId="180" fillId="0" borderId="0"/>
    <xf numFmtId="43" fontId="10" fillId="0" borderId="0"/>
    <xf numFmtId="3" fontId="10" fillId="0" borderId="0"/>
    <xf numFmtId="0" fontId="10" fillId="0" borderId="0"/>
    <xf numFmtId="203" fontId="180" fillId="0" borderId="0">
      <protection locked="0"/>
    </xf>
    <xf numFmtId="203" fontId="180" fillId="0" borderId="0">
      <protection locked="0"/>
    </xf>
    <xf numFmtId="203" fontId="180" fillId="0" borderId="0">
      <protection locked="0"/>
    </xf>
    <xf numFmtId="206" fontId="9" fillId="0" borderId="0">
      <protection locked="0"/>
    </xf>
    <xf numFmtId="207" fontId="180" fillId="0" borderId="0"/>
    <xf numFmtId="208" fontId="180" fillId="0" borderId="0">
      <protection locked="0"/>
    </xf>
    <xf numFmtId="209" fontId="180" fillId="0" borderId="0"/>
    <xf numFmtId="210" fontId="18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211" fontId="180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212" fontId="180" fillId="0" borderId="0">
      <protection locked="0"/>
    </xf>
    <xf numFmtId="212" fontId="180" fillId="0" borderId="0">
      <protection locked="0"/>
    </xf>
    <xf numFmtId="0" fontId="10" fillId="20" borderId="17"/>
    <xf numFmtId="0" fontId="64" fillId="0" borderId="0">
      <alignment horizontal="left" vertical="center"/>
    </xf>
    <xf numFmtId="235" fontId="65" fillId="0" borderId="0">
      <alignment horizontal="left"/>
    </xf>
    <xf numFmtId="213" fontId="180" fillId="0" borderId="0"/>
    <xf numFmtId="0" fontId="10" fillId="0" borderId="0"/>
    <xf numFmtId="0" fontId="64" fillId="0" borderId="0"/>
    <xf numFmtId="214" fontId="180" fillId="0" borderId="0">
      <protection locked="0"/>
    </xf>
    <xf numFmtId="214" fontId="180" fillId="0" borderId="0">
      <protection locked="0"/>
    </xf>
    <xf numFmtId="214" fontId="180" fillId="0" borderId="0">
      <protection locked="0"/>
    </xf>
    <xf numFmtId="236" fontId="66" fillId="0" borderId="0">
      <alignment horizontal="center"/>
    </xf>
    <xf numFmtId="212" fontId="180" fillId="0" borderId="10">
      <protection locked="0"/>
    </xf>
    <xf numFmtId="0" fontId="67" fillId="0" borderId="0">
      <alignment horizontal="center" vertical="center" wrapText="1"/>
    </xf>
    <xf numFmtId="0" fontId="60" fillId="21" borderId="0">
      <alignment vertical="center"/>
    </xf>
    <xf numFmtId="0" fontId="60" fillId="21" borderId="0">
      <alignment vertical="center"/>
    </xf>
    <xf numFmtId="0" fontId="60" fillId="22" borderId="0">
      <alignment vertical="center"/>
    </xf>
    <xf numFmtId="0" fontId="60" fillId="22" borderId="0">
      <alignment vertical="center"/>
    </xf>
    <xf numFmtId="0" fontId="60" fillId="23" borderId="0">
      <alignment vertical="center"/>
    </xf>
    <xf numFmtId="0" fontId="60" fillId="23" borderId="0">
      <alignment vertical="center"/>
    </xf>
    <xf numFmtId="0" fontId="60" fillId="17" borderId="0">
      <alignment vertical="center"/>
    </xf>
    <xf numFmtId="0" fontId="60" fillId="17" borderId="0">
      <alignment vertical="center"/>
    </xf>
    <xf numFmtId="0" fontId="60" fillId="18" borderId="0">
      <alignment vertical="center"/>
    </xf>
    <xf numFmtId="0" fontId="60" fillId="18" borderId="0">
      <alignment vertical="center"/>
    </xf>
    <xf numFmtId="0" fontId="60" fillId="24" borderId="0">
      <alignment vertical="center"/>
    </xf>
    <xf numFmtId="0" fontId="60" fillId="24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9" fillId="2" borderId="18">
      <alignment vertical="center"/>
    </xf>
    <xf numFmtId="0" fontId="69" fillId="2" borderId="18">
      <alignment vertical="center"/>
    </xf>
    <xf numFmtId="215" fontId="9" fillId="0" borderId="0">
      <protection locked="0"/>
    </xf>
    <xf numFmtId="0" fontId="59" fillId="0" borderId="0"/>
    <xf numFmtId="0" fontId="59" fillId="0" borderId="19">
      <alignment horizontal="center"/>
    </xf>
    <xf numFmtId="0" fontId="59" fillId="0" borderId="20"/>
    <xf numFmtId="190" fontId="15" fillId="0" borderId="0"/>
    <xf numFmtId="0" fontId="70" fillId="7" borderId="0">
      <alignment vertical="center"/>
    </xf>
    <xf numFmtId="0" fontId="70" fillId="7" borderId="0">
      <alignment vertical="center"/>
    </xf>
    <xf numFmtId="0" fontId="63" fillId="0" borderId="0">
      <alignment horizontal="left"/>
    </xf>
    <xf numFmtId="40" fontId="71" fillId="0" borderId="0"/>
    <xf numFmtId="38" fontId="71" fillId="0" borderId="0"/>
    <xf numFmtId="188" fontId="11" fillId="0" borderId="6">
      <alignment vertical="center"/>
    </xf>
    <xf numFmtId="0" fontId="53" fillId="3" borderId="21">
      <alignment vertical="center"/>
    </xf>
    <xf numFmtId="0" fontId="53" fillId="3" borderId="21">
      <alignment vertical="center"/>
    </xf>
    <xf numFmtId="0" fontId="71" fillId="0" borderId="0"/>
    <xf numFmtId="0" fontId="71" fillId="0" borderId="0"/>
    <xf numFmtId="9" fontId="180" fillId="0" borderId="0">
      <alignment vertical="center"/>
    </xf>
    <xf numFmtId="9" fontId="180" fillId="0" borderId="0">
      <alignment vertical="center"/>
    </xf>
    <xf numFmtId="9" fontId="180" fillId="0" borderId="0">
      <alignment vertical="center"/>
    </xf>
    <xf numFmtId="0" fontId="9" fillId="0" borderId="22"/>
    <xf numFmtId="0" fontId="48" fillId="5" borderId="0">
      <alignment vertical="center"/>
    </xf>
    <xf numFmtId="0" fontId="72" fillId="25" borderId="0">
      <alignment vertical="center"/>
    </xf>
    <xf numFmtId="0" fontId="59" fillId="0" borderId="0">
      <alignment horizontal="centerContinuous" vertical="center"/>
    </xf>
    <xf numFmtId="0" fontId="73" fillId="0" borderId="0">
      <alignment vertical="center"/>
    </xf>
    <xf numFmtId="0" fontId="73" fillId="0" borderId="0">
      <alignment vertical="center"/>
    </xf>
    <xf numFmtId="0" fontId="74" fillId="26" borderId="23">
      <alignment vertical="center"/>
    </xf>
    <xf numFmtId="0" fontId="74" fillId="26" borderId="23">
      <alignment vertical="center"/>
    </xf>
    <xf numFmtId="0" fontId="75" fillId="0" borderId="1">
      <alignment horizontal="centerContinuous" vertical="center"/>
    </xf>
    <xf numFmtId="221" fontId="52" fillId="0" borderId="0">
      <alignment vertical="center"/>
    </xf>
    <xf numFmtId="178" fontId="61" fillId="0" borderId="0">
      <alignment horizontal="centerContinuous" vertical="center"/>
    </xf>
    <xf numFmtId="180" fontId="61" fillId="0" borderId="0">
      <alignment vertical="center"/>
    </xf>
    <xf numFmtId="211" fontId="9" fillId="0" borderId="0"/>
    <xf numFmtId="41" fontId="180" fillId="0" borderId="0">
      <alignment vertical="center"/>
    </xf>
    <xf numFmtId="0" fontId="10" fillId="0" borderId="0"/>
    <xf numFmtId="0" fontId="76" fillId="0" borderId="24">
      <alignment vertical="center"/>
    </xf>
    <xf numFmtId="0" fontId="76" fillId="0" borderId="24">
      <alignment vertical="center"/>
    </xf>
    <xf numFmtId="0" fontId="77" fillId="0" borderId="25">
      <alignment vertical="center"/>
    </xf>
    <xf numFmtId="0" fontId="77" fillId="0" borderId="25">
      <alignment vertical="center"/>
    </xf>
    <xf numFmtId="223" fontId="55" fillId="0" borderId="0"/>
    <xf numFmtId="237" fontId="180" fillId="0" borderId="0"/>
    <xf numFmtId="237" fontId="180" fillId="0" borderId="0"/>
    <xf numFmtId="238" fontId="180" fillId="0" borderId="0"/>
    <xf numFmtId="223" fontId="55" fillId="0" borderId="0"/>
    <xf numFmtId="0" fontId="59" fillId="0" borderId="0">
      <alignment vertical="center"/>
    </xf>
    <xf numFmtId="0" fontId="78" fillId="11" borderId="18">
      <alignment vertical="center"/>
    </xf>
    <xf numFmtId="0" fontId="78" fillId="11" borderId="18">
      <alignment vertical="center"/>
    </xf>
    <xf numFmtId="226" fontId="9" fillId="0" borderId="0">
      <protection locked="0"/>
    </xf>
    <xf numFmtId="0" fontId="79" fillId="0" borderId="26">
      <alignment vertical="center"/>
    </xf>
    <xf numFmtId="0" fontId="79" fillId="0" borderId="26">
      <alignment vertical="center"/>
    </xf>
    <xf numFmtId="0" fontId="80" fillId="0" borderId="27">
      <alignment vertical="center"/>
    </xf>
    <xf numFmtId="0" fontId="80" fillId="0" borderId="27">
      <alignment vertical="center"/>
    </xf>
    <xf numFmtId="0" fontId="81" fillId="0" borderId="28">
      <alignment vertical="center"/>
    </xf>
    <xf numFmtId="0" fontId="81" fillId="0" borderId="28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9" fillId="0" borderId="1">
      <alignment horizontal="distributed" vertical="center" wrapText="1"/>
    </xf>
    <xf numFmtId="0" fontId="9" fillId="0" borderId="29">
      <alignment horizontal="distributed" vertical="top" wrapText="1"/>
    </xf>
    <xf numFmtId="0" fontId="9" fillId="0" borderId="30">
      <alignment horizontal="distributed" wrapText="1"/>
    </xf>
    <xf numFmtId="188" fontId="83" fillId="0" borderId="0">
      <alignment vertical="center"/>
    </xf>
    <xf numFmtId="0" fontId="84" fillId="8" borderId="0">
      <alignment vertical="center"/>
    </xf>
    <xf numFmtId="0" fontId="84" fillId="8" borderId="0">
      <alignment vertical="center"/>
    </xf>
    <xf numFmtId="41" fontId="13" fillId="0" borderId="0"/>
    <xf numFmtId="43" fontId="13" fillId="0" borderId="0"/>
    <xf numFmtId="0" fontId="85" fillId="2" borderId="31">
      <alignment vertical="center"/>
    </xf>
    <xf numFmtId="0" fontId="85" fillId="2" borderId="31">
      <alignment vertical="center"/>
    </xf>
    <xf numFmtId="195" fontId="9" fillId="0" borderId="0">
      <protection locked="0"/>
    </xf>
    <xf numFmtId="195" fontId="9" fillId="0" borderId="0">
      <protection locked="0"/>
    </xf>
    <xf numFmtId="228" fontId="180" fillId="0" borderId="15">
      <alignment horizontal="center" vertical="center"/>
    </xf>
    <xf numFmtId="182" fontId="15" fillId="4" borderId="0">
      <alignment horizontal="right"/>
    </xf>
    <xf numFmtId="195" fontId="9" fillId="0" borderId="0">
      <protection locked="0"/>
    </xf>
    <xf numFmtId="195" fontId="9" fillId="0" borderId="0">
      <protection locked="0"/>
    </xf>
    <xf numFmtId="0" fontId="9" fillId="0" borderId="0"/>
    <xf numFmtId="231" fontId="9" fillId="0" borderId="0">
      <protection locked="0"/>
    </xf>
    <xf numFmtId="195" fontId="9" fillId="0" borderId="0">
      <protection locked="0"/>
    </xf>
    <xf numFmtId="0" fontId="180" fillId="0" borderId="0"/>
    <xf numFmtId="0" fontId="86" fillId="0" borderId="0"/>
    <xf numFmtId="0" fontId="53" fillId="0" borderId="0">
      <alignment vertical="center"/>
    </xf>
    <xf numFmtId="0" fontId="9" fillId="0" borderId="0"/>
    <xf numFmtId="0" fontId="9" fillId="0" borderId="13">
      <alignment vertical="center" wrapText="1"/>
    </xf>
    <xf numFmtId="0" fontId="11" fillId="0" borderId="0"/>
    <xf numFmtId="0" fontId="25" fillId="0" borderId="0"/>
    <xf numFmtId="0" fontId="61" fillId="0" borderId="16">
      <alignment horizontal="center" vertical="center"/>
    </xf>
    <xf numFmtId="232" fontId="180" fillId="0" borderId="0"/>
    <xf numFmtId="239" fontId="13" fillId="0" borderId="0"/>
    <xf numFmtId="0" fontId="13" fillId="0" borderId="0"/>
    <xf numFmtId="0" fontId="9" fillId="0" borderId="0">
      <protection locked="0"/>
    </xf>
    <xf numFmtId="233" fontId="9" fillId="0" borderId="0">
      <protection locked="0"/>
    </xf>
    <xf numFmtId="0" fontId="180" fillId="0" borderId="0"/>
    <xf numFmtId="0" fontId="180" fillId="0" borderId="0"/>
    <xf numFmtId="0" fontId="87" fillId="0" borderId="0">
      <alignment vertical="center"/>
    </xf>
    <xf numFmtId="41" fontId="87" fillId="0" borderId="0">
      <alignment vertical="center"/>
    </xf>
    <xf numFmtId="9" fontId="87" fillId="0" borderId="0">
      <alignment vertical="center"/>
    </xf>
    <xf numFmtId="188" fontId="10" fillId="0" borderId="0"/>
    <xf numFmtId="244" fontId="180" fillId="0" borderId="0"/>
    <xf numFmtId="0" fontId="88" fillId="0" borderId="0">
      <alignment vertical="top"/>
      <protection locked="0"/>
    </xf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1" fillId="0" borderId="0"/>
    <xf numFmtId="0" fontId="10" fillId="0" borderId="0"/>
    <xf numFmtId="0" fontId="64" fillId="0" borderId="0"/>
    <xf numFmtId="0" fontId="10" fillId="0" borderId="0"/>
    <xf numFmtId="0" fontId="8" fillId="0" borderId="0"/>
    <xf numFmtId="0" fontId="8" fillId="0" borderId="0"/>
    <xf numFmtId="0" fontId="64" fillId="0" borderId="0"/>
    <xf numFmtId="0" fontId="1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64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8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8" fillId="0" borderId="0"/>
    <xf numFmtId="0" fontId="64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9" fillId="0" borderId="0"/>
    <xf numFmtId="0" fontId="10" fillId="0" borderId="0"/>
    <xf numFmtId="0" fontId="8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8" fillId="0" borderId="0"/>
    <xf numFmtId="0" fontId="64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64" fillId="0" borderId="0"/>
    <xf numFmtId="0" fontId="10" fillId="0" borderId="0"/>
    <xf numFmtId="0" fontId="10" fillId="0" borderId="0"/>
    <xf numFmtId="0" fontId="8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188" fontId="57" fillId="0" borderId="1">
      <alignment vertical="center"/>
    </xf>
    <xf numFmtId="188" fontId="89" fillId="0" borderId="32">
      <alignment vertical="center"/>
    </xf>
    <xf numFmtId="245" fontId="90" fillId="0" borderId="0">
      <alignment vertical="center"/>
    </xf>
    <xf numFmtId="246" fontId="180" fillId="0" borderId="0">
      <alignment vertical="center"/>
    </xf>
    <xf numFmtId="246" fontId="180" fillId="0" borderId="0">
      <alignment vertical="center"/>
    </xf>
    <xf numFmtId="246" fontId="180" fillId="0" borderId="0">
      <alignment vertical="center"/>
    </xf>
    <xf numFmtId="246" fontId="180" fillId="0" borderId="0">
      <alignment vertical="center"/>
    </xf>
    <xf numFmtId="246" fontId="180" fillId="0" borderId="0">
      <alignment vertical="center"/>
    </xf>
    <xf numFmtId="246" fontId="180" fillId="0" borderId="0">
      <alignment vertical="center"/>
    </xf>
    <xf numFmtId="246" fontId="180" fillId="0" borderId="0">
      <alignment vertical="center"/>
    </xf>
    <xf numFmtId="246" fontId="180" fillId="0" borderId="0">
      <alignment vertical="center"/>
    </xf>
    <xf numFmtId="246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7" fontId="180" fillId="0" borderId="0">
      <alignment vertical="center"/>
    </xf>
    <xf numFmtId="245" fontId="90" fillId="0" borderId="0">
      <alignment vertical="center"/>
    </xf>
    <xf numFmtId="3" fontId="14" fillId="0" borderId="4">
      <alignment horizontal="right" vertical="center"/>
    </xf>
    <xf numFmtId="245" fontId="90" fillId="0" borderId="0">
      <alignment vertical="center"/>
    </xf>
    <xf numFmtId="3" fontId="14" fillId="0" borderId="4">
      <alignment horizontal="right" vertical="center"/>
    </xf>
    <xf numFmtId="3" fontId="14" fillId="0" borderId="4">
      <alignment horizontal="right" vertical="center"/>
    </xf>
    <xf numFmtId="248" fontId="17" fillId="0" borderId="0">
      <alignment vertical="center"/>
    </xf>
    <xf numFmtId="0" fontId="180" fillId="0" borderId="0"/>
    <xf numFmtId="0" fontId="9" fillId="0" borderId="11">
      <alignment horizontal="center"/>
    </xf>
    <xf numFmtId="0" fontId="53" fillId="6" borderId="0">
      <alignment vertical="center"/>
    </xf>
    <xf numFmtId="0" fontId="53" fillId="7" borderId="0">
      <alignment vertical="center"/>
    </xf>
    <xf numFmtId="0" fontId="53" fillId="8" borderId="0">
      <alignment vertical="center"/>
    </xf>
    <xf numFmtId="0" fontId="53" fillId="9" borderId="0">
      <alignment vertical="center"/>
    </xf>
    <xf numFmtId="0" fontId="53" fillId="10" borderId="0">
      <alignment vertical="center"/>
    </xf>
    <xf numFmtId="0" fontId="53" fillId="11" borderId="0">
      <alignment vertical="center"/>
    </xf>
    <xf numFmtId="248" fontId="17" fillId="0" borderId="0">
      <alignment vertical="center"/>
    </xf>
    <xf numFmtId="0" fontId="53" fillId="12" borderId="0">
      <alignment vertical="center"/>
    </xf>
    <xf numFmtId="0" fontId="53" fillId="13" borderId="0">
      <alignment vertical="center"/>
    </xf>
    <xf numFmtId="0" fontId="53" fillId="14" borderId="0">
      <alignment vertical="center"/>
    </xf>
    <xf numFmtId="0" fontId="53" fillId="9" borderId="0">
      <alignment vertical="center"/>
    </xf>
    <xf numFmtId="0" fontId="53" fillId="12" borderId="0">
      <alignment vertical="center"/>
    </xf>
    <xf numFmtId="0" fontId="53" fillId="15" borderId="0">
      <alignment vertical="center"/>
    </xf>
    <xf numFmtId="0" fontId="60" fillId="16" borderId="0">
      <alignment vertical="center"/>
    </xf>
    <xf numFmtId="0" fontId="60" fillId="13" borderId="0">
      <alignment vertical="center"/>
    </xf>
    <xf numFmtId="0" fontId="60" fillId="14" borderId="0">
      <alignment vertical="center"/>
    </xf>
    <xf numFmtId="0" fontId="60" fillId="17" borderId="0">
      <alignment vertical="center"/>
    </xf>
    <xf numFmtId="0" fontId="60" fillId="18" borderId="0">
      <alignment vertical="center"/>
    </xf>
    <xf numFmtId="0" fontId="60" fillId="19" borderId="0">
      <alignment vertical="center"/>
    </xf>
    <xf numFmtId="0" fontId="10" fillId="0" borderId="0"/>
    <xf numFmtId="0" fontId="60" fillId="21" borderId="0">
      <alignment vertical="center"/>
    </xf>
    <xf numFmtId="0" fontId="60" fillId="22" borderId="0">
      <alignment vertical="center"/>
    </xf>
    <xf numFmtId="0" fontId="60" fillId="23" borderId="0">
      <alignment vertical="center"/>
    </xf>
    <xf numFmtId="0" fontId="60" fillId="17" borderId="0">
      <alignment vertical="center"/>
    </xf>
    <xf numFmtId="0" fontId="60" fillId="18" borderId="0">
      <alignment vertical="center"/>
    </xf>
    <xf numFmtId="0" fontId="60" fillId="24" borderId="0">
      <alignment vertical="center"/>
    </xf>
    <xf numFmtId="0" fontId="70" fillId="7" borderId="0">
      <alignment vertical="center"/>
    </xf>
    <xf numFmtId="0" fontId="86" fillId="0" borderId="0"/>
    <xf numFmtId="0" fontId="91" fillId="0" borderId="0"/>
    <xf numFmtId="0" fontId="69" fillId="2" borderId="18">
      <alignment vertical="center"/>
    </xf>
    <xf numFmtId="0" fontId="74" fillId="26" borderId="23">
      <alignment vertical="center"/>
    </xf>
    <xf numFmtId="41" fontId="10" fillId="0" borderId="0"/>
    <xf numFmtId="43" fontId="10" fillId="0" borderId="0"/>
    <xf numFmtId="0" fontId="73" fillId="0" borderId="0">
      <alignment vertical="center"/>
    </xf>
    <xf numFmtId="0" fontId="9" fillId="0" borderId="0"/>
    <xf numFmtId="0" fontId="84" fillId="8" borderId="0">
      <alignment vertical="center"/>
    </xf>
    <xf numFmtId="0" fontId="92" fillId="0" borderId="0">
      <alignment horizontal="right"/>
    </xf>
    <xf numFmtId="0" fontId="93" fillId="0" borderId="0"/>
    <xf numFmtId="0" fontId="94" fillId="0" borderId="0"/>
    <xf numFmtId="0" fontId="81" fillId="0" borderId="28">
      <alignment vertical="center"/>
    </xf>
    <xf numFmtId="0" fontId="81" fillId="0" borderId="0">
      <alignment vertical="center"/>
    </xf>
    <xf numFmtId="0" fontId="78" fillId="11" borderId="18">
      <alignment vertical="center"/>
    </xf>
    <xf numFmtId="0" fontId="76" fillId="0" borderId="24">
      <alignment vertical="center"/>
    </xf>
    <xf numFmtId="38" fontId="8" fillId="0" borderId="0"/>
    <xf numFmtId="40" fontId="8" fillId="0" borderId="0"/>
    <xf numFmtId="249" fontId="8" fillId="0" borderId="0"/>
    <xf numFmtId="250" fontId="8" fillId="0" borderId="0"/>
    <xf numFmtId="0" fontId="72" fillId="25" borderId="0">
      <alignment vertical="center"/>
    </xf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53" fillId="3" borderId="21">
      <alignment vertical="center"/>
    </xf>
    <xf numFmtId="198" fontId="17" fillId="0" borderId="0">
      <alignment vertical="center"/>
    </xf>
    <xf numFmtId="0" fontId="85" fillId="2" borderId="31">
      <alignment vertical="center"/>
    </xf>
    <xf numFmtId="30" fontId="38" fillId="0" borderId="0">
      <alignment horizontal="left"/>
    </xf>
    <xf numFmtId="186" fontId="17" fillId="0" borderId="0">
      <alignment vertical="center"/>
    </xf>
    <xf numFmtId="251" fontId="58" fillId="0" borderId="33">
      <alignment horizontal="center" vertical="center"/>
    </xf>
    <xf numFmtId="186" fontId="17" fillId="0" borderId="0">
      <alignment vertical="distributed"/>
    </xf>
    <xf numFmtId="0" fontId="10" fillId="27" borderId="0"/>
    <xf numFmtId="0" fontId="42" fillId="0" borderId="0">
      <alignment horizontal="centerContinuous" vertical="center"/>
    </xf>
    <xf numFmtId="0" fontId="25" fillId="4" borderId="0">
      <alignment horizontal="center" vertical="center"/>
    </xf>
    <xf numFmtId="0" fontId="10" fillId="0" borderId="0"/>
    <xf numFmtId="0" fontId="10" fillId="0" borderId="0"/>
    <xf numFmtId="0" fontId="68" fillId="0" borderId="0">
      <alignment vertical="center"/>
    </xf>
    <xf numFmtId="0" fontId="17" fillId="0" borderId="0">
      <alignment vertical="center"/>
    </xf>
    <xf numFmtId="0" fontId="96" fillId="0" borderId="34">
      <alignment horizontal="distributed" wrapText="1"/>
      <protection locked="0"/>
    </xf>
    <xf numFmtId="0" fontId="19" fillId="0" borderId="35">
      <alignment vertical="center"/>
    </xf>
    <xf numFmtId="1" fontId="15" fillId="0" borderId="1">
      <alignment horizontal="center"/>
    </xf>
    <xf numFmtId="242" fontId="180" fillId="0" borderId="0">
      <alignment horizontal="center" vertical="center"/>
    </xf>
    <xf numFmtId="177" fontId="180" fillId="0" borderId="36">
      <alignment horizontal="center" vertical="center"/>
      <protection locked="0"/>
    </xf>
    <xf numFmtId="180" fontId="180" fillId="0" borderId="37">
      <alignment horizontal="center"/>
      <protection locked="0"/>
    </xf>
    <xf numFmtId="181" fontId="180" fillId="0" borderId="37">
      <alignment horizontal="center"/>
      <protection locked="0"/>
    </xf>
    <xf numFmtId="183" fontId="180" fillId="0" borderId="38">
      <alignment horizontal="center"/>
      <protection locked="0"/>
    </xf>
    <xf numFmtId="179" fontId="180" fillId="0" borderId="38">
      <alignment horizontal="center"/>
      <protection locked="0"/>
    </xf>
    <xf numFmtId="182" fontId="180" fillId="0" borderId="38">
      <alignment horizontal="center"/>
      <protection locked="0"/>
    </xf>
    <xf numFmtId="178" fontId="180" fillId="0" borderId="39">
      <alignment horizontal="center" vertical="center"/>
      <protection locked="0"/>
    </xf>
    <xf numFmtId="0" fontId="97" fillId="0" borderId="0"/>
    <xf numFmtId="9" fontId="15" fillId="4" borderId="0">
      <alignment horizontal="right"/>
    </xf>
    <xf numFmtId="10" fontId="15" fillId="0" borderId="0">
      <alignment horizontal="right"/>
    </xf>
    <xf numFmtId="9" fontId="180" fillId="0" borderId="0"/>
    <xf numFmtId="9" fontId="180" fillId="0" borderId="0"/>
    <xf numFmtId="9" fontId="180" fillId="0" borderId="0">
      <alignment vertical="center"/>
    </xf>
    <xf numFmtId="9" fontId="180" fillId="0" borderId="0">
      <alignment vertical="center"/>
    </xf>
    <xf numFmtId="9" fontId="9" fillId="0" borderId="0"/>
    <xf numFmtId="9" fontId="180" fillId="0" borderId="0"/>
    <xf numFmtId="9" fontId="180" fillId="0" borderId="0"/>
    <xf numFmtId="9" fontId="180" fillId="0" borderId="0"/>
    <xf numFmtId="0" fontId="180" fillId="0" borderId="2">
      <alignment horizontal="center" vertical="center"/>
    </xf>
    <xf numFmtId="0" fontId="98" fillId="0" borderId="0"/>
    <xf numFmtId="188" fontId="99" fillId="0" borderId="19">
      <alignment vertical="center"/>
    </xf>
    <xf numFmtId="49" fontId="96" fillId="0" borderId="40">
      <alignment horizontal="center" vertical="center"/>
      <protection locked="0"/>
    </xf>
    <xf numFmtId="0" fontId="61" fillId="0" borderId="0">
      <alignment horizontal="centerContinuous" vertical="center"/>
    </xf>
    <xf numFmtId="0" fontId="61" fillId="0" borderId="0">
      <alignment horizontal="centerContinuous" vertical="center"/>
    </xf>
    <xf numFmtId="189" fontId="61" fillId="0" borderId="0">
      <alignment horizontal="centerContinuous" vertical="center"/>
    </xf>
    <xf numFmtId="0" fontId="100" fillId="0" borderId="0">
      <alignment vertical="center"/>
      <protection locked="0"/>
    </xf>
    <xf numFmtId="252" fontId="89" fillId="0" borderId="0">
      <alignment vertical="center"/>
    </xf>
    <xf numFmtId="188" fontId="59" fillId="0" borderId="19">
      <alignment vertical="center"/>
    </xf>
    <xf numFmtId="41" fontId="180" fillId="0" borderId="0"/>
    <xf numFmtId="41" fontId="180" fillId="0" borderId="0">
      <alignment vertical="center"/>
    </xf>
    <xf numFmtId="188" fontId="9" fillId="0" borderId="0"/>
    <xf numFmtId="41" fontId="180" fillId="0" borderId="0">
      <alignment vertical="center"/>
    </xf>
    <xf numFmtId="43" fontId="180" fillId="0" borderId="0"/>
    <xf numFmtId="43" fontId="180" fillId="0" borderId="0"/>
    <xf numFmtId="43" fontId="180" fillId="0" borderId="0"/>
    <xf numFmtId="43" fontId="180" fillId="0" borderId="0"/>
    <xf numFmtId="43" fontId="180" fillId="0" borderId="0"/>
    <xf numFmtId="43" fontId="180" fillId="0" borderId="0"/>
    <xf numFmtId="43" fontId="180" fillId="0" borderId="0"/>
    <xf numFmtId="43" fontId="180" fillId="0" borderId="0"/>
    <xf numFmtId="43" fontId="180" fillId="0" borderId="0"/>
    <xf numFmtId="0" fontId="64" fillId="0" borderId="0"/>
    <xf numFmtId="0" fontId="64" fillId="0" borderId="0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01" fillId="0" borderId="40">
      <alignment horizontal="distributed" vertical="center" wrapText="1"/>
      <protection locked="0"/>
    </xf>
    <xf numFmtId="1" fontId="100" fillId="4" borderId="0">
      <alignment vertical="center"/>
    </xf>
    <xf numFmtId="221" fontId="102" fillId="0" borderId="0">
      <alignment vertical="center"/>
    </xf>
    <xf numFmtId="253" fontId="10" fillId="0" borderId="1"/>
    <xf numFmtId="252" fontId="96" fillId="0" borderId="0"/>
    <xf numFmtId="0" fontId="11" fillId="0" borderId="0">
      <alignment textRotation="255"/>
    </xf>
    <xf numFmtId="0" fontId="11" fillId="0" borderId="0"/>
    <xf numFmtId="0" fontId="180" fillId="0" borderId="0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180" fillId="0" borderId="41"/>
    <xf numFmtId="0" fontId="9" fillId="0" borderId="0"/>
    <xf numFmtId="0" fontId="96" fillId="0" borderId="0">
      <alignment vertical="center"/>
    </xf>
    <xf numFmtId="0" fontId="11" fillId="0" borderId="0"/>
    <xf numFmtId="0" fontId="103" fillId="0" borderId="0">
      <alignment vertical="top"/>
      <protection locked="0"/>
    </xf>
    <xf numFmtId="0" fontId="11" fillId="0" borderId="0"/>
    <xf numFmtId="41" fontId="11" fillId="0" borderId="0"/>
    <xf numFmtId="254" fontId="9" fillId="0" borderId="0"/>
    <xf numFmtId="0" fontId="11" fillId="0" borderId="0"/>
    <xf numFmtId="0" fontId="25" fillId="0" borderId="0">
      <alignment vertical="center"/>
    </xf>
    <xf numFmtId="0" fontId="104" fillId="0" borderId="0">
      <alignment vertical="center"/>
    </xf>
    <xf numFmtId="0" fontId="25" fillId="0" borderId="0">
      <alignment vertical="center"/>
    </xf>
    <xf numFmtId="193" fontId="9" fillId="0" borderId="0">
      <alignment horizontal="center"/>
    </xf>
    <xf numFmtId="182" fontId="180" fillId="0" borderId="1">
      <alignment vertical="center"/>
    </xf>
    <xf numFmtId="0" fontId="25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80" fillId="0" borderId="0"/>
    <xf numFmtId="0" fontId="10" fillId="0" borderId="0"/>
    <xf numFmtId="0" fontId="180" fillId="0" borderId="0"/>
    <xf numFmtId="0" fontId="10" fillId="0" borderId="0"/>
    <xf numFmtId="0" fontId="12" fillId="0" borderId="0"/>
    <xf numFmtId="0" fontId="12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2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64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4" fillId="0" borderId="0"/>
    <xf numFmtId="0" fontId="10" fillId="0" borderId="0"/>
    <xf numFmtId="0" fontId="10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2" fillId="0" borderId="0"/>
    <xf numFmtId="0" fontId="9" fillId="0" borderId="0"/>
    <xf numFmtId="0" fontId="12" fillId="0" borderId="0"/>
    <xf numFmtId="255" fontId="9" fillId="0" borderId="0"/>
    <xf numFmtId="0" fontId="12" fillId="0" borderId="0"/>
    <xf numFmtId="0" fontId="12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1" fillId="0" borderId="0"/>
    <xf numFmtId="0" fontId="9" fillId="0" borderId="0"/>
    <xf numFmtId="0" fontId="9" fillId="0" borderId="0"/>
    <xf numFmtId="0" fontId="12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2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9" fillId="0" borderId="0"/>
    <xf numFmtId="0" fontId="11" fillId="0" borderId="0"/>
    <xf numFmtId="0" fontId="12" fillId="0" borderId="0"/>
    <xf numFmtId="0" fontId="9" fillId="0" borderId="0"/>
    <xf numFmtId="0" fontId="12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10" fillId="0" borderId="0"/>
    <xf numFmtId="0" fontId="12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0" fillId="0" borderId="0"/>
    <xf numFmtId="0" fontId="11" fillId="0" borderId="0"/>
    <xf numFmtId="0" fontId="10" fillId="0" borderId="0"/>
    <xf numFmtId="0" fontId="180" fillId="0" borderId="0"/>
    <xf numFmtId="0" fontId="180" fillId="0" borderId="0"/>
    <xf numFmtId="0" fontId="9" fillId="0" borderId="0"/>
    <xf numFmtId="0" fontId="12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64" fillId="0" borderId="0"/>
    <xf numFmtId="0" fontId="9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80" fillId="0" borderId="0"/>
    <xf numFmtId="0" fontId="18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1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2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64" fillId="0" borderId="0"/>
    <xf numFmtId="0" fontId="64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2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43" fontId="105" fillId="0" borderId="0"/>
    <xf numFmtId="0" fontId="9" fillId="0" borderId="0"/>
    <xf numFmtId="41" fontId="105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2" fillId="0" borderId="0"/>
    <xf numFmtId="0" fontId="10" fillId="0" borderId="0"/>
    <xf numFmtId="0" fontId="12" fillId="0" borderId="0"/>
    <xf numFmtId="0" fontId="64" fillId="0" borderId="0"/>
    <xf numFmtId="0" fontId="10" fillId="0" borderId="0"/>
    <xf numFmtId="0" fontId="9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0" fillId="0" borderId="0"/>
    <xf numFmtId="0" fontId="10" fillId="0" borderId="0"/>
    <xf numFmtId="0" fontId="6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255" fontId="9" fillId="0" borderId="0"/>
    <xf numFmtId="0" fontId="10" fillId="0" borderId="0"/>
    <xf numFmtId="0" fontId="10" fillId="0" borderId="0"/>
    <xf numFmtId="0" fontId="9" fillId="0" borderId="0"/>
    <xf numFmtId="0" fontId="11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9" fillId="0" borderId="0"/>
    <xf numFmtId="0" fontId="9" fillId="0" borderId="0"/>
    <xf numFmtId="0" fontId="11" fillId="0" borderId="0"/>
    <xf numFmtId="0" fontId="10" fillId="0" borderId="0"/>
    <xf numFmtId="9" fontId="105" fillId="0" borderId="0"/>
    <xf numFmtId="0" fontId="10" fillId="0" borderId="0"/>
    <xf numFmtId="0" fontId="11" fillId="0" borderId="0"/>
    <xf numFmtId="0" fontId="12" fillId="0" borderId="0"/>
    <xf numFmtId="0" fontId="9" fillId="0" borderId="0"/>
    <xf numFmtId="0" fontId="10" fillId="0" borderId="0"/>
    <xf numFmtId="0" fontId="10" fillId="0" borderId="0"/>
    <xf numFmtId="0" fontId="12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9" fillId="0" borderId="0"/>
    <xf numFmtId="0" fontId="12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64" fillId="0" borderId="0"/>
    <xf numFmtId="0" fontId="9" fillId="0" borderId="0"/>
    <xf numFmtId="0" fontId="12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255" fontId="9" fillId="0" borderId="0"/>
    <xf numFmtId="0" fontId="24" fillId="0" borderId="0">
      <protection locked="0"/>
    </xf>
    <xf numFmtId="9" fontId="10" fillId="8" borderId="0"/>
    <xf numFmtId="0" fontId="25" fillId="0" borderId="0">
      <alignment vertical="center"/>
    </xf>
    <xf numFmtId="0" fontId="25" fillId="0" borderId="0">
      <alignment vertical="center"/>
    </xf>
    <xf numFmtId="256" fontId="2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10" fillId="0" borderId="0"/>
    <xf numFmtId="0" fontId="106" fillId="0" borderId="14"/>
    <xf numFmtId="41" fontId="9" fillId="0" borderId="0">
      <alignment horizontal="center" vertical="center"/>
    </xf>
    <xf numFmtId="180" fontId="107" fillId="0" borderId="0">
      <alignment horizontal="center" vertical="center"/>
    </xf>
    <xf numFmtId="243" fontId="180" fillId="0" borderId="39">
      <alignment vertical="center" wrapText="1"/>
    </xf>
    <xf numFmtId="216" fontId="24" fillId="0" borderId="0">
      <protection locked="0"/>
    </xf>
    <xf numFmtId="216" fontId="24" fillId="0" borderId="0">
      <protection locked="0"/>
    </xf>
    <xf numFmtId="188" fontId="108" fillId="0" borderId="0"/>
    <xf numFmtId="0" fontId="24" fillId="0" borderId="0">
      <protection locked="0"/>
    </xf>
    <xf numFmtId="0" fontId="10" fillId="0" borderId="0"/>
    <xf numFmtId="257" fontId="180" fillId="0" borderId="1">
      <alignment vertical="center"/>
    </xf>
    <xf numFmtId="257" fontId="180" fillId="0" borderId="1">
      <alignment vertical="center"/>
    </xf>
    <xf numFmtId="257" fontId="180" fillId="0" borderId="1">
      <alignment vertical="center"/>
    </xf>
    <xf numFmtId="195" fontId="9" fillId="0" borderId="0">
      <protection locked="0"/>
    </xf>
    <xf numFmtId="257" fontId="180" fillId="0" borderId="1">
      <alignment vertical="center"/>
    </xf>
    <xf numFmtId="257" fontId="180" fillId="0" borderId="1">
      <alignment vertical="center"/>
    </xf>
    <xf numFmtId="257" fontId="180" fillId="0" borderId="1">
      <alignment vertical="center"/>
    </xf>
    <xf numFmtId="257" fontId="180" fillId="0" borderId="1">
      <alignment vertical="center"/>
    </xf>
    <xf numFmtId="257" fontId="180" fillId="0" borderId="1">
      <alignment vertical="center"/>
    </xf>
    <xf numFmtId="257" fontId="180" fillId="0" borderId="1">
      <alignment vertical="center"/>
    </xf>
    <xf numFmtId="257" fontId="180" fillId="0" borderId="1">
      <alignment vertical="center"/>
    </xf>
    <xf numFmtId="257" fontId="180" fillId="0" borderId="1">
      <alignment vertical="center"/>
    </xf>
    <xf numFmtId="257" fontId="180" fillId="0" borderId="1">
      <alignment vertical="center"/>
    </xf>
    <xf numFmtId="257" fontId="180" fillId="0" borderId="1">
      <alignment vertical="center"/>
    </xf>
    <xf numFmtId="257" fontId="180" fillId="0" borderId="1">
      <alignment vertical="center"/>
    </xf>
    <xf numFmtId="40" fontId="9" fillId="0" borderId="0">
      <protection locked="0"/>
    </xf>
    <xf numFmtId="221" fontId="109" fillId="0" borderId="0"/>
    <xf numFmtId="258" fontId="109" fillId="0" borderId="0"/>
    <xf numFmtId="259" fontId="110" fillId="0" borderId="1">
      <alignment horizontal="center" vertical="center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96" fontId="91" fillId="0" borderId="0"/>
    <xf numFmtId="0" fontId="111" fillId="0" borderId="0"/>
    <xf numFmtId="0" fontId="91" fillId="0" borderId="0"/>
    <xf numFmtId="0" fontId="18" fillId="0" borderId="0"/>
    <xf numFmtId="0" fontId="91" fillId="0" borderId="0"/>
    <xf numFmtId="0" fontId="18" fillId="0" borderId="0"/>
    <xf numFmtId="216" fontId="24" fillId="0" borderId="0">
      <protection locked="0"/>
    </xf>
    <xf numFmtId="197" fontId="91" fillId="0" borderId="0"/>
    <xf numFmtId="0" fontId="111" fillId="0" borderId="0"/>
    <xf numFmtId="0" fontId="91" fillId="0" borderId="0"/>
    <xf numFmtId="0" fontId="18" fillId="0" borderId="0"/>
    <xf numFmtId="0" fontId="91" fillId="0" borderId="0"/>
    <xf numFmtId="0" fontId="18" fillId="0" borderId="0"/>
    <xf numFmtId="216" fontId="24" fillId="0" borderId="0">
      <protection locked="0"/>
    </xf>
    <xf numFmtId="216" fontId="24" fillId="0" borderId="0">
      <protection locked="0"/>
    </xf>
    <xf numFmtId="260" fontId="109" fillId="0" borderId="0"/>
    <xf numFmtId="261" fontId="109" fillId="0" borderId="0"/>
    <xf numFmtId="262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88" fontId="91" fillId="0" borderId="0"/>
    <xf numFmtId="0" fontId="111" fillId="0" borderId="0"/>
    <xf numFmtId="0" fontId="91" fillId="0" borderId="0"/>
    <xf numFmtId="0" fontId="18" fillId="0" borderId="0"/>
    <xf numFmtId="0" fontId="91" fillId="0" borderId="0"/>
    <xf numFmtId="0" fontId="18" fillId="0" borderId="0"/>
    <xf numFmtId="216" fontId="24" fillId="0" borderId="0">
      <protection locked="0"/>
    </xf>
    <xf numFmtId="198" fontId="91" fillId="0" borderId="0"/>
    <xf numFmtId="0" fontId="111" fillId="0" borderId="0"/>
    <xf numFmtId="0" fontId="91" fillId="0" borderId="0"/>
    <xf numFmtId="0" fontId="18" fillId="0" borderId="0"/>
    <xf numFmtId="0" fontId="9" fillId="0" borderId="0"/>
    <xf numFmtId="0" fontId="18" fillId="0" borderId="0"/>
    <xf numFmtId="216" fontId="24" fillId="0" borderId="0">
      <protection locked="0"/>
    </xf>
    <xf numFmtId="4" fontId="24" fillId="0" borderId="0">
      <protection locked="0"/>
    </xf>
    <xf numFmtId="263" fontId="24" fillId="0" borderId="0">
      <protection locked="0"/>
    </xf>
    <xf numFmtId="0" fontId="10" fillId="4" borderId="0"/>
    <xf numFmtId="49" fontId="112" fillId="2" borderId="0">
      <alignment horizontal="right"/>
    </xf>
    <xf numFmtId="40" fontId="9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37" fontId="18" fillId="0" borderId="0"/>
    <xf numFmtId="0" fontId="20" fillId="0" borderId="0"/>
    <xf numFmtId="0" fontId="91" fillId="0" borderId="0"/>
    <xf numFmtId="49" fontId="18" fillId="0" borderId="0"/>
    <xf numFmtId="37" fontId="18" fillId="0" borderId="0"/>
    <xf numFmtId="37" fontId="91" fillId="0" borderId="0"/>
    <xf numFmtId="37" fontId="18" fillId="0" borderId="0"/>
    <xf numFmtId="216" fontId="24" fillId="0" borderId="0">
      <protection locked="0"/>
    </xf>
    <xf numFmtId="0" fontId="18" fillId="0" borderId="0"/>
    <xf numFmtId="0" fontId="91" fillId="0" borderId="0"/>
    <xf numFmtId="0" fontId="18" fillId="0" borderId="0"/>
    <xf numFmtId="0" fontId="113" fillId="0" borderId="0"/>
    <xf numFmtId="0" fontId="18" fillId="0" borderId="0"/>
    <xf numFmtId="264" fontId="180" fillId="0" borderId="0"/>
    <xf numFmtId="265" fontId="180" fillId="0" borderId="0"/>
    <xf numFmtId="266" fontId="180" fillId="0" borderId="0"/>
    <xf numFmtId="267" fontId="180" fillId="0" borderId="0"/>
    <xf numFmtId="268" fontId="180" fillId="0" borderId="0"/>
    <xf numFmtId="269" fontId="180" fillId="0" borderId="0"/>
    <xf numFmtId="264" fontId="180" fillId="0" borderId="0"/>
    <xf numFmtId="0" fontId="24" fillId="0" borderId="5">
      <protection locked="0"/>
    </xf>
    <xf numFmtId="216" fontId="24" fillId="0" borderId="0">
      <protection locked="0"/>
    </xf>
    <xf numFmtId="0" fontId="112" fillId="28" borderId="1">
      <alignment horizontal="center"/>
    </xf>
    <xf numFmtId="0" fontId="114" fillId="29" borderId="42">
      <alignment horizontal="left" wrapText="1"/>
    </xf>
    <xf numFmtId="188" fontId="108" fillId="0" borderId="0"/>
    <xf numFmtId="268" fontId="180" fillId="0" borderId="0"/>
    <xf numFmtId="0" fontId="86" fillId="2" borderId="0"/>
    <xf numFmtId="0" fontId="115" fillId="2" borderId="0"/>
    <xf numFmtId="0" fontId="116" fillId="2" borderId="0"/>
    <xf numFmtId="0" fontId="117" fillId="2" borderId="0"/>
    <xf numFmtId="0" fontId="118" fillId="28" borderId="43">
      <alignment horizontal="centerContinuous" vertical="center"/>
    </xf>
    <xf numFmtId="270" fontId="29" fillId="2" borderId="44"/>
    <xf numFmtId="0" fontId="9" fillId="0" borderId="0"/>
    <xf numFmtId="264" fontId="180" fillId="0" borderId="0"/>
    <xf numFmtId="0" fontId="10" fillId="0" borderId="0"/>
    <xf numFmtId="14" fontId="10" fillId="0" borderId="0"/>
    <xf numFmtId="271" fontId="180" fillId="0" borderId="45">
      <alignment vertical="center"/>
    </xf>
    <xf numFmtId="0" fontId="10" fillId="3" borderId="46"/>
    <xf numFmtId="272" fontId="10" fillId="3" borderId="47">
      <alignment horizontal="center"/>
    </xf>
    <xf numFmtId="273" fontId="86" fillId="0" borderId="0">
      <alignment horizontal="centerContinuous"/>
    </xf>
    <xf numFmtId="274" fontId="24" fillId="0" borderId="0">
      <protection locked="0"/>
    </xf>
    <xf numFmtId="275" fontId="24" fillId="0" borderId="0">
      <protection locked="0"/>
    </xf>
    <xf numFmtId="268" fontId="180" fillId="0" borderId="0"/>
    <xf numFmtId="264" fontId="180" fillId="0" borderId="0"/>
    <xf numFmtId="268" fontId="180" fillId="0" borderId="0"/>
    <xf numFmtId="269" fontId="180" fillId="0" borderId="0"/>
    <xf numFmtId="264" fontId="180" fillId="0" borderId="0"/>
    <xf numFmtId="0" fontId="29" fillId="2" borderId="0"/>
    <xf numFmtId="0" fontId="119" fillId="0" borderId="0"/>
    <xf numFmtId="276" fontId="9" fillId="0" borderId="0"/>
    <xf numFmtId="0" fontId="120" fillId="29" borderId="30"/>
    <xf numFmtId="12" fontId="10" fillId="4" borderId="48">
      <alignment horizontal="center"/>
    </xf>
    <xf numFmtId="0" fontId="121" fillId="0" borderId="0">
      <alignment vertical="top"/>
      <protection locked="0"/>
    </xf>
    <xf numFmtId="272" fontId="10" fillId="10" borderId="49">
      <alignment horizontal="center"/>
      <protection locked="0"/>
    </xf>
    <xf numFmtId="12" fontId="10" fillId="10" borderId="49">
      <alignment horizontal="center"/>
      <protection locked="0"/>
    </xf>
    <xf numFmtId="0" fontId="93" fillId="10" borderId="50">
      <alignment horizontal="center" vertical="center"/>
      <protection locked="0"/>
    </xf>
    <xf numFmtId="0" fontId="78" fillId="11" borderId="18">
      <alignment vertical="center"/>
    </xf>
    <xf numFmtId="270" fontId="29" fillId="3" borderId="0">
      <protection locked="0"/>
    </xf>
    <xf numFmtId="15" fontId="29" fillId="3" borderId="0">
      <protection locked="0"/>
    </xf>
    <xf numFmtId="49" fontId="29" fillId="3" borderId="0">
      <protection locked="0"/>
    </xf>
    <xf numFmtId="49" fontId="29" fillId="3" borderId="39"/>
    <xf numFmtId="0" fontId="86" fillId="3" borderId="49">
      <alignment horizontal="left"/>
    </xf>
    <xf numFmtId="0" fontId="86" fillId="10" borderId="0">
      <alignment horizontal="left"/>
    </xf>
    <xf numFmtId="277" fontId="180" fillId="0" borderId="1">
      <alignment vertical="center"/>
    </xf>
    <xf numFmtId="278" fontId="180" fillId="0" borderId="0"/>
    <xf numFmtId="177" fontId="180" fillId="0" borderId="0"/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79" fontId="180" fillId="0" borderId="1">
      <alignment vertical="center"/>
    </xf>
    <xf numFmtId="268" fontId="180" fillId="0" borderId="0"/>
    <xf numFmtId="264" fontId="180" fillId="0" borderId="0"/>
    <xf numFmtId="268" fontId="180" fillId="0" borderId="0"/>
    <xf numFmtId="269" fontId="180" fillId="0" borderId="0"/>
    <xf numFmtId="264" fontId="180" fillId="0" borderId="0"/>
    <xf numFmtId="280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1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0" fontId="180" fillId="0" borderId="1">
      <alignment horizontal="right" vertical="center"/>
    </xf>
    <xf numFmtId="282" fontId="180" fillId="0" borderId="1">
      <alignment vertical="center"/>
    </xf>
    <xf numFmtId="283" fontId="180" fillId="0" borderId="1">
      <alignment vertical="center"/>
    </xf>
    <xf numFmtId="0" fontId="10" fillId="0" borderId="0"/>
    <xf numFmtId="180" fontId="89" fillId="0" borderId="0">
      <alignment horizontal="centerContinuous" vertical="center"/>
    </xf>
    <xf numFmtId="188" fontId="108" fillId="0" borderId="0"/>
    <xf numFmtId="0" fontId="64" fillId="0" borderId="0"/>
    <xf numFmtId="0" fontId="10" fillId="0" borderId="0"/>
    <xf numFmtId="0" fontId="10" fillId="0" borderId="0"/>
    <xf numFmtId="284" fontId="93" fillId="3" borderId="50">
      <alignment horizontal="center"/>
    </xf>
    <xf numFmtId="0" fontId="10" fillId="2" borderId="49">
      <alignment horizontal="center"/>
      <protection locked="0"/>
    </xf>
    <xf numFmtId="0" fontId="13" fillId="4" borderId="0"/>
    <xf numFmtId="267" fontId="180" fillId="0" borderId="0"/>
    <xf numFmtId="211" fontId="180" fillId="0" borderId="0"/>
    <xf numFmtId="285" fontId="180" fillId="0" borderId="0"/>
    <xf numFmtId="268" fontId="180" fillId="0" borderId="0"/>
    <xf numFmtId="264" fontId="180" fillId="0" borderId="0"/>
    <xf numFmtId="268" fontId="180" fillId="0" borderId="0"/>
    <xf numFmtId="269" fontId="180" fillId="0" borderId="0"/>
    <xf numFmtId="264" fontId="180" fillId="0" borderId="0"/>
    <xf numFmtId="0" fontId="65" fillId="2" borderId="0"/>
    <xf numFmtId="9" fontId="8" fillId="0" borderId="0"/>
    <xf numFmtId="0" fontId="10" fillId="0" borderId="0"/>
    <xf numFmtId="0" fontId="64" fillId="0" borderId="0"/>
    <xf numFmtId="0" fontId="122" fillId="2" borderId="0"/>
    <xf numFmtId="0" fontId="64" fillId="0" borderId="0"/>
    <xf numFmtId="0" fontId="123" fillId="0" borderId="1">
      <alignment vertical="center"/>
    </xf>
    <xf numFmtId="284" fontId="10" fillId="0" borderId="0"/>
    <xf numFmtId="49" fontId="124" fillId="2" borderId="0">
      <alignment horizontal="centerContinuous"/>
    </xf>
    <xf numFmtId="0" fontId="8" fillId="0" borderId="0"/>
    <xf numFmtId="0" fontId="125" fillId="2" borderId="0">
      <alignment horizontal="centerContinuous" vertical="center"/>
      <protection hidden="1"/>
    </xf>
    <xf numFmtId="0" fontId="10" fillId="2" borderId="49">
      <alignment horizontal="center"/>
    </xf>
    <xf numFmtId="0" fontId="10" fillId="2" borderId="49">
      <alignment horizontal="center"/>
    </xf>
    <xf numFmtId="49" fontId="10" fillId="0" borderId="0"/>
    <xf numFmtId="285" fontId="180" fillId="0" borderId="0"/>
    <xf numFmtId="286" fontId="180" fillId="0" borderId="0"/>
    <xf numFmtId="287" fontId="86" fillId="0" borderId="0">
      <alignment horizontal="centerContinuous"/>
    </xf>
    <xf numFmtId="270" fontId="112" fillId="2" borderId="0"/>
    <xf numFmtId="49" fontId="126" fillId="2" borderId="0">
      <alignment horizontal="right"/>
    </xf>
    <xf numFmtId="288" fontId="180" fillId="0" borderId="0"/>
    <xf numFmtId="219" fontId="180" fillId="0" borderId="0"/>
    <xf numFmtId="49" fontId="30" fillId="0" borderId="1">
      <alignment horizontal="center" vertical="center"/>
    </xf>
    <xf numFmtId="289" fontId="50" fillId="0" borderId="0">
      <alignment horizontal="right"/>
    </xf>
    <xf numFmtId="290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1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0" fontId="180" fillId="0" borderId="1">
      <alignment vertical="center"/>
    </xf>
    <xf numFmtId="292" fontId="180" fillId="0" borderId="1">
      <alignment vertical="center"/>
    </xf>
    <xf numFmtId="293" fontId="180" fillId="0" borderId="0"/>
    <xf numFmtId="293" fontId="180" fillId="0" borderId="0"/>
    <xf numFmtId="293" fontId="180" fillId="0" borderId="0"/>
    <xf numFmtId="293" fontId="180" fillId="0" borderId="0"/>
    <xf numFmtId="293" fontId="180" fillId="0" borderId="0"/>
    <xf numFmtId="293" fontId="180" fillId="0" borderId="0"/>
    <xf numFmtId="293" fontId="180" fillId="0" borderId="0"/>
    <xf numFmtId="293" fontId="180" fillId="0" borderId="0"/>
    <xf numFmtId="293" fontId="180" fillId="0" borderId="0"/>
    <xf numFmtId="293" fontId="180" fillId="0" borderId="0"/>
    <xf numFmtId="293" fontId="180" fillId="0" borderId="0"/>
    <xf numFmtId="0" fontId="127" fillId="0" borderId="13">
      <alignment horizontal="center" vertical="center"/>
    </xf>
    <xf numFmtId="0" fontId="128" fillId="0" borderId="0"/>
    <xf numFmtId="0" fontId="129" fillId="0" borderId="0">
      <alignment horizontal="centerContinuous"/>
    </xf>
    <xf numFmtId="177" fontId="89" fillId="0" borderId="30">
      <alignment horizontal="center" vertical="center"/>
    </xf>
    <xf numFmtId="183" fontId="180" fillId="0" borderId="38">
      <alignment horizontal="center"/>
      <protection locked="0"/>
    </xf>
    <xf numFmtId="0" fontId="11" fillId="0" borderId="0"/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283" fontId="180" fillId="0" borderId="0">
      <alignment vertical="center"/>
    </xf>
    <xf numFmtId="40" fontId="9" fillId="0" borderId="0">
      <protection locked="0"/>
    </xf>
    <xf numFmtId="294" fontId="46" fillId="0" borderId="29"/>
    <xf numFmtId="0" fontId="130" fillId="0" borderId="0"/>
    <xf numFmtId="3" fontId="17" fillId="0" borderId="1"/>
    <xf numFmtId="0" fontId="17" fillId="0" borderId="1"/>
    <xf numFmtId="3" fontId="17" fillId="0" borderId="51"/>
    <xf numFmtId="3" fontId="17" fillId="0" borderId="52"/>
    <xf numFmtId="0" fontId="131" fillId="0" borderId="1"/>
    <xf numFmtId="0" fontId="132" fillId="0" borderId="0">
      <alignment horizontal="center"/>
    </xf>
    <xf numFmtId="0" fontId="108" fillId="0" borderId="53">
      <alignment horizontal="center"/>
    </xf>
    <xf numFmtId="199" fontId="46" fillId="0" borderId="41"/>
    <xf numFmtId="4" fontId="46" fillId="0" borderId="29"/>
    <xf numFmtId="295" fontId="46" fillId="0" borderId="29"/>
    <xf numFmtId="296" fontId="46" fillId="0" borderId="29"/>
    <xf numFmtId="297" fontId="30" fillId="0" borderId="0"/>
    <xf numFmtId="1" fontId="61" fillId="0" borderId="0">
      <alignment horizontal="centerContinuous"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30" fillId="0" borderId="35">
      <alignment vertical="center"/>
    </xf>
    <xf numFmtId="280" fontId="180" fillId="0" borderId="1">
      <alignment horizontal="left" vertical="center"/>
    </xf>
    <xf numFmtId="298" fontId="58" fillId="0" borderId="0">
      <alignment horizontal="centerContinuous"/>
    </xf>
    <xf numFmtId="299" fontId="58" fillId="0" borderId="0">
      <alignment horizontal="centerContinuous"/>
    </xf>
    <xf numFmtId="223" fontId="55" fillId="0" borderId="0"/>
    <xf numFmtId="300" fontId="9" fillId="0" borderId="0"/>
    <xf numFmtId="223" fontId="55" fillId="0" borderId="0"/>
    <xf numFmtId="256" fontId="180" fillId="0" borderId="0"/>
    <xf numFmtId="223" fontId="55" fillId="0" borderId="0"/>
    <xf numFmtId="189" fontId="25" fillId="0" borderId="0"/>
    <xf numFmtId="194" fontId="9" fillId="0" borderId="0"/>
    <xf numFmtId="301" fontId="9" fillId="0" borderId="0"/>
    <xf numFmtId="223" fontId="55" fillId="0" borderId="0"/>
    <xf numFmtId="180" fontId="9" fillId="0" borderId="0"/>
    <xf numFmtId="0" fontId="133" fillId="0" borderId="0"/>
    <xf numFmtId="2" fontId="58" fillId="0" borderId="0">
      <alignment horizontal="centerContinuous"/>
    </xf>
    <xf numFmtId="0" fontId="134" fillId="0" borderId="0">
      <alignment vertical="center" shrinkToFit="1"/>
    </xf>
    <xf numFmtId="302" fontId="86" fillId="0" borderId="0">
      <alignment horizontal="centerContinuous"/>
    </xf>
    <xf numFmtId="303" fontId="58" fillId="0" borderId="0">
      <alignment horizontal="centerContinuous"/>
    </xf>
    <xf numFmtId="304" fontId="58" fillId="0" borderId="0">
      <alignment horizontal="centerContinuous"/>
    </xf>
    <xf numFmtId="305" fontId="50" fillId="0" borderId="0"/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95" fontId="9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40" fontId="9" fillId="0" borderId="0">
      <protection locked="0"/>
    </xf>
    <xf numFmtId="181" fontId="96" fillId="0" borderId="1">
      <alignment vertical="center"/>
    </xf>
    <xf numFmtId="0" fontId="135" fillId="0" borderId="0">
      <alignment horizontal="center" vertical="center"/>
    </xf>
    <xf numFmtId="184" fontId="136" fillId="0" borderId="1">
      <alignment horizontal="left" vertical="center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95" fontId="9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40" fontId="9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216" fontId="24" fillId="0" borderId="0">
      <protection locked="0"/>
    </xf>
    <xf numFmtId="195" fontId="9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40" fontId="9" fillId="0" borderId="0">
      <protection locked="0"/>
    </xf>
    <xf numFmtId="0" fontId="180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11" fillId="0" borderId="0"/>
    <xf numFmtId="49" fontId="17" fillId="0" borderId="0">
      <alignment horizontal="left"/>
    </xf>
    <xf numFmtId="49" fontId="43" fillId="0" borderId="0">
      <alignment horizontal="centerContinuous" vertical="center"/>
    </xf>
    <xf numFmtId="0" fontId="10" fillId="0" borderId="0"/>
    <xf numFmtId="0" fontId="10" fillId="0" borderId="0"/>
    <xf numFmtId="240" fontId="180" fillId="0" borderId="0">
      <protection locked="0"/>
    </xf>
    <xf numFmtId="0" fontId="13" fillId="0" borderId="0"/>
    <xf numFmtId="0" fontId="10" fillId="0" borderId="0"/>
    <xf numFmtId="0" fontId="10" fillId="0" borderId="0"/>
    <xf numFmtId="0" fontId="12" fillId="0" borderId="0"/>
    <xf numFmtId="0" fontId="78" fillId="25" borderId="18">
      <alignment vertical="center"/>
    </xf>
    <xf numFmtId="0" fontId="32" fillId="0" borderId="0"/>
    <xf numFmtId="0" fontId="13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0" fontId="9" fillId="0" borderId="0">
      <protection locked="0"/>
    </xf>
    <xf numFmtId="40" fontId="9" fillId="0" borderId="0">
      <protection locked="0"/>
    </xf>
    <xf numFmtId="0" fontId="10" fillId="0" borderId="0"/>
    <xf numFmtId="0" fontId="10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40" fontId="9" fillId="0" borderId="0">
      <protection locked="0"/>
    </xf>
    <xf numFmtId="40" fontId="9" fillId="0" borderId="0">
      <protection locked="0"/>
    </xf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223" fontId="9" fillId="0" borderId="0">
      <alignment vertical="center"/>
    </xf>
    <xf numFmtId="0" fontId="15" fillId="0" borderId="0">
      <alignment horizontal="center" vertical="center"/>
    </xf>
    <xf numFmtId="41" fontId="9" fillId="0" borderId="0">
      <alignment horizontal="center" vertical="center"/>
    </xf>
    <xf numFmtId="40" fontId="9" fillId="0" borderId="0">
      <protection locked="0"/>
    </xf>
    <xf numFmtId="0" fontId="53" fillId="12" borderId="0">
      <alignment vertical="center"/>
    </xf>
    <xf numFmtId="0" fontId="53" fillId="13" borderId="0">
      <alignment vertical="center"/>
    </xf>
    <xf numFmtId="0" fontId="53" fillId="3" borderId="0">
      <alignment vertical="center"/>
    </xf>
    <xf numFmtId="0" fontId="53" fillId="11" borderId="0">
      <alignment vertical="center"/>
    </xf>
    <xf numFmtId="0" fontId="53" fillId="10" borderId="0">
      <alignment vertical="center"/>
    </xf>
    <xf numFmtId="0" fontId="53" fillId="3" borderId="0">
      <alignment vertical="center"/>
    </xf>
    <xf numFmtId="0" fontId="53" fillId="10" borderId="0">
      <alignment vertical="center"/>
    </xf>
    <xf numFmtId="0" fontId="53" fillId="13" borderId="0">
      <alignment vertical="center"/>
    </xf>
    <xf numFmtId="0" fontId="53" fillId="25" borderId="0">
      <alignment vertical="center"/>
    </xf>
    <xf numFmtId="0" fontId="53" fillId="7" borderId="0">
      <alignment vertical="center"/>
    </xf>
    <xf numFmtId="0" fontId="53" fillId="10" borderId="0">
      <alignment vertical="center"/>
    </xf>
    <xf numFmtId="0" fontId="53" fillId="3" borderId="0">
      <alignment vertical="center"/>
    </xf>
    <xf numFmtId="0" fontId="60" fillId="10" borderId="0">
      <alignment vertical="center"/>
    </xf>
    <xf numFmtId="0" fontId="60" fillId="24" borderId="0">
      <alignment vertical="center"/>
    </xf>
    <xf numFmtId="0" fontId="60" fillId="15" borderId="0">
      <alignment vertical="center"/>
    </xf>
    <xf numFmtId="0" fontId="60" fillId="7" borderId="0">
      <alignment vertical="center"/>
    </xf>
    <xf numFmtId="0" fontId="60" fillId="10" borderId="0">
      <alignment vertical="center"/>
    </xf>
    <xf numFmtId="0" fontId="60" fillId="13" borderId="0">
      <alignment vertical="center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0" fontId="60" fillId="30" borderId="0">
      <alignment vertical="center"/>
    </xf>
    <xf numFmtId="0" fontId="60" fillId="24" borderId="0">
      <alignment vertical="center"/>
    </xf>
    <xf numFmtId="0" fontId="60" fillId="15" borderId="0">
      <alignment vertical="center"/>
    </xf>
    <xf numFmtId="0" fontId="60" fillId="31" borderId="0">
      <alignment vertical="center"/>
    </xf>
    <xf numFmtId="0" fontId="60" fillId="22" borderId="0">
      <alignment vertical="center"/>
    </xf>
    <xf numFmtId="40" fontId="9" fillId="0" borderId="0">
      <protection locked="0"/>
    </xf>
    <xf numFmtId="40" fontId="9" fillId="0" borderId="0">
      <protection locked="0"/>
    </xf>
    <xf numFmtId="319" fontId="180" fillId="0" borderId="0"/>
    <xf numFmtId="319" fontId="180" fillId="0" borderId="0"/>
    <xf numFmtId="320" fontId="180" fillId="0" borderId="0"/>
    <xf numFmtId="320" fontId="180" fillId="0" borderId="0"/>
    <xf numFmtId="40" fontId="9" fillId="0" borderId="0">
      <protection locked="0"/>
    </xf>
    <xf numFmtId="40" fontId="9" fillId="0" borderId="0">
      <protection locked="0"/>
    </xf>
    <xf numFmtId="321" fontId="180" fillId="0" borderId="0"/>
    <xf numFmtId="321" fontId="180" fillId="0" borderId="0"/>
    <xf numFmtId="322" fontId="180" fillId="0" borderId="0"/>
    <xf numFmtId="322" fontId="180" fillId="0" borderId="0"/>
    <xf numFmtId="0" fontId="70" fillId="9" borderId="0">
      <alignment vertical="center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0" fontId="138" fillId="0" borderId="0"/>
    <xf numFmtId="0" fontId="32" fillId="0" borderId="0"/>
    <xf numFmtId="0" fontId="78" fillId="25" borderId="18">
      <alignment vertical="center"/>
    </xf>
    <xf numFmtId="0" fontId="30" fillId="0" borderId="0"/>
    <xf numFmtId="0" fontId="139" fillId="4" borderId="18">
      <alignment vertical="center"/>
    </xf>
    <xf numFmtId="40" fontId="9" fillId="0" borderId="0">
      <protection locked="0"/>
    </xf>
    <xf numFmtId="0" fontId="8" fillId="0" borderId="0"/>
    <xf numFmtId="308" fontId="64" fillId="0" borderId="0"/>
    <xf numFmtId="3" fontId="10" fillId="0" borderId="0"/>
    <xf numFmtId="0" fontId="8" fillId="0" borderId="0"/>
    <xf numFmtId="306" fontId="64" fillId="0" borderId="0"/>
    <xf numFmtId="0" fontId="16" fillId="0" borderId="0"/>
    <xf numFmtId="271" fontId="180" fillId="0" borderId="0">
      <protection locked="0"/>
    </xf>
    <xf numFmtId="307" fontId="64" fillId="0" borderId="0"/>
    <xf numFmtId="315" fontId="180" fillId="0" borderId="1">
      <alignment vertical="center"/>
    </xf>
    <xf numFmtId="210" fontId="15" fillId="0" borderId="0"/>
    <xf numFmtId="2" fontId="16" fillId="0" borderId="0"/>
    <xf numFmtId="0" fontId="140" fillId="0" borderId="0">
      <alignment vertical="top"/>
      <protection locked="0"/>
    </xf>
    <xf numFmtId="0" fontId="84" fillId="10" borderId="0">
      <alignment vertical="center"/>
    </xf>
    <xf numFmtId="0" fontId="141" fillId="0" borderId="54">
      <alignment vertical="center"/>
    </xf>
    <xf numFmtId="0" fontId="141" fillId="0" borderId="0">
      <alignment vertical="center"/>
    </xf>
    <xf numFmtId="0" fontId="138" fillId="0" borderId="0"/>
    <xf numFmtId="0" fontId="32" fillId="0" borderId="0"/>
    <xf numFmtId="0" fontId="13" fillId="0" borderId="0"/>
    <xf numFmtId="0" fontId="78" fillId="25" borderId="18">
      <alignment vertical="center"/>
    </xf>
    <xf numFmtId="240" fontId="180" fillId="0" borderId="0">
      <protection locked="0"/>
    </xf>
    <xf numFmtId="0" fontId="68" fillId="0" borderId="55">
      <alignment vertical="center"/>
    </xf>
    <xf numFmtId="49" fontId="43" fillId="0" borderId="0">
      <alignment horizontal="centerContinuous" vertical="center"/>
    </xf>
    <xf numFmtId="0" fontId="142" fillId="25" borderId="0">
      <alignment vertical="center"/>
    </xf>
    <xf numFmtId="0" fontId="13" fillId="0" borderId="0"/>
    <xf numFmtId="0" fontId="12" fillId="0" borderId="0"/>
    <xf numFmtId="0" fontId="180" fillId="3" borderId="21">
      <alignment vertical="center"/>
    </xf>
    <xf numFmtId="0" fontId="85" fillId="4" borderId="31">
      <alignment vertical="center"/>
    </xf>
    <xf numFmtId="240" fontId="180" fillId="0" borderId="0">
      <protection locked="0"/>
    </xf>
    <xf numFmtId="49" fontId="43" fillId="0" borderId="0">
      <alignment horizontal="centerContinuous" vertical="center"/>
    </xf>
    <xf numFmtId="316" fontId="180" fillId="0" borderId="1">
      <alignment vertical="center"/>
    </xf>
    <xf numFmtId="0" fontId="16" fillId="0" borderId="10"/>
    <xf numFmtId="256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40" fontId="9" fillId="0" borderId="0">
      <protection locked="0"/>
    </xf>
    <xf numFmtId="9" fontId="9" fillId="0" borderId="0"/>
    <xf numFmtId="0" fontId="180" fillId="3" borderId="21">
      <alignment vertical="center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9" fontId="9" fillId="0" borderId="0"/>
    <xf numFmtId="9" fontId="11" fillId="0" borderId="0"/>
    <xf numFmtId="9" fontId="11" fillId="0" borderId="0"/>
    <xf numFmtId="312" fontId="180" fillId="0" borderId="0"/>
    <xf numFmtId="313" fontId="180" fillId="0" borderId="29"/>
    <xf numFmtId="0" fontId="46" fillId="0" borderId="41"/>
    <xf numFmtId="318" fontId="180" fillId="0" borderId="29"/>
    <xf numFmtId="0" fontId="180" fillId="0" borderId="29"/>
    <xf numFmtId="0" fontId="52" fillId="0" borderId="0">
      <alignment vertical="center"/>
    </xf>
    <xf numFmtId="41" fontId="180" fillId="0" borderId="0"/>
    <xf numFmtId="178" fontId="9" fillId="0" borderId="0"/>
    <xf numFmtId="41" fontId="9" fillId="0" borderId="0"/>
    <xf numFmtId="317" fontId="180" fillId="0" borderId="0"/>
    <xf numFmtId="187" fontId="9" fillId="0" borderId="0"/>
    <xf numFmtId="0" fontId="9" fillId="0" borderId="0"/>
    <xf numFmtId="0" fontId="64" fillId="0" borderId="0"/>
    <xf numFmtId="257" fontId="180" fillId="0" borderId="1">
      <alignment vertical="center"/>
    </xf>
    <xf numFmtId="263" fontId="24" fillId="0" borderId="0">
      <protection locked="0"/>
    </xf>
    <xf numFmtId="0" fontId="143" fillId="0" borderId="56"/>
    <xf numFmtId="0" fontId="11" fillId="0" borderId="6">
      <alignment horizontal="center" vertical="center"/>
    </xf>
    <xf numFmtId="183" fontId="180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83" fontId="180" fillId="0" borderId="0">
      <protection locked="0"/>
    </xf>
    <xf numFmtId="41" fontId="180" fillId="0" borderId="0"/>
    <xf numFmtId="229" fontId="11" fillId="0" borderId="0">
      <alignment textRotation="255"/>
    </xf>
    <xf numFmtId="309" fontId="11" fillId="0" borderId="0">
      <alignment textRotation="255"/>
    </xf>
    <xf numFmtId="310" fontId="11" fillId="0" borderId="0">
      <alignment textRotation="255"/>
    </xf>
    <xf numFmtId="311" fontId="11" fillId="0" borderId="0">
      <alignment textRotation="255"/>
    </xf>
    <xf numFmtId="183" fontId="180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183" fontId="180" fillId="0" borderId="0">
      <protection locked="0"/>
    </xf>
    <xf numFmtId="196" fontId="9" fillId="0" borderId="0"/>
    <xf numFmtId="42" fontId="9" fillId="0" borderId="0"/>
    <xf numFmtId="262" fontId="24" fillId="0" borderId="0">
      <protection locked="0"/>
    </xf>
    <xf numFmtId="183" fontId="180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80" fillId="0" borderId="0">
      <alignment vertical="center"/>
    </xf>
    <xf numFmtId="0" fontId="180" fillId="0" borderId="0"/>
    <xf numFmtId="0" fontId="11" fillId="0" borderId="0"/>
    <xf numFmtId="0" fontId="9" fillId="0" borderId="0"/>
    <xf numFmtId="5" fontId="180" fillId="0" borderId="0"/>
    <xf numFmtId="274" fontId="24" fillId="0" borderId="0">
      <protection locked="0"/>
    </xf>
    <xf numFmtId="275" fontId="24" fillId="0" borderId="0">
      <protection locked="0"/>
    </xf>
    <xf numFmtId="40" fontId="9" fillId="0" borderId="0">
      <protection locked="0"/>
    </xf>
    <xf numFmtId="9" fontId="9" fillId="0" borderId="0"/>
    <xf numFmtId="0" fontId="180" fillId="0" borderId="0">
      <alignment vertical="center"/>
    </xf>
    <xf numFmtId="0" fontId="9" fillId="0" borderId="0"/>
    <xf numFmtId="0" fontId="53" fillId="0" borderId="0">
      <alignment vertical="center"/>
    </xf>
    <xf numFmtId="41" fontId="180" fillId="0" borderId="0">
      <alignment vertical="center"/>
    </xf>
    <xf numFmtId="0" fontId="180" fillId="0" borderId="0"/>
    <xf numFmtId="0" fontId="53" fillId="0" borderId="0">
      <alignment vertical="center"/>
    </xf>
    <xf numFmtId="41" fontId="53" fillId="0" borderId="0">
      <alignment vertical="center"/>
    </xf>
    <xf numFmtId="254" fontId="9" fillId="0" borderId="0"/>
    <xf numFmtId="323" fontId="11" fillId="0" borderId="57">
      <alignment horizontal="center"/>
    </xf>
    <xf numFmtId="323" fontId="11" fillId="0" borderId="57">
      <alignment horizontal="center"/>
    </xf>
    <xf numFmtId="10" fontId="11" fillId="0" borderId="57">
      <alignment horizontal="center"/>
    </xf>
    <xf numFmtId="10" fontId="11" fillId="0" borderId="57">
      <alignment horizontal="center"/>
    </xf>
    <xf numFmtId="0" fontId="11" fillId="0" borderId="0"/>
    <xf numFmtId="3" fontId="7" fillId="0" borderId="1"/>
    <xf numFmtId="178" fontId="180" fillId="0" borderId="0">
      <alignment vertical="center"/>
    </xf>
    <xf numFmtId="0" fontId="25" fillId="0" borderId="0">
      <alignment vertical="center"/>
    </xf>
    <xf numFmtId="40" fontId="9" fillId="0" borderId="2"/>
    <xf numFmtId="0" fontId="104" fillId="0" borderId="0">
      <alignment vertical="center"/>
    </xf>
    <xf numFmtId="0" fontId="25" fillId="0" borderId="0">
      <alignment vertical="center"/>
    </xf>
    <xf numFmtId="38" fontId="9" fillId="0" borderId="3">
      <alignment horizontal="right"/>
    </xf>
    <xf numFmtId="193" fontId="9" fillId="0" borderId="0">
      <alignment horizontal="center"/>
    </xf>
    <xf numFmtId="0" fontId="9" fillId="0" borderId="0"/>
    <xf numFmtId="0" fontId="9" fillId="0" borderId="0"/>
    <xf numFmtId="0" fontId="9" fillId="0" borderId="0"/>
    <xf numFmtId="324" fontId="144" fillId="0" borderId="0"/>
    <xf numFmtId="325" fontId="144" fillId="0" borderId="0"/>
    <xf numFmtId="0" fontId="144" fillId="0" borderId="0"/>
    <xf numFmtId="188" fontId="144" fillId="0" borderId="0"/>
    <xf numFmtId="198" fontId="144" fillId="0" borderId="0"/>
    <xf numFmtId="0" fontId="11" fillId="0" borderId="0"/>
    <xf numFmtId="0" fontId="9" fillId="0" borderId="0"/>
    <xf numFmtId="0" fontId="10" fillId="0" borderId="0"/>
    <xf numFmtId="0" fontId="10" fillId="0" borderId="0"/>
    <xf numFmtId="0" fontId="18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45" fillId="0" borderId="0"/>
    <xf numFmtId="0" fontId="10" fillId="0" borderId="0"/>
    <xf numFmtId="0" fontId="9" fillId="0" borderId="0"/>
    <xf numFmtId="0" fontId="145" fillId="0" borderId="0"/>
    <xf numFmtId="0" fontId="145" fillId="0" borderId="0"/>
    <xf numFmtId="0" fontId="14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64" fillId="0" borderId="0"/>
    <xf numFmtId="0" fontId="10" fillId="0" borderId="0"/>
    <xf numFmtId="0" fontId="10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64" fillId="0" borderId="0"/>
    <xf numFmtId="0" fontId="9" fillId="0" borderId="0"/>
    <xf numFmtId="0" fontId="11" fillId="0" borderId="0"/>
    <xf numFmtId="0" fontId="145" fillId="0" borderId="0"/>
    <xf numFmtId="0" fontId="145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45" fillId="0" borderId="0"/>
    <xf numFmtId="0" fontId="9" fillId="0" borderId="0"/>
    <xf numFmtId="0" fontId="145" fillId="0" borderId="0"/>
    <xf numFmtId="255" fontId="9" fillId="0" borderId="0"/>
    <xf numFmtId="0" fontId="145" fillId="0" borderId="0"/>
    <xf numFmtId="0" fontId="145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145" fillId="0" borderId="0"/>
    <xf numFmtId="0" fontId="10" fillId="0" borderId="0"/>
    <xf numFmtId="0" fontId="10" fillId="0" borderId="0"/>
    <xf numFmtId="0" fontId="9" fillId="0" borderId="0"/>
    <xf numFmtId="0" fontId="145" fillId="0" borderId="0"/>
    <xf numFmtId="0" fontId="6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9" fillId="0" borderId="0"/>
    <xf numFmtId="0" fontId="145" fillId="0" borderId="0"/>
    <xf numFmtId="0" fontId="9" fillId="0" borderId="0"/>
    <xf numFmtId="0" fontId="145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45" fillId="0" borderId="0"/>
    <xf numFmtId="0" fontId="145" fillId="0" borderId="0"/>
    <xf numFmtId="0" fontId="145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9" fillId="0" borderId="0"/>
    <xf numFmtId="0" fontId="145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0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45" fillId="0" borderId="0"/>
    <xf numFmtId="0" fontId="145" fillId="0" borderId="0"/>
    <xf numFmtId="0" fontId="14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0" fillId="0" borderId="0"/>
    <xf numFmtId="0" fontId="12" fillId="0" borderId="0"/>
    <xf numFmtId="0" fontId="18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9" fillId="0" borderId="0"/>
    <xf numFmtId="0" fontId="145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145" fillId="0" borderId="0"/>
    <xf numFmtId="0" fontId="145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5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4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5" fillId="0" borderId="0"/>
    <xf numFmtId="0" fontId="9" fillId="0" borderId="0"/>
    <xf numFmtId="0" fontId="9" fillId="0" borderId="0"/>
    <xf numFmtId="0" fontId="145" fillId="0" borderId="0"/>
    <xf numFmtId="0" fontId="145" fillId="0" borderId="0"/>
    <xf numFmtId="0" fontId="145" fillId="0" borderId="0"/>
    <xf numFmtId="0" fontId="10" fillId="0" borderId="0"/>
    <xf numFmtId="0" fontId="11" fillId="0" borderId="0"/>
    <xf numFmtId="0" fontId="11" fillId="0" borderId="0"/>
    <xf numFmtId="0" fontId="180" fillId="0" borderId="0"/>
    <xf numFmtId="0" fontId="180" fillId="0" borderId="0"/>
    <xf numFmtId="0" fontId="180" fillId="0" borderId="0"/>
    <xf numFmtId="0" fontId="145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0" fillId="0" borderId="0"/>
    <xf numFmtId="0" fontId="145" fillId="0" borderId="0"/>
    <xf numFmtId="0" fontId="10" fillId="0" borderId="0"/>
    <xf numFmtId="0" fontId="6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45" fillId="0" borderId="0"/>
    <xf numFmtId="0" fontId="64" fillId="0" borderId="0"/>
    <xf numFmtId="0" fontId="10" fillId="0" borderId="0"/>
    <xf numFmtId="0" fontId="64" fillId="0" borderId="0"/>
    <xf numFmtId="0" fontId="10" fillId="0" borderId="0"/>
    <xf numFmtId="0" fontId="64" fillId="0" borderId="0"/>
    <xf numFmtId="0" fontId="10" fillId="0" borderId="0"/>
    <xf numFmtId="0" fontId="64" fillId="0" borderId="0"/>
    <xf numFmtId="0" fontId="10" fillId="0" borderId="0"/>
    <xf numFmtId="0" fontId="6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6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45" fillId="0" borderId="0"/>
    <xf numFmtId="255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45" fillId="0" borderId="0"/>
    <xf numFmtId="0" fontId="9" fillId="0" borderId="0"/>
    <xf numFmtId="0" fontId="9" fillId="0" borderId="0"/>
    <xf numFmtId="0" fontId="145" fillId="0" borderId="0"/>
    <xf numFmtId="0" fontId="145" fillId="0" borderId="0"/>
    <xf numFmtId="0" fontId="145" fillId="0" borderId="0"/>
    <xf numFmtId="0" fontId="10" fillId="0" borderId="0"/>
    <xf numFmtId="0" fontId="9" fillId="0" borderId="0"/>
    <xf numFmtId="0" fontId="9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4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45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45" fillId="0" borderId="0"/>
    <xf numFmtId="0" fontId="9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6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4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45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45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255" fontId="9" fillId="0" borderId="0"/>
    <xf numFmtId="0" fontId="9" fillId="0" borderId="0"/>
    <xf numFmtId="183" fontId="180" fillId="0" borderId="0">
      <protection locked="0"/>
    </xf>
    <xf numFmtId="0" fontId="146" fillId="0" borderId="0">
      <protection locked="0"/>
    </xf>
    <xf numFmtId="193" fontId="180" fillId="0" borderId="0">
      <alignment vertical="center"/>
    </xf>
    <xf numFmtId="9" fontId="10" fillId="8" borderId="0"/>
    <xf numFmtId="194" fontId="180" fillId="0" borderId="0">
      <alignment vertical="center"/>
    </xf>
    <xf numFmtId="187" fontId="18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183" fontId="180" fillId="0" borderId="0">
      <protection locked="0"/>
    </xf>
    <xf numFmtId="256" fontId="146" fillId="0" borderId="0">
      <protection locked="0"/>
    </xf>
    <xf numFmtId="183" fontId="180" fillId="0" borderId="0">
      <protection locked="0"/>
    </xf>
    <xf numFmtId="0" fontId="147" fillId="0" borderId="0">
      <protection locked="0"/>
    </xf>
    <xf numFmtId="0" fontId="147" fillId="0" borderId="0">
      <protection locked="0"/>
    </xf>
    <xf numFmtId="3" fontId="7" fillId="0" borderId="1"/>
    <xf numFmtId="3" fontId="7" fillId="0" borderId="1"/>
    <xf numFmtId="216" fontId="146" fillId="0" borderId="0">
      <protection locked="0"/>
    </xf>
    <xf numFmtId="0" fontId="53" fillId="6" borderId="0">
      <alignment vertical="center"/>
    </xf>
    <xf numFmtId="0" fontId="53" fillId="6" borderId="0">
      <alignment vertical="center"/>
    </xf>
    <xf numFmtId="0" fontId="53" fillId="7" borderId="0">
      <alignment vertical="center"/>
    </xf>
    <xf numFmtId="0" fontId="53" fillId="7" borderId="0">
      <alignment vertical="center"/>
    </xf>
    <xf numFmtId="0" fontId="53" fillId="8" borderId="0">
      <alignment vertical="center"/>
    </xf>
    <xf numFmtId="0" fontId="53" fillId="8" borderId="0">
      <alignment vertical="center"/>
    </xf>
    <xf numFmtId="0" fontId="53" fillId="9" borderId="0">
      <alignment vertical="center"/>
    </xf>
    <xf numFmtId="0" fontId="53" fillId="9" borderId="0">
      <alignment vertical="center"/>
    </xf>
    <xf numFmtId="0" fontId="53" fillId="10" borderId="0">
      <alignment vertical="center"/>
    </xf>
    <xf numFmtId="0" fontId="53" fillId="10" borderId="0">
      <alignment vertical="center"/>
    </xf>
    <xf numFmtId="0" fontId="53" fillId="11" borderId="0">
      <alignment vertical="center"/>
    </xf>
    <xf numFmtId="0" fontId="53" fillId="11" borderId="0">
      <alignment vertical="center"/>
    </xf>
    <xf numFmtId="183" fontId="180" fillId="0" borderId="0">
      <protection locked="0"/>
    </xf>
    <xf numFmtId="0" fontId="146" fillId="0" borderId="0">
      <protection locked="0"/>
    </xf>
    <xf numFmtId="0" fontId="10" fillId="0" borderId="0"/>
    <xf numFmtId="0" fontId="53" fillId="12" borderId="0">
      <alignment vertical="center"/>
    </xf>
    <xf numFmtId="0" fontId="53" fillId="12" borderId="0">
      <alignment vertical="center"/>
    </xf>
    <xf numFmtId="0" fontId="53" fillId="13" borderId="0">
      <alignment vertical="center"/>
    </xf>
    <xf numFmtId="0" fontId="53" fillId="13" borderId="0">
      <alignment vertical="center"/>
    </xf>
    <xf numFmtId="0" fontId="53" fillId="14" borderId="0">
      <alignment vertical="center"/>
    </xf>
    <xf numFmtId="0" fontId="53" fillId="14" borderId="0">
      <alignment vertical="center"/>
    </xf>
    <xf numFmtId="0" fontId="53" fillId="9" borderId="0">
      <alignment vertical="center"/>
    </xf>
    <xf numFmtId="0" fontId="53" fillId="9" borderId="0">
      <alignment vertical="center"/>
    </xf>
    <xf numFmtId="0" fontId="53" fillId="12" borderId="0">
      <alignment vertical="center"/>
    </xf>
    <xf numFmtId="0" fontId="53" fillId="12" borderId="0">
      <alignment vertical="center"/>
    </xf>
    <xf numFmtId="0" fontId="53" fillId="15" borderId="0">
      <alignment vertical="center"/>
    </xf>
    <xf numFmtId="0" fontId="53" fillId="15" borderId="0">
      <alignment vertical="center"/>
    </xf>
    <xf numFmtId="9" fontId="9" fillId="0" borderId="0">
      <protection locked="0"/>
    </xf>
    <xf numFmtId="0" fontId="60" fillId="16" borderId="0">
      <alignment vertical="center"/>
    </xf>
    <xf numFmtId="0" fontId="60" fillId="13" borderId="0">
      <alignment vertical="center"/>
    </xf>
    <xf numFmtId="0" fontId="60" fillId="14" borderId="0">
      <alignment vertical="center"/>
    </xf>
    <xf numFmtId="0" fontId="60" fillId="17" borderId="0">
      <alignment vertical="center"/>
    </xf>
    <xf numFmtId="0" fontId="60" fillId="18" borderId="0">
      <alignment vertical="center"/>
    </xf>
    <xf numFmtId="0" fontId="60" fillId="19" borderId="0">
      <alignment vertical="center"/>
    </xf>
    <xf numFmtId="0" fontId="61" fillId="0" borderId="16">
      <alignment horizontal="center" vertical="center"/>
    </xf>
    <xf numFmtId="257" fontId="180" fillId="0" borderId="1">
      <alignment vertical="center"/>
    </xf>
    <xf numFmtId="0" fontId="17" fillId="0" borderId="0">
      <alignment vertical="center"/>
    </xf>
    <xf numFmtId="195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195" fontId="9" fillId="0" borderId="0">
      <protection locked="0"/>
    </xf>
    <xf numFmtId="216" fontId="24" fillId="0" borderId="0">
      <protection locked="0"/>
    </xf>
    <xf numFmtId="216" fontId="146" fillId="0" borderId="0">
      <protection locked="0"/>
    </xf>
    <xf numFmtId="0" fontId="60" fillId="18" borderId="0">
      <alignment vertical="center"/>
    </xf>
    <xf numFmtId="216" fontId="146" fillId="0" borderId="0">
      <protection locked="0"/>
    </xf>
    <xf numFmtId="196" fontId="148" fillId="0" borderId="0"/>
    <xf numFmtId="196" fontId="148" fillId="0" borderId="0"/>
    <xf numFmtId="196" fontId="148" fillId="0" borderId="0"/>
    <xf numFmtId="196" fontId="148" fillId="0" borderId="0"/>
    <xf numFmtId="196" fontId="148" fillId="0" borderId="0"/>
    <xf numFmtId="196" fontId="148" fillId="0" borderId="0"/>
    <xf numFmtId="196" fontId="148" fillId="0" borderId="0"/>
    <xf numFmtId="196" fontId="148" fillId="0" borderId="0"/>
    <xf numFmtId="196" fontId="148" fillId="0" borderId="0"/>
    <xf numFmtId="196" fontId="148" fillId="0" borderId="0"/>
    <xf numFmtId="196" fontId="18" fillId="0" borderId="0"/>
    <xf numFmtId="196" fontId="91" fillId="0" borderId="0"/>
    <xf numFmtId="196" fontId="18" fillId="0" borderId="0"/>
    <xf numFmtId="196" fontId="91" fillId="0" borderId="0"/>
    <xf numFmtId="324" fontId="18" fillId="0" borderId="0"/>
    <xf numFmtId="196" fontId="91" fillId="0" borderId="0"/>
    <xf numFmtId="319" fontId="180" fillId="0" borderId="0"/>
    <xf numFmtId="319" fontId="180" fillId="0" borderId="0"/>
    <xf numFmtId="196" fontId="18" fillId="0" borderId="0"/>
    <xf numFmtId="196" fontId="91" fillId="0" borderId="0"/>
    <xf numFmtId="196" fontId="18" fillId="0" borderId="0"/>
    <xf numFmtId="196" fontId="91" fillId="0" borderId="0"/>
    <xf numFmtId="196" fontId="18" fillId="0" borderId="0"/>
    <xf numFmtId="196" fontId="91" fillId="0" borderId="0"/>
    <xf numFmtId="196" fontId="18" fillId="0" borderId="0"/>
    <xf numFmtId="196" fontId="91" fillId="0" borderId="0"/>
    <xf numFmtId="197" fontId="148" fillId="0" borderId="0"/>
    <xf numFmtId="197" fontId="148" fillId="0" borderId="0"/>
    <xf numFmtId="197" fontId="148" fillId="0" borderId="0"/>
    <xf numFmtId="197" fontId="148" fillId="0" borderId="0"/>
    <xf numFmtId="197" fontId="148" fillId="0" borderId="0"/>
    <xf numFmtId="197" fontId="148" fillId="0" borderId="0"/>
    <xf numFmtId="197" fontId="148" fillId="0" borderId="0"/>
    <xf numFmtId="197" fontId="148" fillId="0" borderId="0"/>
    <xf numFmtId="197" fontId="148" fillId="0" borderId="0"/>
    <xf numFmtId="197" fontId="148" fillId="0" borderId="0"/>
    <xf numFmtId="197" fontId="18" fillId="0" borderId="0"/>
    <xf numFmtId="197" fontId="91" fillId="0" borderId="0"/>
    <xf numFmtId="197" fontId="18" fillId="0" borderId="0"/>
    <xf numFmtId="197" fontId="91" fillId="0" borderId="0"/>
    <xf numFmtId="325" fontId="18" fillId="0" borderId="0"/>
    <xf numFmtId="197" fontId="91" fillId="0" borderId="0"/>
    <xf numFmtId="320" fontId="180" fillId="0" borderId="0"/>
    <xf numFmtId="320" fontId="180" fillId="0" borderId="0"/>
    <xf numFmtId="197" fontId="18" fillId="0" borderId="0"/>
    <xf numFmtId="197" fontId="91" fillId="0" borderId="0"/>
    <xf numFmtId="197" fontId="18" fillId="0" borderId="0"/>
    <xf numFmtId="197" fontId="91" fillId="0" borderId="0"/>
    <xf numFmtId="197" fontId="18" fillId="0" borderId="0"/>
    <xf numFmtId="197" fontId="91" fillId="0" borderId="0"/>
    <xf numFmtId="197" fontId="18" fillId="0" borderId="0"/>
    <xf numFmtId="197" fontId="91" fillId="0" borderId="0"/>
    <xf numFmtId="216" fontId="24" fillId="0" borderId="0">
      <protection locked="0"/>
    </xf>
    <xf numFmtId="216" fontId="146" fillId="0" borderId="0">
      <protection locked="0"/>
    </xf>
    <xf numFmtId="216" fontId="146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262" fontId="146" fillId="0" borderId="0">
      <protection locked="0"/>
    </xf>
    <xf numFmtId="0" fontId="145" fillId="0" borderId="0"/>
    <xf numFmtId="216" fontId="146" fillId="0" borderId="0">
      <protection locked="0"/>
    </xf>
    <xf numFmtId="216" fontId="146" fillId="0" borderId="0">
      <protection locked="0"/>
    </xf>
    <xf numFmtId="188" fontId="148" fillId="0" borderId="0"/>
    <xf numFmtId="188" fontId="148" fillId="0" borderId="0"/>
    <xf numFmtId="188" fontId="148" fillId="0" borderId="0"/>
    <xf numFmtId="188" fontId="148" fillId="0" borderId="0"/>
    <xf numFmtId="188" fontId="148" fillId="0" borderId="0"/>
    <xf numFmtId="188" fontId="148" fillId="0" borderId="0"/>
    <xf numFmtId="188" fontId="148" fillId="0" borderId="0"/>
    <xf numFmtId="188" fontId="148" fillId="0" borderId="0"/>
    <xf numFmtId="188" fontId="148" fillId="0" borderId="0"/>
    <xf numFmtId="188" fontId="148" fillId="0" borderId="0"/>
    <xf numFmtId="188" fontId="18" fillId="0" borderId="0"/>
    <xf numFmtId="188" fontId="91" fillId="0" borderId="0"/>
    <xf numFmtId="188" fontId="18" fillId="0" borderId="0"/>
    <xf numFmtId="188" fontId="91" fillId="0" borderId="0"/>
    <xf numFmtId="188" fontId="18" fillId="0" borderId="0"/>
    <xf numFmtId="188" fontId="91" fillId="0" borderId="0"/>
    <xf numFmtId="321" fontId="180" fillId="0" borderId="0"/>
    <xf numFmtId="321" fontId="180" fillId="0" borderId="0"/>
    <xf numFmtId="188" fontId="18" fillId="0" borderId="0"/>
    <xf numFmtId="188" fontId="91" fillId="0" borderId="0"/>
    <xf numFmtId="188" fontId="18" fillId="0" borderId="0"/>
    <xf numFmtId="188" fontId="91" fillId="0" borderId="0"/>
    <xf numFmtId="188" fontId="18" fillId="0" borderId="0"/>
    <xf numFmtId="188" fontId="91" fillId="0" borderId="0"/>
    <xf numFmtId="188" fontId="18" fillId="0" borderId="0"/>
    <xf numFmtId="188" fontId="91" fillId="0" borderId="0"/>
    <xf numFmtId="198" fontId="148" fillId="0" borderId="0"/>
    <xf numFmtId="198" fontId="148" fillId="0" borderId="0"/>
    <xf numFmtId="198" fontId="148" fillId="0" borderId="0"/>
    <xf numFmtId="198" fontId="148" fillId="0" borderId="0"/>
    <xf numFmtId="198" fontId="148" fillId="0" borderId="0"/>
    <xf numFmtId="198" fontId="148" fillId="0" borderId="0"/>
    <xf numFmtId="198" fontId="148" fillId="0" borderId="0"/>
    <xf numFmtId="198" fontId="148" fillId="0" borderId="0"/>
    <xf numFmtId="198" fontId="148" fillId="0" borderId="0"/>
    <xf numFmtId="198" fontId="148" fillId="0" borderId="0"/>
    <xf numFmtId="198" fontId="18" fillId="0" borderId="0"/>
    <xf numFmtId="198" fontId="91" fillId="0" borderId="0"/>
    <xf numFmtId="198" fontId="18" fillId="0" borderId="0"/>
    <xf numFmtId="198" fontId="91" fillId="0" borderId="0"/>
    <xf numFmtId="198" fontId="18" fillId="0" borderId="0"/>
    <xf numFmtId="198" fontId="91" fillId="0" borderId="0"/>
    <xf numFmtId="322" fontId="180" fillId="0" borderId="0"/>
    <xf numFmtId="322" fontId="180" fillId="0" borderId="0"/>
    <xf numFmtId="198" fontId="18" fillId="0" borderId="0"/>
    <xf numFmtId="198" fontId="91" fillId="0" borderId="0"/>
    <xf numFmtId="198" fontId="18" fillId="0" borderId="0"/>
    <xf numFmtId="198" fontId="91" fillId="0" borderId="0"/>
    <xf numFmtId="198" fontId="18" fillId="0" borderId="0"/>
    <xf numFmtId="198" fontId="91" fillId="0" borderId="0"/>
    <xf numFmtId="198" fontId="18" fillId="0" borderId="0"/>
    <xf numFmtId="198" fontId="91" fillId="0" borderId="0"/>
    <xf numFmtId="4" fontId="146" fillId="0" borderId="0">
      <protection locked="0"/>
    </xf>
    <xf numFmtId="263" fontId="146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0" fontId="19" fillId="0" borderId="0"/>
    <xf numFmtId="0" fontId="19" fillId="0" borderId="0"/>
    <xf numFmtId="216" fontId="24" fillId="0" borderId="0">
      <protection locked="0"/>
    </xf>
    <xf numFmtId="216" fontId="146" fillId="0" borderId="0">
      <protection locked="0"/>
    </xf>
    <xf numFmtId="216" fontId="146" fillId="0" borderId="0">
      <protection locked="0"/>
    </xf>
    <xf numFmtId="0" fontId="30" fillId="0" borderId="0"/>
    <xf numFmtId="326" fontId="12" fillId="0" borderId="0"/>
    <xf numFmtId="264" fontId="180" fillId="0" borderId="0"/>
    <xf numFmtId="327" fontId="12" fillId="0" borderId="0"/>
    <xf numFmtId="265" fontId="180" fillId="0" borderId="0"/>
    <xf numFmtId="328" fontId="10" fillId="0" borderId="0"/>
    <xf numFmtId="266" fontId="180" fillId="0" borderId="0"/>
    <xf numFmtId="329" fontId="10" fillId="0" borderId="0"/>
    <xf numFmtId="267" fontId="180" fillId="0" borderId="0"/>
    <xf numFmtId="330" fontId="12" fillId="0" borderId="0"/>
    <xf numFmtId="268" fontId="180" fillId="0" borderId="0"/>
    <xf numFmtId="331" fontId="12" fillId="0" borderId="0"/>
    <xf numFmtId="269" fontId="180" fillId="0" borderId="0"/>
    <xf numFmtId="326" fontId="12" fillId="0" borderId="0"/>
    <xf numFmtId="264" fontId="180" fillId="0" borderId="0"/>
    <xf numFmtId="0" fontId="149" fillId="0" borderId="0"/>
    <xf numFmtId="0" fontId="74" fillId="26" borderId="23">
      <alignment vertical="center"/>
    </xf>
    <xf numFmtId="0" fontId="146" fillId="0" borderId="5">
      <protection locked="0"/>
    </xf>
    <xf numFmtId="183" fontId="180" fillId="0" borderId="5">
      <protection locked="0"/>
    </xf>
    <xf numFmtId="216" fontId="24" fillId="0" borderId="0">
      <protection locked="0"/>
    </xf>
    <xf numFmtId="216" fontId="146" fillId="0" borderId="0">
      <protection locked="0"/>
    </xf>
    <xf numFmtId="0" fontId="150" fillId="3" borderId="15">
      <alignment horizontal="center" wrapText="1"/>
    </xf>
    <xf numFmtId="0" fontId="145" fillId="0" borderId="0"/>
    <xf numFmtId="330" fontId="12" fillId="0" borderId="0"/>
    <xf numFmtId="268" fontId="180" fillId="0" borderId="0"/>
    <xf numFmtId="332" fontId="9" fillId="0" borderId="0">
      <protection locked="0"/>
    </xf>
    <xf numFmtId="4" fontId="146" fillId="0" borderId="0">
      <protection locked="0"/>
    </xf>
    <xf numFmtId="4" fontId="146" fillId="0" borderId="0">
      <protection locked="0"/>
    </xf>
    <xf numFmtId="4" fontId="146" fillId="0" borderId="0">
      <protection locked="0"/>
    </xf>
    <xf numFmtId="4" fontId="146" fillId="0" borderId="0">
      <protection locked="0"/>
    </xf>
    <xf numFmtId="4" fontId="146" fillId="0" borderId="0">
      <protection locked="0"/>
    </xf>
    <xf numFmtId="0" fontId="145" fillId="0" borderId="0">
      <alignment horizontal="left"/>
    </xf>
    <xf numFmtId="0" fontId="11" fillId="0" borderId="0"/>
    <xf numFmtId="0" fontId="145" fillId="0" borderId="0"/>
    <xf numFmtId="326" fontId="12" fillId="0" borderId="0"/>
    <xf numFmtId="264" fontId="180" fillId="0" borderId="0"/>
    <xf numFmtId="203" fontId="180" fillId="0" borderId="0">
      <protection locked="0"/>
    </xf>
    <xf numFmtId="206" fontId="9" fillId="0" borderId="0">
      <protection locked="0"/>
    </xf>
    <xf numFmtId="333" fontId="180" fillId="0" borderId="0"/>
    <xf numFmtId="5" fontId="10" fillId="0" borderId="0"/>
    <xf numFmtId="334" fontId="180" fillId="0" borderId="0"/>
    <xf numFmtId="315" fontId="180" fillId="0" borderId="1">
      <alignment vertical="center"/>
    </xf>
    <xf numFmtId="183" fontId="180" fillId="0" borderId="0">
      <protection locked="0"/>
    </xf>
    <xf numFmtId="183" fontId="180" fillId="0" borderId="0">
      <protection locked="0"/>
    </xf>
    <xf numFmtId="274" fontId="146" fillId="0" borderId="0">
      <protection locked="0"/>
    </xf>
    <xf numFmtId="275" fontId="146" fillId="0" borderId="0">
      <protection locked="0"/>
    </xf>
    <xf numFmtId="330" fontId="12" fillId="0" borderId="0"/>
    <xf numFmtId="268" fontId="180" fillId="0" borderId="0"/>
    <xf numFmtId="326" fontId="12" fillId="0" borderId="0"/>
    <xf numFmtId="264" fontId="180" fillId="0" borderId="0"/>
    <xf numFmtId="330" fontId="12" fillId="0" borderId="0"/>
    <xf numFmtId="268" fontId="180" fillId="0" borderId="0"/>
    <xf numFmtId="331" fontId="12" fillId="0" borderId="0"/>
    <xf numFmtId="269" fontId="180" fillId="0" borderId="0"/>
    <xf numFmtId="326" fontId="12" fillId="0" borderId="0"/>
    <xf numFmtId="264" fontId="180" fillId="0" borderId="0"/>
    <xf numFmtId="0" fontId="151" fillId="0" borderId="0">
      <alignment horizontal="left"/>
    </xf>
    <xf numFmtId="210" fontId="15" fillId="0" borderId="0"/>
    <xf numFmtId="0" fontId="28" fillId="0" borderId="0"/>
    <xf numFmtId="0" fontId="28" fillId="0" borderId="0"/>
    <xf numFmtId="0" fontId="24" fillId="0" borderId="0">
      <protection locked="0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>
      <protection locked="0"/>
    </xf>
    <xf numFmtId="0" fontId="28" fillId="0" borderId="0"/>
    <xf numFmtId="2" fontId="16" fillId="0" borderId="0"/>
    <xf numFmtId="38" fontId="29" fillId="2" borderId="0"/>
    <xf numFmtId="0" fontId="152" fillId="0" borderId="0">
      <alignment horizontal="left"/>
    </xf>
    <xf numFmtId="0" fontId="32" fillId="0" borderId="7">
      <alignment horizontal="left" vertical="center"/>
    </xf>
    <xf numFmtId="0" fontId="32" fillId="0" borderId="8">
      <alignment horizontal="left" vertical="center"/>
    </xf>
    <xf numFmtId="0" fontId="147" fillId="0" borderId="0">
      <protection locked="0"/>
    </xf>
    <xf numFmtId="0" fontId="147" fillId="0" borderId="0">
      <protection locked="0"/>
    </xf>
    <xf numFmtId="0" fontId="138" fillId="0" borderId="0"/>
    <xf numFmtId="0" fontId="138" fillId="0" borderId="0"/>
    <xf numFmtId="0" fontId="138" fillId="0" borderId="0"/>
    <xf numFmtId="0" fontId="32" fillId="0" borderId="0"/>
    <xf numFmtId="0" fontId="32" fillId="0" borderId="0"/>
    <xf numFmtId="0" fontId="32" fillId="0" borderId="0"/>
    <xf numFmtId="0" fontId="10" fillId="20" borderId="17"/>
    <xf numFmtId="10" fontId="29" fillId="3" borderId="1"/>
    <xf numFmtId="0" fontId="78" fillId="25" borderId="18">
      <alignment vertical="center"/>
    </xf>
    <xf numFmtId="0" fontId="78" fillId="25" borderId="18">
      <alignment vertical="center"/>
    </xf>
    <xf numFmtId="279" fontId="180" fillId="0" borderId="1">
      <alignment vertical="center"/>
    </xf>
    <xf numFmtId="0" fontId="64" fillId="0" borderId="0">
      <alignment horizontal="left" vertical="center"/>
    </xf>
    <xf numFmtId="330" fontId="12" fillId="0" borderId="0"/>
    <xf numFmtId="268" fontId="180" fillId="0" borderId="0"/>
    <xf numFmtId="326" fontId="12" fillId="0" borderId="0"/>
    <xf numFmtId="264" fontId="180" fillId="0" borderId="0"/>
    <xf numFmtId="330" fontId="12" fillId="0" borderId="0"/>
    <xf numFmtId="268" fontId="180" fillId="0" borderId="0"/>
    <xf numFmtId="331" fontId="12" fillId="0" borderId="0"/>
    <xf numFmtId="269" fontId="180" fillId="0" borderId="0"/>
    <xf numFmtId="326" fontId="12" fillId="0" borderId="0"/>
    <xf numFmtId="264" fontId="180" fillId="0" borderId="0"/>
    <xf numFmtId="281" fontId="180" fillId="0" borderId="1">
      <alignment horizontal="right" vertical="center"/>
    </xf>
    <xf numFmtId="280" fontId="180" fillId="0" borderId="1">
      <alignment horizontal="right" vertical="center"/>
    </xf>
    <xf numFmtId="0" fontId="153" fillId="0" borderId="9"/>
    <xf numFmtId="0" fontId="64" fillId="0" borderId="0"/>
    <xf numFmtId="37" fontId="154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329" fontId="10" fillId="0" borderId="0"/>
    <xf numFmtId="267" fontId="180" fillId="0" borderId="0"/>
    <xf numFmtId="335" fontId="10" fillId="0" borderId="0"/>
    <xf numFmtId="211" fontId="180" fillId="0" borderId="0"/>
    <xf numFmtId="10" fontId="10" fillId="0" borderId="0"/>
    <xf numFmtId="240" fontId="180" fillId="0" borderId="0">
      <protection locked="0"/>
    </xf>
    <xf numFmtId="330" fontId="12" fillId="0" borderId="0"/>
    <xf numFmtId="268" fontId="180" fillId="0" borderId="0"/>
    <xf numFmtId="326" fontId="12" fillId="0" borderId="0"/>
    <xf numFmtId="264" fontId="180" fillId="0" borderId="0"/>
    <xf numFmtId="330" fontId="12" fillId="0" borderId="0"/>
    <xf numFmtId="268" fontId="180" fillId="0" borderId="0"/>
    <xf numFmtId="331" fontId="12" fillId="0" borderId="0"/>
    <xf numFmtId="269" fontId="180" fillId="0" borderId="0"/>
    <xf numFmtId="326" fontId="12" fillId="0" borderId="0"/>
    <xf numFmtId="264" fontId="180" fillId="0" borderId="0"/>
    <xf numFmtId="0" fontId="153" fillId="0" borderId="0"/>
    <xf numFmtId="40" fontId="155" fillId="0" borderId="0">
      <alignment horizontal="right"/>
    </xf>
    <xf numFmtId="336" fontId="10" fillId="0" borderId="0"/>
    <xf numFmtId="285" fontId="180" fillId="0" borderId="0"/>
    <xf numFmtId="337" fontId="10" fillId="0" borderId="0"/>
    <xf numFmtId="286" fontId="180" fillId="0" borderId="0"/>
    <xf numFmtId="49" fontId="43" fillId="0" borderId="0">
      <alignment horizontal="centerContinuous" vertical="center"/>
    </xf>
    <xf numFmtId="49" fontId="43" fillId="0" borderId="0">
      <alignment horizontal="centerContinuous" vertical="center"/>
    </xf>
    <xf numFmtId="49" fontId="43" fillId="0" borderId="0">
      <alignment horizontal="centerContinuous" vertical="center"/>
    </xf>
    <xf numFmtId="316" fontId="180" fillId="0" borderId="1">
      <alignment vertical="center"/>
    </xf>
    <xf numFmtId="316" fontId="180" fillId="0" borderId="1">
      <alignment vertical="center"/>
    </xf>
    <xf numFmtId="316" fontId="180" fillId="0" borderId="1">
      <alignment vertical="center"/>
    </xf>
    <xf numFmtId="316" fontId="180" fillId="0" borderId="1">
      <alignment vertical="center"/>
    </xf>
    <xf numFmtId="316" fontId="180" fillId="0" borderId="1">
      <alignment vertical="center"/>
    </xf>
    <xf numFmtId="0" fontId="16" fillId="0" borderId="10"/>
    <xf numFmtId="0" fontId="44" fillId="0" borderId="11">
      <alignment horizontal="left"/>
    </xf>
    <xf numFmtId="0" fontId="145" fillId="0" borderId="0">
      <alignment horizontal="center" vertical="center" wrapText="1"/>
    </xf>
    <xf numFmtId="49" fontId="30" fillId="0" borderId="1">
      <alignment horizontal="center" vertical="center"/>
    </xf>
    <xf numFmtId="0" fontId="60" fillId="21" borderId="0">
      <alignment vertical="center"/>
    </xf>
    <xf numFmtId="0" fontId="60" fillId="22" borderId="0">
      <alignment vertical="center"/>
    </xf>
    <xf numFmtId="0" fontId="60" fillId="23" borderId="0">
      <alignment vertical="center"/>
    </xf>
    <xf numFmtId="0" fontId="60" fillId="17" borderId="0">
      <alignment vertical="center"/>
    </xf>
    <xf numFmtId="0" fontId="60" fillId="18" borderId="0">
      <alignment vertical="center"/>
    </xf>
    <xf numFmtId="0" fontId="60" fillId="24" borderId="0">
      <alignment vertical="center"/>
    </xf>
    <xf numFmtId="291" fontId="180" fillId="0" borderId="1">
      <alignment vertical="center"/>
    </xf>
    <xf numFmtId="290" fontId="180" fillId="0" borderId="1">
      <alignment vertical="center"/>
    </xf>
    <xf numFmtId="0" fontId="69" fillId="2" borderId="18">
      <alignment vertical="center"/>
    </xf>
    <xf numFmtId="256" fontId="146" fillId="0" borderId="0">
      <protection locked="0"/>
    </xf>
    <xf numFmtId="0" fontId="24" fillId="0" borderId="0">
      <protection locked="0"/>
    </xf>
    <xf numFmtId="0" fontId="146" fillId="0" borderId="0">
      <protection locked="0"/>
    </xf>
    <xf numFmtId="0" fontId="24" fillId="0" borderId="0">
      <protection locked="0"/>
    </xf>
    <xf numFmtId="0" fontId="146" fillId="0" borderId="0">
      <protection locked="0"/>
    </xf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314" fontId="9" fillId="0" borderId="0"/>
    <xf numFmtId="0" fontId="129" fillId="0" borderId="0">
      <alignment horizontal="centerContinuous"/>
    </xf>
    <xf numFmtId="0" fontId="70" fillId="7" borderId="0">
      <alignment vertical="center"/>
    </xf>
    <xf numFmtId="0" fontId="24" fillId="0" borderId="0">
      <protection locked="0"/>
    </xf>
    <xf numFmtId="0" fontId="146" fillId="0" borderId="0">
      <protection locked="0"/>
    </xf>
    <xf numFmtId="49" fontId="180" fillId="0" borderId="0"/>
    <xf numFmtId="3" fontId="145" fillId="0" borderId="12">
      <alignment horizontal="center"/>
    </xf>
    <xf numFmtId="0" fontId="24" fillId="0" borderId="0">
      <protection locked="0"/>
    </xf>
    <xf numFmtId="0" fontId="146" fillId="0" borderId="0">
      <protection locked="0"/>
    </xf>
    <xf numFmtId="0" fontId="11" fillId="0" borderId="0"/>
    <xf numFmtId="0" fontId="47" fillId="0" borderId="0">
      <alignment vertical="top"/>
      <protection locked="0"/>
    </xf>
    <xf numFmtId="283" fontId="180" fillId="0" borderId="0">
      <alignment vertical="center"/>
    </xf>
    <xf numFmtId="283" fontId="180" fillId="0" borderId="0">
      <alignment vertical="center"/>
    </xf>
    <xf numFmtId="0" fontId="180" fillId="3" borderId="21">
      <alignment vertical="center"/>
    </xf>
    <xf numFmtId="183" fontId="180" fillId="0" borderId="0">
      <protection locked="0"/>
    </xf>
    <xf numFmtId="9" fontId="180" fillId="0" borderId="0">
      <alignment vertical="center"/>
    </xf>
    <xf numFmtId="9" fontId="180" fillId="0" borderId="0">
      <alignment vertical="center"/>
    </xf>
    <xf numFmtId="9" fontId="180" fillId="0" borderId="0">
      <alignment vertical="center"/>
    </xf>
    <xf numFmtId="9" fontId="180" fillId="0" borderId="0">
      <alignment vertical="center"/>
    </xf>
    <xf numFmtId="9" fontId="180" fillId="0" borderId="0"/>
    <xf numFmtId="9" fontId="9" fillId="0" borderId="0"/>
    <xf numFmtId="9" fontId="180" fillId="0" borderId="0">
      <alignment vertical="center"/>
    </xf>
    <xf numFmtId="9" fontId="180" fillId="0" borderId="0">
      <alignment vertical="center"/>
    </xf>
    <xf numFmtId="9" fontId="180" fillId="0" borderId="0">
      <alignment vertical="center"/>
    </xf>
    <xf numFmtId="9" fontId="9" fillId="0" borderId="0"/>
    <xf numFmtId="9" fontId="9" fillId="0" borderId="0"/>
    <xf numFmtId="0" fontId="9" fillId="0" borderId="22"/>
    <xf numFmtId="0" fontId="180" fillId="0" borderId="0"/>
    <xf numFmtId="0" fontId="148" fillId="0" borderId="0"/>
    <xf numFmtId="0" fontId="148" fillId="0" borderId="0"/>
    <xf numFmtId="313" fontId="180" fillId="0" borderId="29"/>
    <xf numFmtId="177" fontId="50" fillId="0" borderId="13">
      <alignment vertical="center"/>
    </xf>
    <xf numFmtId="0" fontId="74" fillId="26" borderId="23">
      <alignment vertical="center"/>
    </xf>
    <xf numFmtId="4" fontId="148" fillId="0" borderId="29"/>
    <xf numFmtId="0" fontId="51" fillId="0" borderId="0">
      <alignment vertical="center"/>
    </xf>
    <xf numFmtId="41" fontId="102" fillId="0" borderId="0">
      <alignment vertical="center"/>
    </xf>
    <xf numFmtId="41" fontId="102" fillId="0" borderId="0">
      <alignment vertical="center"/>
    </xf>
    <xf numFmtId="188" fontId="9" fillId="0" borderId="0"/>
    <xf numFmtId="338" fontId="53" fillId="0" borderId="0">
      <alignment vertical="center"/>
    </xf>
    <xf numFmtId="41" fontId="180" fillId="0" borderId="0">
      <alignment vertical="center"/>
    </xf>
    <xf numFmtId="41" fontId="180" fillId="0" borderId="0"/>
    <xf numFmtId="184" fontId="180" fillId="0" borderId="0"/>
    <xf numFmtId="178" fontId="9" fillId="0" borderId="0"/>
    <xf numFmtId="188" fontId="9" fillId="0" borderId="0"/>
    <xf numFmtId="41" fontId="180" fillId="0" borderId="0"/>
    <xf numFmtId="178" fontId="180" fillId="0" borderId="0"/>
    <xf numFmtId="338" fontId="180" fillId="0" borderId="0"/>
    <xf numFmtId="317" fontId="180" fillId="0" borderId="0"/>
    <xf numFmtId="41" fontId="102" fillId="0" borderId="0">
      <alignment vertical="center"/>
    </xf>
    <xf numFmtId="41" fontId="180" fillId="0" borderId="0">
      <alignment vertical="center"/>
    </xf>
    <xf numFmtId="188" fontId="9" fillId="0" borderId="0"/>
    <xf numFmtId="41" fontId="102" fillId="0" borderId="0">
      <alignment vertical="center"/>
    </xf>
    <xf numFmtId="188" fontId="9" fillId="0" borderId="0"/>
    <xf numFmtId="188" fontId="9" fillId="0" borderId="0"/>
    <xf numFmtId="188" fontId="9" fillId="0" borderId="0"/>
    <xf numFmtId="41" fontId="11" fillId="0" borderId="0"/>
    <xf numFmtId="188" fontId="9" fillId="0" borderId="0"/>
    <xf numFmtId="0" fontId="9" fillId="0" borderId="0"/>
    <xf numFmtId="0" fontId="9" fillId="0" borderId="0"/>
    <xf numFmtId="0" fontId="64" fillId="0" borderId="0"/>
    <xf numFmtId="0" fontId="64" fillId="0" borderId="0"/>
    <xf numFmtId="0" fontId="64" fillId="0" borderId="0"/>
    <xf numFmtId="0" fontId="145" fillId="0" borderId="14"/>
    <xf numFmtId="0" fontId="30" fillId="0" borderId="35">
      <alignment vertical="center"/>
    </xf>
    <xf numFmtId="300" fontId="9" fillId="0" borderId="0"/>
    <xf numFmtId="339" fontId="156" fillId="0" borderId="0"/>
    <xf numFmtId="194" fontId="9" fillId="0" borderId="0"/>
    <xf numFmtId="190" fontId="180" fillId="0" borderId="0"/>
    <xf numFmtId="0" fontId="78" fillId="11" borderId="18">
      <alignment vertical="center"/>
    </xf>
    <xf numFmtId="4" fontId="24" fillId="0" borderId="0">
      <protection locked="0"/>
    </xf>
    <xf numFmtId="4" fontId="24" fillId="0" borderId="0">
      <protection locked="0"/>
    </xf>
    <xf numFmtId="4" fontId="146" fillId="0" borderId="0">
      <protection locked="0"/>
    </xf>
    <xf numFmtId="4" fontId="146" fillId="0" borderId="0">
      <protection locked="0"/>
    </xf>
    <xf numFmtId="4" fontId="146" fillId="0" borderId="0">
      <protection locked="0"/>
    </xf>
    <xf numFmtId="4" fontId="146" fillId="0" borderId="0">
      <protection locked="0"/>
    </xf>
    <xf numFmtId="4" fontId="146" fillId="0" borderId="0">
      <protection locked="0"/>
    </xf>
    <xf numFmtId="263" fontId="146" fillId="0" borderId="0">
      <protection locked="0"/>
    </xf>
    <xf numFmtId="0" fontId="9" fillId="0" borderId="1">
      <alignment horizontal="distributed" vertical="center" wrapText="1"/>
    </xf>
    <xf numFmtId="0" fontId="9" fillId="0" borderId="29">
      <alignment horizontal="distributed" vertical="top" wrapText="1"/>
    </xf>
    <xf numFmtId="0" fontId="9" fillId="0" borderId="30">
      <alignment horizontal="distributed" wrapText="1"/>
    </xf>
    <xf numFmtId="188" fontId="83" fillId="0" borderId="0">
      <alignment vertical="center"/>
    </xf>
    <xf numFmtId="0" fontId="84" fillId="8" borderId="0">
      <alignment vertical="center"/>
    </xf>
    <xf numFmtId="0" fontId="9" fillId="0" borderId="0"/>
    <xf numFmtId="0" fontId="85" fillId="2" borderId="31">
      <alignment vertical="center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146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2" fontId="15" fillId="4" borderId="0">
      <alignment horizontal="right"/>
    </xf>
    <xf numFmtId="40" fontId="9" fillId="0" borderId="2"/>
    <xf numFmtId="181" fontId="96" fillId="0" borderId="1">
      <alignment vertical="center"/>
    </xf>
    <xf numFmtId="184" fontId="136" fillId="0" borderId="1">
      <alignment horizontal="left" vertical="center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146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96" fontId="9" fillId="0" borderId="0"/>
    <xf numFmtId="262" fontId="146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0" fontId="180" fillId="0" borderId="0"/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146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216" fontId="24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183" fontId="180" fillId="0" borderId="0">
      <protection locked="0"/>
    </xf>
    <xf numFmtId="0" fontId="180" fillId="0" borderId="0"/>
    <xf numFmtId="0" fontId="180" fillId="0" borderId="0"/>
    <xf numFmtId="0" fontId="11" fillId="0" borderId="0"/>
    <xf numFmtId="0" fontId="53" fillId="0" borderId="0">
      <alignment vertical="center"/>
    </xf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02" fillId="0" borderId="0">
      <alignment vertical="center"/>
    </xf>
    <xf numFmtId="0" fontId="102" fillId="0" borderId="0">
      <alignment vertical="center"/>
    </xf>
    <xf numFmtId="0" fontId="180" fillId="0" borderId="0"/>
    <xf numFmtId="0" fontId="180" fillId="0" borderId="0"/>
    <xf numFmtId="0" fontId="180" fillId="0" borderId="0"/>
    <xf numFmtId="0" fontId="17" fillId="0" borderId="0">
      <alignment vertical="center"/>
    </xf>
    <xf numFmtId="0" fontId="180" fillId="0" borderId="0"/>
    <xf numFmtId="0" fontId="180" fillId="0" borderId="0"/>
    <xf numFmtId="0" fontId="180" fillId="0" borderId="0"/>
    <xf numFmtId="0" fontId="180" fillId="0" borderId="0"/>
    <xf numFmtId="0" fontId="10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80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80" fillId="0" borderId="0"/>
    <xf numFmtId="0" fontId="180" fillId="0" borderId="0"/>
    <xf numFmtId="0" fontId="9" fillId="0" borderId="0"/>
    <xf numFmtId="0" fontId="11" fillId="0" borderId="0"/>
    <xf numFmtId="49" fontId="17" fillId="0" borderId="0">
      <alignment horizontal="left"/>
    </xf>
    <xf numFmtId="0" fontId="61" fillId="0" borderId="16">
      <alignment horizontal="center" vertical="center"/>
    </xf>
    <xf numFmtId="0" fontId="24" fillId="0" borderId="5">
      <protection locked="0"/>
    </xf>
    <xf numFmtId="0" fontId="146" fillId="0" borderId="5">
      <protection locked="0"/>
    </xf>
    <xf numFmtId="274" fontId="146" fillId="0" borderId="0">
      <protection locked="0"/>
    </xf>
    <xf numFmtId="275" fontId="146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38" fontId="15" fillId="0" borderId="0"/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0" fontId="53" fillId="0" borderId="0">
      <alignment vertical="center"/>
    </xf>
    <xf numFmtId="41" fontId="53" fillId="0" borderId="0">
      <alignment vertical="center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0" fontId="9" fillId="0" borderId="0">
      <protection locked="0"/>
    </xf>
    <xf numFmtId="41" fontId="53" fillId="0" borderId="0">
      <alignment vertical="center"/>
    </xf>
    <xf numFmtId="41" fontId="180" fillId="0" borderId="0"/>
    <xf numFmtId="38" fontId="180" fillId="0" borderId="0"/>
    <xf numFmtId="41" fontId="180" fillId="0" borderId="0"/>
    <xf numFmtId="0" fontId="11" fillId="0" borderId="0">
      <alignment vertical="center"/>
    </xf>
    <xf numFmtId="0" fontId="11" fillId="0" borderId="0">
      <alignment vertical="center"/>
    </xf>
    <xf numFmtId="41" fontId="180" fillId="0" borderId="0">
      <alignment vertical="center"/>
    </xf>
    <xf numFmtId="9" fontId="53" fillId="0" borderId="0">
      <alignment vertical="center"/>
    </xf>
    <xf numFmtId="41" fontId="53" fillId="0" borderId="0">
      <alignment vertical="center"/>
    </xf>
    <xf numFmtId="41" fontId="53" fillId="0" borderId="0">
      <alignment vertical="center"/>
    </xf>
    <xf numFmtId="0" fontId="180" fillId="0" borderId="0">
      <alignment vertical="center"/>
    </xf>
    <xf numFmtId="0" fontId="180" fillId="0" borderId="0">
      <alignment vertical="center"/>
    </xf>
    <xf numFmtId="9" fontId="53" fillId="0" borderId="0">
      <alignment vertical="center"/>
    </xf>
    <xf numFmtId="41" fontId="53" fillId="0" borderId="0">
      <alignment vertical="center"/>
    </xf>
    <xf numFmtId="9" fontId="180" fillId="0" borderId="0">
      <alignment vertical="center"/>
    </xf>
    <xf numFmtId="0" fontId="180" fillId="0" borderId="0"/>
    <xf numFmtId="0" fontId="53" fillId="0" borderId="0">
      <alignment vertical="center"/>
    </xf>
    <xf numFmtId="41" fontId="53" fillId="0" borderId="0">
      <alignment vertical="center"/>
    </xf>
    <xf numFmtId="0" fontId="53" fillId="0" borderId="0">
      <alignment vertical="center"/>
    </xf>
    <xf numFmtId="41" fontId="53" fillId="0" borderId="0">
      <alignment vertical="center"/>
    </xf>
    <xf numFmtId="9" fontId="9" fillId="0" borderId="0"/>
    <xf numFmtId="0" fontId="180" fillId="0" borderId="0"/>
    <xf numFmtId="0" fontId="180" fillId="0" borderId="0">
      <alignment vertical="center"/>
    </xf>
    <xf numFmtId="0" fontId="6" fillId="0" borderId="0">
      <alignment vertical="center"/>
    </xf>
    <xf numFmtId="0" fontId="188" fillId="0" borderId="0">
      <alignment vertical="center"/>
    </xf>
    <xf numFmtId="0" fontId="188" fillId="0" borderId="0"/>
    <xf numFmtId="41" fontId="188" fillId="0" borderId="0" applyFont="0" applyFill="0" applyBorder="0" applyAlignment="0" applyProtection="0"/>
    <xf numFmtId="0" fontId="188" fillId="0" borderId="0"/>
    <xf numFmtId="0" fontId="208" fillId="0" borderId="0">
      <alignment vertical="center"/>
    </xf>
    <xf numFmtId="0" fontId="212" fillId="0" borderId="0"/>
    <xf numFmtId="0" fontId="188" fillId="0" borderId="0"/>
    <xf numFmtId="0" fontId="188" fillId="0" borderId="0"/>
    <xf numFmtId="0" fontId="215" fillId="0" borderId="0"/>
    <xf numFmtId="0" fontId="217" fillId="0" borderId="0">
      <alignment vertical="center"/>
    </xf>
    <xf numFmtId="0" fontId="188" fillId="0" borderId="0">
      <alignment vertical="center"/>
    </xf>
    <xf numFmtId="41" fontId="188" fillId="0" borderId="0" applyFont="0" applyFill="0" applyBorder="0" applyAlignment="0" applyProtection="0">
      <alignment vertical="center"/>
    </xf>
    <xf numFmtId="0" fontId="188" fillId="0" borderId="0"/>
    <xf numFmtId="41" fontId="188" fillId="0" borderId="0" applyFont="0" applyFill="0" applyBorder="0" applyAlignment="0" applyProtection="0">
      <alignment vertical="center"/>
    </xf>
    <xf numFmtId="0" fontId="188" fillId="0" borderId="0">
      <alignment vertical="center"/>
    </xf>
    <xf numFmtId="0" fontId="233" fillId="0" borderId="0"/>
    <xf numFmtId="0" fontId="188" fillId="0" borderId="0">
      <alignment vertical="center"/>
    </xf>
    <xf numFmtId="0" fontId="217" fillId="0" borderId="0">
      <alignment vertical="center"/>
    </xf>
    <xf numFmtId="0" fontId="188" fillId="0" borderId="0"/>
    <xf numFmtId="41" fontId="180" fillId="0" borderId="0"/>
    <xf numFmtId="0" fontId="188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188" fillId="0" borderId="0" applyFont="0" applyFill="0" applyBorder="0" applyAlignment="0" applyProtection="0"/>
    <xf numFmtId="0" fontId="188" fillId="0" borderId="0">
      <alignment vertical="center"/>
    </xf>
    <xf numFmtId="0" fontId="188" fillId="0" borderId="0"/>
    <xf numFmtId="9" fontId="188" fillId="0" borderId="0" applyFont="0" applyFill="0" applyBorder="0" applyAlignment="0" applyProtection="0"/>
    <xf numFmtId="0" fontId="188" fillId="0" borderId="0">
      <alignment vertical="center"/>
    </xf>
    <xf numFmtId="0" fontId="210" fillId="0" borderId="0">
      <alignment vertical="center"/>
    </xf>
    <xf numFmtId="0" fontId="188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88" fillId="0" borderId="0"/>
    <xf numFmtId="0" fontId="3" fillId="0" borderId="0">
      <alignment vertical="center"/>
    </xf>
    <xf numFmtId="0" fontId="210" fillId="0" borderId="0">
      <alignment vertical="center"/>
    </xf>
    <xf numFmtId="9" fontId="188" fillId="0" borderId="0" applyFont="0" applyFill="0" applyBorder="0" applyAlignment="0" applyProtection="0">
      <alignment vertical="center"/>
    </xf>
    <xf numFmtId="9" fontId="188" fillId="0" borderId="0" applyFont="0" applyFill="0" applyBorder="0" applyAlignment="0" applyProtection="0">
      <alignment vertical="center"/>
    </xf>
    <xf numFmtId="0" fontId="320" fillId="0" borderId="0"/>
    <xf numFmtId="0" fontId="320" fillId="0" borderId="0"/>
    <xf numFmtId="41" fontId="18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8" fontId="233" fillId="0" borderId="0" applyFont="0" applyFill="0" applyBorder="0" applyAlignment="0" applyProtection="0"/>
    <xf numFmtId="0" fontId="188" fillId="0" borderId="0">
      <alignment vertical="center"/>
    </xf>
    <xf numFmtId="41" fontId="188" fillId="0" borderId="0" applyFont="0" applyFill="0" applyBorder="0" applyAlignment="0" applyProtection="0"/>
    <xf numFmtId="0" fontId="188" fillId="0" borderId="0"/>
    <xf numFmtId="0" fontId="233" fillId="0" borderId="0" applyAlignment="0" applyProtection="0"/>
    <xf numFmtId="188" fontId="233" fillId="0" borderId="0" applyFont="0" applyFill="0" applyBorder="0" applyAlignment="0" applyProtection="0"/>
  </cellStyleXfs>
  <cellXfs count="2355">
    <xf numFmtId="0" fontId="0" fillId="0" borderId="0" xfId="0">
      <alignment vertical="center"/>
    </xf>
    <xf numFmtId="0" fontId="102" fillId="0" borderId="0" xfId="0" applyFont="1">
      <alignment vertical="center"/>
    </xf>
    <xf numFmtId="0" fontId="157" fillId="0" borderId="0" xfId="0" applyFont="1">
      <alignment vertical="center"/>
    </xf>
    <xf numFmtId="0" fontId="134" fillId="0" borderId="0" xfId="0" applyFont="1">
      <alignment vertical="center"/>
    </xf>
    <xf numFmtId="0" fontId="89" fillId="0" borderId="0" xfId="0" applyFont="1">
      <alignment vertical="center"/>
    </xf>
    <xf numFmtId="41" fontId="89" fillId="0" borderId="0" xfId="0" applyNumberFormat="1" applyFont="1">
      <alignment vertical="center"/>
    </xf>
    <xf numFmtId="176" fontId="158" fillId="0" borderId="0" xfId="0" applyNumberFormat="1" applyFont="1">
      <alignment vertical="center"/>
    </xf>
    <xf numFmtId="0" fontId="158" fillId="0" borderId="0" xfId="0" applyFont="1" applyAlignment="1">
      <alignment horizontal="centerContinuous" vertical="center"/>
    </xf>
    <xf numFmtId="41" fontId="158" fillId="0" borderId="0" xfId="0" applyNumberFormat="1" applyFont="1" applyAlignment="1">
      <alignment horizontal="center" vertical="center" shrinkToFit="1"/>
    </xf>
    <xf numFmtId="0" fontId="159" fillId="0" borderId="0" xfId="0" applyFont="1" applyAlignment="1">
      <alignment horizontal="left" vertical="center"/>
    </xf>
    <xf numFmtId="0" fontId="158" fillId="0" borderId="0" xfId="0" applyFont="1" applyAlignment="1">
      <alignment horizontal="center" vertical="center"/>
    </xf>
    <xf numFmtId="0" fontId="158" fillId="0" borderId="0" xfId="0" applyFont="1">
      <alignment vertical="center"/>
    </xf>
    <xf numFmtId="176" fontId="159" fillId="0" borderId="0" xfId="0" applyNumberFormat="1" applyFont="1" applyAlignment="1"/>
    <xf numFmtId="0" fontId="159" fillId="0" borderId="0" xfId="0" applyFont="1" applyAlignment="1">
      <alignment horizontal="centerContinuous"/>
    </xf>
    <xf numFmtId="0" fontId="159" fillId="0" borderId="0" xfId="0" applyFont="1" applyAlignment="1">
      <alignment horizontal="center"/>
    </xf>
    <xf numFmtId="0" fontId="159" fillId="0" borderId="0" xfId="0" applyFont="1">
      <alignment vertical="center"/>
    </xf>
    <xf numFmtId="0" fontId="158" fillId="0" borderId="1" xfId="0" applyFont="1" applyBorder="1" applyAlignment="1">
      <alignment horizontal="centerContinuous" vertical="center"/>
    </xf>
    <xf numFmtId="0" fontId="159" fillId="0" borderId="0" xfId="0" applyFont="1" applyAlignment="1">
      <alignment horizontal="right" vertical="center"/>
    </xf>
    <xf numFmtId="176" fontId="159" fillId="0" borderId="0" xfId="0" applyNumberFormat="1" applyFont="1">
      <alignment vertical="center"/>
    </xf>
    <xf numFmtId="0" fontId="159" fillId="0" borderId="0" xfId="0" applyFont="1" applyAlignment="1">
      <alignment horizontal="centerContinuous" vertical="center"/>
    </xf>
    <xf numFmtId="0" fontId="159" fillId="0" borderId="0" xfId="0" applyFont="1" applyAlignment="1">
      <alignment horizontal="center" vertical="center"/>
    </xf>
    <xf numFmtId="0" fontId="160" fillId="0" borderId="0" xfId="0" applyFont="1">
      <alignment vertical="center"/>
    </xf>
    <xf numFmtId="0" fontId="160" fillId="0" borderId="0" xfId="0" applyFont="1" applyAlignment="1">
      <alignment horizontal="right" vertical="center"/>
    </xf>
    <xf numFmtId="41" fontId="160" fillId="0" borderId="2" xfId="0" applyNumberFormat="1" applyFont="1" applyBorder="1" applyAlignment="1">
      <alignment horizontal="center" vertical="center"/>
    </xf>
    <xf numFmtId="0" fontId="161" fillId="0" borderId="58" xfId="0" applyFont="1" applyBorder="1" applyAlignment="1">
      <alignment horizontal="center" vertical="center"/>
    </xf>
    <xf numFmtId="0" fontId="161" fillId="0" borderId="59" xfId="0" applyFont="1" applyBorder="1" applyAlignment="1">
      <alignment horizontal="center" vertical="center"/>
    </xf>
    <xf numFmtId="0" fontId="161" fillId="0" borderId="60" xfId="0" applyFont="1" applyBorder="1" applyAlignment="1">
      <alignment horizontal="center" vertical="center"/>
    </xf>
    <xf numFmtId="0" fontId="160" fillId="0" borderId="61" xfId="0" applyFont="1" applyBorder="1" applyAlignment="1">
      <alignment horizontal="distributed" vertical="center" wrapText="1"/>
    </xf>
    <xf numFmtId="0" fontId="160" fillId="0" borderId="62" xfId="0" applyFont="1" applyBorder="1" applyAlignment="1">
      <alignment horizontal="distributed" vertical="center" wrapText="1"/>
    </xf>
    <xf numFmtId="41" fontId="160" fillId="0" borderId="63" xfId="0" applyNumberFormat="1" applyFont="1" applyBorder="1" applyAlignment="1">
      <alignment horizontal="center" vertical="center"/>
    </xf>
    <xf numFmtId="0" fontId="160" fillId="0" borderId="0" xfId="0" applyFont="1" applyAlignment="1">
      <alignment horizontal="distributed" vertical="center" wrapText="1"/>
    </xf>
    <xf numFmtId="0" fontId="53" fillId="0" borderId="0" xfId="0" applyFont="1" applyAlignment="1">
      <alignment horizontal="center" vertical="center"/>
    </xf>
    <xf numFmtId="41" fontId="53" fillId="0" borderId="0" xfId="0" applyNumberFormat="1" applyFont="1" applyAlignment="1">
      <alignment horizontal="center" vertical="center"/>
    </xf>
    <xf numFmtId="41" fontId="160" fillId="0" borderId="0" xfId="0" applyNumberFormat="1" applyFont="1" applyAlignment="1">
      <alignment horizontal="center" vertical="center"/>
    </xf>
    <xf numFmtId="0" fontId="160" fillId="4" borderId="0" xfId="0" applyFont="1" applyFill="1">
      <alignment vertical="center"/>
    </xf>
    <xf numFmtId="0" fontId="158" fillId="0" borderId="1" xfId="0" applyFont="1" applyBorder="1" applyAlignment="1">
      <alignment horizontal="center" vertical="center"/>
    </xf>
    <xf numFmtId="0" fontId="53" fillId="0" borderId="0" xfId="256" applyFont="1" applyAlignment="1">
      <alignment vertical="center"/>
    </xf>
    <xf numFmtId="41" fontId="53" fillId="8" borderId="64" xfId="256" applyNumberFormat="1" applyFont="1" applyFill="1" applyBorder="1" applyAlignment="1">
      <alignment horizontal="center" vertical="center"/>
    </xf>
    <xf numFmtId="0" fontId="162" fillId="0" borderId="65" xfId="256" applyFont="1" applyBorder="1" applyAlignment="1">
      <alignment vertical="center"/>
    </xf>
    <xf numFmtId="0" fontId="53" fillId="0" borderId="66" xfId="256" applyFont="1" applyBorder="1" applyAlignment="1">
      <alignment horizontal="center" vertical="center"/>
    </xf>
    <xf numFmtId="41" fontId="53" fillId="0" borderId="66" xfId="256" applyNumberFormat="1" applyFont="1" applyBorder="1" applyAlignment="1">
      <alignment horizontal="center" vertical="center"/>
    </xf>
    <xf numFmtId="0" fontId="53" fillId="0" borderId="67" xfId="256" applyFont="1" applyBorder="1" applyAlignment="1">
      <alignment horizontal="center" vertical="center"/>
    </xf>
    <xf numFmtId="0" fontId="77" fillId="0" borderId="68" xfId="256" applyFont="1" applyBorder="1" applyAlignment="1">
      <alignment horizontal="left" vertical="center"/>
    </xf>
    <xf numFmtId="0" fontId="77" fillId="0" borderId="69" xfId="256" applyFont="1" applyBorder="1" applyAlignment="1">
      <alignment vertical="center"/>
    </xf>
    <xf numFmtId="0" fontId="77" fillId="0" borderId="69" xfId="256" applyFont="1" applyBorder="1" applyAlignment="1">
      <alignment horizontal="center" vertical="center"/>
    </xf>
    <xf numFmtId="41" fontId="77" fillId="0" borderId="69" xfId="256" applyNumberFormat="1" applyFont="1" applyBorder="1" applyAlignment="1">
      <alignment vertical="center"/>
    </xf>
    <xf numFmtId="0" fontId="77" fillId="0" borderId="70" xfId="256" applyFont="1" applyBorder="1" applyAlignment="1">
      <alignment vertical="center"/>
    </xf>
    <xf numFmtId="0" fontId="77" fillId="0" borderId="0" xfId="256" applyFont="1" applyAlignment="1">
      <alignment vertical="center"/>
    </xf>
    <xf numFmtId="0" fontId="77" fillId="0" borderId="13" xfId="256" applyFont="1" applyBorder="1" applyAlignment="1">
      <alignment vertical="center"/>
    </xf>
    <xf numFmtId="177" fontId="163" fillId="0" borderId="13" xfId="256" applyNumberFormat="1" applyFont="1" applyBorder="1" applyAlignment="1">
      <alignment horizontal="right" vertical="center"/>
    </xf>
    <xf numFmtId="0" fontId="163" fillId="0" borderId="13" xfId="256" applyFont="1" applyBorder="1" applyAlignment="1">
      <alignment horizontal="center" vertical="center"/>
    </xf>
    <xf numFmtId="41" fontId="163" fillId="0" borderId="13" xfId="256" applyNumberFormat="1" applyFont="1" applyBorder="1" applyAlignment="1">
      <alignment vertical="center"/>
    </xf>
    <xf numFmtId="0" fontId="164" fillId="0" borderId="71" xfId="256" applyFont="1" applyBorder="1" applyAlignment="1">
      <alignment horizontal="center" vertical="center"/>
    </xf>
    <xf numFmtId="9" fontId="77" fillId="0" borderId="0" xfId="256" applyNumberFormat="1" applyFont="1" applyAlignment="1">
      <alignment vertical="center"/>
    </xf>
    <xf numFmtId="182" fontId="164" fillId="0" borderId="13" xfId="256" applyNumberFormat="1" applyFont="1" applyBorder="1" applyAlignment="1">
      <alignment horizontal="right" vertical="center"/>
    </xf>
    <xf numFmtId="0" fontId="164" fillId="0" borderId="13" xfId="256" applyFont="1" applyBorder="1" applyAlignment="1">
      <alignment horizontal="center" vertical="center"/>
    </xf>
    <xf numFmtId="41" fontId="164" fillId="0" borderId="13" xfId="256" applyNumberFormat="1" applyFont="1" applyBorder="1" applyAlignment="1">
      <alignment vertical="center"/>
    </xf>
    <xf numFmtId="0" fontId="163" fillId="0" borderId="11" xfId="256" applyFont="1" applyBorder="1" applyAlignment="1">
      <alignment vertical="center"/>
    </xf>
    <xf numFmtId="0" fontId="164" fillId="0" borderId="11" xfId="256" applyFont="1" applyBorder="1" applyAlignment="1">
      <alignment vertical="center"/>
    </xf>
    <xf numFmtId="187" fontId="164" fillId="0" borderId="13" xfId="256" applyNumberFormat="1" applyFont="1" applyBorder="1" applyAlignment="1">
      <alignment vertical="center"/>
    </xf>
    <xf numFmtId="177" fontId="164" fillId="0" borderId="13" xfId="256" applyNumberFormat="1" applyFont="1" applyBorder="1" applyAlignment="1">
      <alignment horizontal="right" vertical="center"/>
    </xf>
    <xf numFmtId="41" fontId="164" fillId="0" borderId="12" xfId="256" applyNumberFormat="1" applyFont="1" applyBorder="1" applyAlignment="1">
      <alignment vertical="center"/>
    </xf>
    <xf numFmtId="0" fontId="53" fillId="0" borderId="11" xfId="256" applyFont="1" applyBorder="1" applyAlignment="1">
      <alignment vertical="center"/>
    </xf>
    <xf numFmtId="41" fontId="163" fillId="0" borderId="69" xfId="256" applyNumberFormat="1" applyFont="1" applyBorder="1" applyAlignment="1">
      <alignment vertical="center"/>
    </xf>
    <xf numFmtId="41" fontId="164" fillId="0" borderId="69" xfId="256" applyNumberFormat="1" applyFont="1" applyBorder="1" applyAlignment="1">
      <alignment vertical="center"/>
    </xf>
    <xf numFmtId="0" fontId="53" fillId="0" borderId="70" xfId="256" applyFont="1" applyBorder="1" applyAlignment="1">
      <alignment vertical="center"/>
    </xf>
    <xf numFmtId="41" fontId="53" fillId="0" borderId="0" xfId="256" applyNumberFormat="1" applyFont="1" applyAlignment="1">
      <alignment vertical="center"/>
    </xf>
    <xf numFmtId="0" fontId="53" fillId="0" borderId="74" xfId="256" applyFont="1" applyBorder="1" applyAlignment="1">
      <alignment vertical="center"/>
    </xf>
    <xf numFmtId="0" fontId="165" fillId="0" borderId="69" xfId="256" applyFont="1" applyBorder="1" applyAlignment="1">
      <alignment horizontal="center" vertical="center"/>
    </xf>
    <xf numFmtId="182" fontId="139" fillId="0" borderId="0" xfId="256" applyNumberFormat="1" applyFont="1" applyAlignment="1">
      <alignment horizontal="center" vertical="center"/>
    </xf>
    <xf numFmtId="341" fontId="77" fillId="0" borderId="0" xfId="256" applyNumberFormat="1" applyFont="1" applyAlignment="1">
      <alignment horizontal="left" vertical="center"/>
    </xf>
    <xf numFmtId="341" fontId="53" fillId="0" borderId="0" xfId="256" applyNumberFormat="1" applyFont="1" applyAlignment="1">
      <alignment horizontal="center" vertical="center"/>
    </xf>
    <xf numFmtId="0" fontId="68" fillId="0" borderId="69" xfId="256" applyFont="1" applyBorder="1" applyAlignment="1">
      <alignment vertical="center"/>
    </xf>
    <xf numFmtId="0" fontId="53" fillId="0" borderId="69" xfId="256" applyFont="1" applyBorder="1" applyAlignment="1">
      <alignment vertical="center"/>
    </xf>
    <xf numFmtId="0" fontId="53" fillId="8" borderId="64" xfId="256" applyFont="1" applyFill="1" applyBorder="1" applyAlignment="1">
      <alignment horizontal="center" vertical="center"/>
    </xf>
    <xf numFmtId="0" fontId="53" fillId="0" borderId="75" xfId="256" applyFont="1" applyBorder="1" applyAlignment="1">
      <alignment vertical="center"/>
    </xf>
    <xf numFmtId="0" fontId="165" fillId="0" borderId="64" xfId="256" applyFont="1" applyBorder="1" applyAlignment="1">
      <alignment horizontal="center" vertical="center"/>
    </xf>
    <xf numFmtId="0" fontId="53" fillId="0" borderId="0" xfId="256" applyFont="1" applyAlignment="1">
      <alignment horizontal="center" vertical="center"/>
    </xf>
    <xf numFmtId="0" fontId="53" fillId="0" borderId="64" xfId="256" applyFont="1" applyBorder="1" applyAlignment="1">
      <alignment vertical="center"/>
    </xf>
    <xf numFmtId="0" fontId="53" fillId="0" borderId="78" xfId="256" applyFont="1" applyBorder="1" applyAlignment="1">
      <alignment vertical="center"/>
    </xf>
    <xf numFmtId="0" fontId="53" fillId="0" borderId="79" xfId="256" applyFont="1" applyBorder="1" applyAlignment="1">
      <alignment vertical="center"/>
    </xf>
    <xf numFmtId="0" fontId="164" fillId="0" borderId="11" xfId="256" applyFont="1" applyBorder="1" applyAlignment="1">
      <alignment horizontal="center" vertical="center"/>
    </xf>
    <xf numFmtId="0" fontId="164" fillId="0" borderId="13" xfId="256" applyFont="1" applyBorder="1" applyAlignment="1">
      <alignment vertical="center"/>
    </xf>
    <xf numFmtId="185" fontId="164" fillId="0" borderId="13" xfId="256" applyNumberFormat="1" applyFont="1" applyBorder="1" applyAlignment="1">
      <alignment horizontal="right" vertical="center"/>
    </xf>
    <xf numFmtId="177" fontId="164" fillId="0" borderId="13" xfId="256" applyNumberFormat="1" applyFont="1" applyBorder="1" applyAlignment="1">
      <alignment vertical="center"/>
    </xf>
    <xf numFmtId="0" fontId="164" fillId="0" borderId="71" xfId="256" applyFont="1" applyBorder="1" applyAlignment="1">
      <alignment vertical="center"/>
    </xf>
    <xf numFmtId="0" fontId="53" fillId="0" borderId="80" xfId="256" applyFont="1" applyBorder="1" applyAlignment="1">
      <alignment vertical="center"/>
    </xf>
    <xf numFmtId="0" fontId="53" fillId="0" borderId="13" xfId="256" applyFont="1" applyBorder="1" applyAlignment="1">
      <alignment vertical="center"/>
    </xf>
    <xf numFmtId="41" fontId="53" fillId="0" borderId="13" xfId="256" applyNumberFormat="1" applyFont="1" applyBorder="1" applyAlignment="1">
      <alignment vertical="center"/>
    </xf>
    <xf numFmtId="0" fontId="166" fillId="0" borderId="13" xfId="256" applyFont="1" applyBorder="1" applyAlignment="1">
      <alignment vertical="center"/>
    </xf>
    <xf numFmtId="0" fontId="167" fillId="0" borderId="0" xfId="256" applyFont="1" applyAlignment="1">
      <alignment vertical="center"/>
    </xf>
    <xf numFmtId="0" fontId="134" fillId="0" borderId="0" xfId="256" applyFont="1" applyAlignment="1">
      <alignment vertical="center"/>
    </xf>
    <xf numFmtId="0" fontId="168" fillId="0" borderId="0" xfId="256" applyFont="1" applyAlignment="1">
      <alignment vertical="center"/>
    </xf>
    <xf numFmtId="182" fontId="53" fillId="0" borderId="13" xfId="256" applyNumberFormat="1" applyFont="1" applyBorder="1" applyAlignment="1">
      <alignment vertical="center"/>
    </xf>
    <xf numFmtId="0" fontId="166" fillId="0" borderId="13" xfId="256" applyFont="1" applyBorder="1" applyAlignment="1">
      <alignment horizontal="center" vertical="center"/>
    </xf>
    <xf numFmtId="9" fontId="164" fillId="0" borderId="13" xfId="256" applyNumberFormat="1" applyFont="1" applyBorder="1" applyAlignment="1">
      <alignment vertical="center"/>
    </xf>
    <xf numFmtId="342" fontId="164" fillId="0" borderId="71" xfId="256" applyNumberFormat="1" applyFont="1" applyBorder="1" applyAlignment="1">
      <alignment vertical="center"/>
    </xf>
    <xf numFmtId="343" fontId="53" fillId="0" borderId="13" xfId="256" applyNumberFormat="1" applyFont="1" applyBorder="1" applyAlignment="1">
      <alignment vertical="center"/>
    </xf>
    <xf numFmtId="345" fontId="164" fillId="0" borderId="71" xfId="256" applyNumberFormat="1" applyFont="1" applyBorder="1" applyAlignment="1">
      <alignment vertical="center"/>
    </xf>
    <xf numFmtId="0" fontId="53" fillId="0" borderId="6" xfId="256" applyFont="1" applyBorder="1" applyAlignment="1">
      <alignment vertical="center"/>
    </xf>
    <xf numFmtId="0" fontId="53" fillId="0" borderId="4" xfId="256" applyFont="1" applyBorder="1" applyAlignment="1">
      <alignment vertical="center"/>
    </xf>
    <xf numFmtId="0" fontId="53" fillId="0" borderId="71" xfId="256" applyFont="1" applyBorder="1" applyAlignment="1">
      <alignment vertical="center"/>
    </xf>
    <xf numFmtId="0" fontId="163" fillId="0" borderId="11" xfId="256" applyFont="1" applyBorder="1" applyAlignment="1">
      <alignment horizontal="left" vertical="center"/>
    </xf>
    <xf numFmtId="0" fontId="53" fillId="0" borderId="13" xfId="256" applyFont="1" applyBorder="1" applyAlignment="1">
      <alignment horizontal="right" vertical="center"/>
    </xf>
    <xf numFmtId="177" fontId="53" fillId="0" borderId="13" xfId="256" applyNumberFormat="1" applyFont="1" applyBorder="1" applyAlignment="1">
      <alignment vertical="center"/>
    </xf>
    <xf numFmtId="0" fontId="53" fillId="0" borderId="0" xfId="256" applyFont="1" applyAlignment="1">
      <alignment horizontal="right"/>
    </xf>
    <xf numFmtId="0" fontId="171" fillId="0" borderId="0" xfId="256" applyFont="1" applyAlignment="1">
      <alignment vertical="center"/>
    </xf>
    <xf numFmtId="0" fontId="0" fillId="0" borderId="0" xfId="256" applyFont="1" applyAlignment="1">
      <alignment vertical="center"/>
    </xf>
    <xf numFmtId="346" fontId="0" fillId="0" borderId="0" xfId="256" applyNumberFormat="1" applyFont="1" applyAlignment="1">
      <alignment vertical="center"/>
    </xf>
    <xf numFmtId="0" fontId="53" fillId="0" borderId="1" xfId="256" applyFont="1" applyBorder="1" applyAlignment="1">
      <alignment vertical="center"/>
    </xf>
    <xf numFmtId="0" fontId="172" fillId="0" borderId="0" xfId="256" applyFont="1" applyAlignment="1">
      <alignment vertical="center"/>
    </xf>
    <xf numFmtId="184" fontId="53" fillId="0" borderId="0" xfId="256" applyNumberFormat="1" applyFont="1" applyAlignment="1">
      <alignment horizontal="center" vertical="center"/>
    </xf>
    <xf numFmtId="185" fontId="53" fillId="0" borderId="1" xfId="256" applyNumberFormat="1" applyFont="1" applyBorder="1" applyAlignment="1">
      <alignment horizontal="center" vertical="center"/>
    </xf>
    <xf numFmtId="49" fontId="173" fillId="0" borderId="35" xfId="256" applyNumberFormat="1" applyFont="1" applyBorder="1" applyAlignment="1">
      <alignment vertical="center"/>
    </xf>
    <xf numFmtId="186" fontId="53" fillId="0" borderId="35" xfId="256" applyNumberFormat="1" applyFont="1" applyBorder="1" applyAlignment="1">
      <alignment vertical="center"/>
    </xf>
    <xf numFmtId="186" fontId="53" fillId="0" borderId="35" xfId="256" applyNumberFormat="1" applyFont="1" applyBorder="1" applyAlignment="1">
      <alignment horizontal="center" vertical="center"/>
    </xf>
    <xf numFmtId="0" fontId="164" fillId="0" borderId="0" xfId="256" applyFont="1" applyAlignment="1">
      <alignment vertical="center"/>
    </xf>
    <xf numFmtId="185" fontId="53" fillId="0" borderId="0" xfId="256" applyNumberFormat="1" applyFont="1" applyAlignment="1">
      <alignment horizontal="center" vertical="center"/>
    </xf>
    <xf numFmtId="0" fontId="77" fillId="0" borderId="11" xfId="256" applyFont="1" applyBorder="1" applyAlignment="1">
      <alignment vertical="center"/>
    </xf>
    <xf numFmtId="0" fontId="77" fillId="4" borderId="13" xfId="256" applyFont="1" applyFill="1" applyBorder="1" applyAlignment="1">
      <alignment horizontal="center" vertical="center"/>
    </xf>
    <xf numFmtId="186" fontId="77" fillId="4" borderId="71" xfId="256" applyNumberFormat="1" applyFont="1" applyFill="1" applyBorder="1" applyAlignment="1">
      <alignment vertical="center"/>
    </xf>
    <xf numFmtId="0" fontId="53" fillId="4" borderId="13" xfId="256" applyFont="1" applyFill="1" applyBorder="1" applyAlignment="1">
      <alignment horizontal="center" vertical="center"/>
    </xf>
    <xf numFmtId="0" fontId="164" fillId="4" borderId="13" xfId="256" applyFont="1" applyFill="1" applyBorder="1" applyAlignment="1">
      <alignment horizontal="center" vertical="center"/>
    </xf>
    <xf numFmtId="0" fontId="174" fillId="4" borderId="13" xfId="256" applyFont="1" applyFill="1" applyBorder="1" applyAlignment="1">
      <alignment vertical="center"/>
    </xf>
    <xf numFmtId="186" fontId="53" fillId="4" borderId="71" xfId="256" applyNumberFormat="1" applyFont="1" applyFill="1" applyBorder="1" applyAlignment="1">
      <alignment vertical="center"/>
    </xf>
    <xf numFmtId="186" fontId="53" fillId="0" borderId="0" xfId="256" applyNumberFormat="1" applyFont="1" applyAlignment="1">
      <alignment vertical="center"/>
    </xf>
    <xf numFmtId="186" fontId="53" fillId="0" borderId="0" xfId="256" applyNumberFormat="1" applyFont="1" applyAlignment="1">
      <alignment horizontal="center"/>
    </xf>
    <xf numFmtId="0" fontId="19" fillId="0" borderId="0" xfId="256" applyFont="1" applyAlignment="1">
      <alignment horizontal="left" vertical="center"/>
    </xf>
    <xf numFmtId="0" fontId="0" fillId="0" borderId="0" xfId="256" applyFont="1"/>
    <xf numFmtId="0" fontId="174" fillId="0" borderId="0" xfId="256" applyFont="1" applyAlignment="1">
      <alignment horizontal="center" vertical="center"/>
    </xf>
    <xf numFmtId="0" fontId="175" fillId="0" borderId="81" xfId="256" applyFont="1" applyBorder="1" applyAlignment="1">
      <alignment horizontal="center" vertical="center"/>
    </xf>
    <xf numFmtId="0" fontId="175" fillId="0" borderId="76" xfId="256" applyFont="1" applyBorder="1" applyAlignment="1">
      <alignment vertical="center"/>
    </xf>
    <xf numFmtId="0" fontId="174" fillId="0" borderId="11" xfId="256" applyFont="1" applyBorder="1" applyAlignment="1">
      <alignment vertical="center"/>
    </xf>
    <xf numFmtId="0" fontId="164" fillId="4" borderId="0" xfId="256" applyFont="1" applyFill="1" applyAlignment="1">
      <alignment horizontal="center" vertical="center"/>
    </xf>
    <xf numFmtId="0" fontId="174" fillId="4" borderId="0" xfId="256" applyFont="1" applyFill="1" applyAlignment="1">
      <alignment vertical="center"/>
    </xf>
    <xf numFmtId="0" fontId="163" fillId="0" borderId="0" xfId="256" applyFont="1" applyAlignment="1">
      <alignment vertical="center"/>
    </xf>
    <xf numFmtId="0" fontId="163" fillId="4" borderId="0" xfId="256" applyFont="1" applyFill="1" applyAlignment="1">
      <alignment horizontal="center" vertical="center"/>
    </xf>
    <xf numFmtId="0" fontId="175" fillId="4" borderId="0" xfId="256" applyFont="1" applyFill="1" applyAlignment="1">
      <alignment vertical="center"/>
    </xf>
    <xf numFmtId="0" fontId="164" fillId="33" borderId="0" xfId="256" applyFont="1" applyFill="1" applyAlignment="1">
      <alignment vertical="center"/>
    </xf>
    <xf numFmtId="0" fontId="164" fillId="33" borderId="0" xfId="256" applyFont="1" applyFill="1" applyAlignment="1">
      <alignment horizontal="center" vertical="center"/>
    </xf>
    <xf numFmtId="0" fontId="174" fillId="33" borderId="0" xfId="256" applyFont="1" applyFill="1" applyAlignment="1">
      <alignment vertical="center"/>
    </xf>
    <xf numFmtId="0" fontId="53" fillId="0" borderId="13" xfId="256" applyFont="1" applyBorder="1" applyAlignment="1">
      <alignment horizontal="center" vertical="center"/>
    </xf>
    <xf numFmtId="186" fontId="53" fillId="0" borderId="13" xfId="256" applyNumberFormat="1" applyFont="1" applyBorder="1" applyAlignment="1">
      <alignment horizontal="center" vertical="center"/>
    </xf>
    <xf numFmtId="186" fontId="53" fillId="0" borderId="13" xfId="256" applyNumberFormat="1" applyFont="1" applyBorder="1" applyAlignment="1">
      <alignment vertical="center"/>
    </xf>
    <xf numFmtId="49" fontId="173" fillId="0" borderId="35" xfId="256" applyNumberFormat="1" applyFont="1" applyBorder="1" applyAlignment="1">
      <alignment horizontal="center" vertical="center"/>
    </xf>
    <xf numFmtId="41" fontId="77" fillId="0" borderId="0" xfId="256" applyNumberFormat="1" applyFont="1" applyAlignment="1">
      <alignment vertical="center"/>
    </xf>
    <xf numFmtId="186" fontId="77" fillId="4" borderId="13" xfId="256" applyNumberFormat="1" applyFont="1" applyFill="1" applyBorder="1" applyAlignment="1">
      <alignment vertical="center"/>
    </xf>
    <xf numFmtId="0" fontId="77" fillId="0" borderId="13" xfId="256" applyFont="1" applyBorder="1" applyAlignment="1">
      <alignment horizontal="center" vertical="center"/>
    </xf>
    <xf numFmtId="186" fontId="77" fillId="0" borderId="13" xfId="256" applyNumberFormat="1" applyFont="1" applyBorder="1" applyAlignment="1">
      <alignment vertical="center"/>
    </xf>
    <xf numFmtId="186" fontId="77" fillId="0" borderId="71" xfId="256" applyNumberFormat="1" applyFont="1" applyBorder="1" applyAlignment="1">
      <alignment vertical="center"/>
    </xf>
    <xf numFmtId="186" fontId="77" fillId="0" borderId="13" xfId="256" applyNumberFormat="1" applyFont="1" applyBorder="1" applyAlignment="1">
      <alignment horizontal="center" vertical="center"/>
    </xf>
    <xf numFmtId="186" fontId="53" fillId="0" borderId="0" xfId="256" applyNumberFormat="1" applyFont="1" applyAlignment="1">
      <alignment horizontal="center" vertical="center"/>
    </xf>
    <xf numFmtId="0" fontId="174" fillId="0" borderId="13" xfId="256" applyFont="1" applyBorder="1" applyAlignment="1">
      <alignment vertical="center"/>
    </xf>
    <xf numFmtId="186" fontId="77" fillId="8" borderId="84" xfId="256" applyNumberFormat="1" applyFont="1" applyFill="1" applyBorder="1" applyAlignment="1">
      <alignment horizontal="center" vertical="center"/>
    </xf>
    <xf numFmtId="0" fontId="176" fillId="0" borderId="1" xfId="256" applyFont="1" applyBorder="1" applyAlignment="1">
      <alignment horizontal="center" vertical="center"/>
    </xf>
    <xf numFmtId="0" fontId="176" fillId="4" borderId="13" xfId="256" applyFont="1" applyFill="1" applyBorder="1" applyAlignment="1">
      <alignment horizontal="center" vertical="center"/>
    </xf>
    <xf numFmtId="187" fontId="163" fillId="0" borderId="13" xfId="256" applyNumberFormat="1" applyFont="1" applyBorder="1" applyAlignment="1">
      <alignment vertical="center"/>
    </xf>
    <xf numFmtId="0" fontId="139" fillId="0" borderId="0" xfId="256" applyFont="1" applyAlignment="1">
      <alignment vertical="center"/>
    </xf>
    <xf numFmtId="182" fontId="183" fillId="0" borderId="13" xfId="256" applyNumberFormat="1" applyFont="1" applyBorder="1" applyAlignment="1">
      <alignment horizontal="right" vertical="center"/>
    </xf>
    <xf numFmtId="186" fontId="164" fillId="0" borderId="64" xfId="256" applyNumberFormat="1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185" fillId="4" borderId="13" xfId="256" applyFont="1" applyFill="1" applyBorder="1" applyAlignment="1">
      <alignment horizontal="center" vertical="center"/>
    </xf>
    <xf numFmtId="0" fontId="193" fillId="0" borderId="0" xfId="256" applyFont="1" applyAlignment="1">
      <alignment vertical="center"/>
    </xf>
    <xf numFmtId="41" fontId="194" fillId="0" borderId="13" xfId="256" applyNumberFormat="1" applyFont="1" applyBorder="1" applyAlignment="1">
      <alignment vertical="center"/>
    </xf>
    <xf numFmtId="187" fontId="194" fillId="0" borderId="13" xfId="256" applyNumberFormat="1" applyFont="1" applyBorder="1" applyAlignment="1">
      <alignment vertical="center"/>
    </xf>
    <xf numFmtId="41" fontId="195" fillId="0" borderId="13" xfId="256" applyNumberFormat="1" applyFont="1" applyBorder="1" applyAlignment="1">
      <alignment vertical="center"/>
    </xf>
    <xf numFmtId="0" fontId="194" fillId="0" borderId="71" xfId="256" applyFont="1" applyBorder="1" applyAlignment="1">
      <alignment horizontal="center" vertical="center"/>
    </xf>
    <xf numFmtId="0" fontId="196" fillId="0" borderId="0" xfId="256" applyFont="1" applyAlignment="1">
      <alignment vertical="center"/>
    </xf>
    <xf numFmtId="0" fontId="188" fillId="0" borderId="0" xfId="256" applyFont="1" applyAlignment="1">
      <alignment vertical="center"/>
    </xf>
    <xf numFmtId="0" fontId="180" fillId="0" borderId="1" xfId="256" applyBorder="1" applyAlignment="1">
      <alignment horizontal="center" vertical="center"/>
    </xf>
    <xf numFmtId="0" fontId="0" fillId="0" borderId="1" xfId="256" applyFont="1" applyBorder="1" applyAlignment="1">
      <alignment horizontal="center" vertical="center"/>
    </xf>
    <xf numFmtId="0" fontId="77" fillId="0" borderId="76" xfId="256" applyFont="1" applyBorder="1" applyAlignment="1">
      <alignment vertical="center"/>
    </xf>
    <xf numFmtId="0" fontId="77" fillId="4" borderId="4" xfId="256" applyFont="1" applyFill="1" applyBorder="1" applyAlignment="1">
      <alignment horizontal="center" vertical="center"/>
    </xf>
    <xf numFmtId="186" fontId="77" fillId="4" borderId="4" xfId="256" applyNumberFormat="1" applyFont="1" applyFill="1" applyBorder="1" applyAlignment="1">
      <alignment vertical="center"/>
    </xf>
    <xf numFmtId="186" fontId="77" fillId="4" borderId="77" xfId="256" applyNumberFormat="1" applyFont="1" applyFill="1" applyBorder="1" applyAlignment="1">
      <alignment vertical="center"/>
    </xf>
    <xf numFmtId="0" fontId="53" fillId="4" borderId="4" xfId="256" applyFont="1" applyFill="1" applyBorder="1" applyAlignment="1">
      <alignment horizontal="center" vertical="center"/>
    </xf>
    <xf numFmtId="186" fontId="53" fillId="0" borderId="4" xfId="256" applyNumberFormat="1" applyFont="1" applyBorder="1" applyAlignment="1">
      <alignment horizontal="center" vertical="center"/>
    </xf>
    <xf numFmtId="186" fontId="53" fillId="0" borderId="4" xfId="256" applyNumberFormat="1" applyFont="1" applyBorder="1" applyAlignment="1">
      <alignment vertical="center"/>
    </xf>
    <xf numFmtId="186" fontId="53" fillId="4" borderId="4" xfId="256" applyNumberFormat="1" applyFont="1" applyFill="1" applyBorder="1" applyAlignment="1">
      <alignment vertical="center"/>
    </xf>
    <xf numFmtId="186" fontId="53" fillId="4" borderId="77" xfId="256" applyNumberFormat="1" applyFont="1" applyFill="1" applyBorder="1" applyAlignment="1">
      <alignment vertical="center"/>
    </xf>
    <xf numFmtId="186" fontId="164" fillId="8" borderId="98" xfId="256" applyNumberFormat="1" applyFont="1" applyFill="1" applyBorder="1" applyAlignment="1">
      <alignment horizontal="center" vertical="center" wrapText="1"/>
    </xf>
    <xf numFmtId="186" fontId="164" fillId="8" borderId="99" xfId="256" applyNumberFormat="1" applyFont="1" applyFill="1" applyBorder="1" applyAlignment="1">
      <alignment horizontal="center" vertical="center" wrapText="1"/>
    </xf>
    <xf numFmtId="186" fontId="77" fillId="8" borderId="72" xfId="256" applyNumberFormat="1" applyFont="1" applyFill="1" applyBorder="1" applyAlignment="1">
      <alignment horizontal="center" vertical="center" wrapText="1"/>
    </xf>
    <xf numFmtId="0" fontId="53" fillId="39" borderId="1" xfId="256" applyFont="1" applyFill="1" applyBorder="1" applyAlignment="1">
      <alignment horizontal="center" vertical="center"/>
    </xf>
    <xf numFmtId="0" fontId="0" fillId="39" borderId="1" xfId="256" applyFont="1" applyFill="1" applyBorder="1" applyAlignment="1">
      <alignment horizontal="center" vertical="center"/>
    </xf>
    <xf numFmtId="185" fontId="53" fillId="39" borderId="1" xfId="256" applyNumberFormat="1" applyFont="1" applyFill="1" applyBorder="1" applyAlignment="1">
      <alignment horizontal="center" vertical="center"/>
    </xf>
    <xf numFmtId="0" fontId="183" fillId="0" borderId="11" xfId="256" applyFont="1" applyBorder="1" applyAlignment="1">
      <alignment vertical="center"/>
    </xf>
    <xf numFmtId="0" fontId="183" fillId="0" borderId="13" xfId="256" applyFont="1" applyBorder="1" applyAlignment="1">
      <alignment horizontal="center" vertical="center"/>
    </xf>
    <xf numFmtId="186" fontId="198" fillId="0" borderId="13" xfId="256" applyNumberFormat="1" applyFont="1" applyBorder="1" applyAlignment="1">
      <alignment horizontal="right" vertical="center"/>
    </xf>
    <xf numFmtId="0" fontId="183" fillId="33" borderId="0" xfId="256" applyFont="1" applyFill="1" applyAlignment="1">
      <alignment vertical="center"/>
    </xf>
    <xf numFmtId="0" fontId="183" fillId="33" borderId="0" xfId="256" applyFont="1" applyFill="1" applyAlignment="1">
      <alignment horizontal="center" vertical="center"/>
    </xf>
    <xf numFmtId="0" fontId="198" fillId="33" borderId="0" xfId="256" applyFont="1" applyFill="1" applyAlignment="1">
      <alignment vertical="center"/>
    </xf>
    <xf numFmtId="0" fontId="163" fillId="0" borderId="100" xfId="256" applyFont="1" applyBorder="1" applyAlignment="1">
      <alignment vertical="center" wrapText="1"/>
    </xf>
    <xf numFmtId="0" fontId="164" fillId="0" borderId="101" xfId="256" applyFont="1" applyBorder="1" applyAlignment="1">
      <alignment vertical="center"/>
    </xf>
    <xf numFmtId="186" fontId="164" fillId="0" borderId="101" xfId="256" applyNumberFormat="1" applyFont="1" applyBorder="1" applyAlignment="1">
      <alignment vertical="center"/>
    </xf>
    <xf numFmtId="186" fontId="175" fillId="0" borderId="101" xfId="256" applyNumberFormat="1" applyFont="1" applyBorder="1" applyAlignment="1">
      <alignment horizontal="right" vertical="center"/>
    </xf>
    <xf numFmtId="186" fontId="174" fillId="0" borderId="102" xfId="256" applyNumberFormat="1" applyFont="1" applyBorder="1" applyAlignment="1">
      <alignment horizontal="center" vertical="center"/>
    </xf>
    <xf numFmtId="0" fontId="163" fillId="0" borderId="103" xfId="256" applyFont="1" applyBorder="1" applyAlignment="1">
      <alignment vertical="center"/>
    </xf>
    <xf numFmtId="0" fontId="163" fillId="0" borderId="104" xfId="256" applyFont="1" applyBorder="1" applyAlignment="1">
      <alignment horizontal="center" vertical="center"/>
    </xf>
    <xf numFmtId="186" fontId="175" fillId="0" borderId="104" xfId="256" applyNumberFormat="1" applyFont="1" applyBorder="1" applyAlignment="1">
      <alignment horizontal="right" vertical="center"/>
    </xf>
    <xf numFmtId="0" fontId="174" fillId="0" borderId="105" xfId="256" applyFont="1" applyBorder="1" applyAlignment="1">
      <alignment horizontal="center" vertical="center"/>
    </xf>
    <xf numFmtId="0" fontId="164" fillId="0" borderId="103" xfId="256" applyFont="1" applyBorder="1" applyAlignment="1">
      <alignment vertical="center"/>
    </xf>
    <xf numFmtId="0" fontId="164" fillId="0" borderId="104" xfId="256" applyFont="1" applyBorder="1" applyAlignment="1">
      <alignment horizontal="center" vertical="center"/>
    </xf>
    <xf numFmtId="186" fontId="174" fillId="0" borderId="104" xfId="256" applyNumberFormat="1" applyFont="1" applyBorder="1" applyAlignment="1">
      <alignment horizontal="right" vertical="center"/>
    </xf>
    <xf numFmtId="0" fontId="174" fillId="0" borderId="105" xfId="256" applyFont="1" applyBorder="1" applyAlignment="1">
      <alignment horizontal="center" vertical="center" wrapText="1"/>
    </xf>
    <xf numFmtId="0" fontId="175" fillId="0" borderId="105" xfId="256" applyFont="1" applyBorder="1" applyAlignment="1">
      <alignment horizontal="center" vertical="center" wrapText="1"/>
    </xf>
    <xf numFmtId="0" fontId="183" fillId="0" borderId="103" xfId="256" applyFont="1" applyBorder="1" applyAlignment="1">
      <alignment vertical="center"/>
    </xf>
    <xf numFmtId="0" fontId="183" fillId="0" borderId="104" xfId="256" applyFont="1" applyBorder="1" applyAlignment="1">
      <alignment horizontal="center" vertical="center"/>
    </xf>
    <xf numFmtId="186" fontId="198" fillId="0" borderId="104" xfId="256" applyNumberFormat="1" applyFont="1" applyBorder="1" applyAlignment="1">
      <alignment horizontal="right" vertical="center"/>
    </xf>
    <xf numFmtId="0" fontId="198" fillId="0" borderId="105" xfId="256" applyFont="1" applyBorder="1" applyAlignment="1">
      <alignment horizontal="center" vertical="center" wrapText="1"/>
    </xf>
    <xf numFmtId="0" fontId="53" fillId="0" borderId="103" xfId="256" applyFont="1" applyBorder="1" applyAlignment="1">
      <alignment vertical="center"/>
    </xf>
    <xf numFmtId="0" fontId="53" fillId="0" borderId="104" xfId="256" applyFont="1" applyBorder="1" applyAlignment="1">
      <alignment horizontal="center" vertical="center"/>
    </xf>
    <xf numFmtId="186" fontId="53" fillId="0" borderId="104" xfId="256" applyNumberFormat="1" applyFont="1" applyBorder="1" applyAlignment="1">
      <alignment horizontal="right" vertical="center"/>
    </xf>
    <xf numFmtId="186" fontId="174" fillId="0" borderId="105" xfId="256" applyNumberFormat="1" applyFont="1" applyBorder="1" applyAlignment="1">
      <alignment vertical="center"/>
    </xf>
    <xf numFmtId="0" fontId="183" fillId="0" borderId="1" xfId="256" applyFont="1" applyBorder="1" applyAlignment="1">
      <alignment horizontal="center" vertical="center"/>
    </xf>
    <xf numFmtId="0" fontId="188" fillId="0" borderId="1" xfId="256" applyFont="1" applyBorder="1" applyAlignment="1">
      <alignment horizontal="center" vertical="center"/>
    </xf>
    <xf numFmtId="185" fontId="182" fillId="0" borderId="1" xfId="256" applyNumberFormat="1" applyFont="1" applyBorder="1" applyAlignment="1">
      <alignment horizontal="center" vertical="center"/>
    </xf>
    <xf numFmtId="0" fontId="182" fillId="0" borderId="1" xfId="256" applyFont="1" applyBorder="1" applyAlignment="1">
      <alignment horizontal="center" vertical="center"/>
    </xf>
    <xf numFmtId="0" fontId="188" fillId="39" borderId="1" xfId="256" applyFont="1" applyFill="1" applyBorder="1" applyAlignment="1">
      <alignment horizontal="center" vertical="center"/>
    </xf>
    <xf numFmtId="185" fontId="182" fillId="39" borderId="1" xfId="256" applyNumberFormat="1" applyFont="1" applyFill="1" applyBorder="1" applyAlignment="1">
      <alignment horizontal="center" vertical="center"/>
    </xf>
    <xf numFmtId="0" fontId="163" fillId="0" borderId="106" xfId="256" applyFont="1" applyBorder="1" applyAlignment="1">
      <alignment horizontal="left" vertical="center"/>
    </xf>
    <xf numFmtId="0" fontId="164" fillId="0" borderId="79" xfId="256" applyFont="1" applyBorder="1" applyAlignment="1">
      <alignment vertical="center"/>
    </xf>
    <xf numFmtId="0" fontId="164" fillId="0" borderId="79" xfId="256" applyFont="1" applyBorder="1" applyAlignment="1">
      <alignment horizontal="right" vertical="center"/>
    </xf>
    <xf numFmtId="0" fontId="164" fillId="0" borderId="79" xfId="256" applyFont="1" applyBorder="1" applyAlignment="1">
      <alignment horizontal="center" vertical="center"/>
    </xf>
    <xf numFmtId="0" fontId="164" fillId="0" borderId="107" xfId="256" applyFont="1" applyBorder="1" applyAlignment="1">
      <alignment vertical="center"/>
    </xf>
    <xf numFmtId="0" fontId="164" fillId="0" borderId="13" xfId="256" applyFont="1" applyBorder="1" applyAlignment="1">
      <alignment horizontal="right" vertical="center"/>
    </xf>
    <xf numFmtId="344" fontId="164" fillId="0" borderId="71" xfId="256" applyNumberFormat="1" applyFont="1" applyBorder="1" applyAlignment="1">
      <alignment vertical="center"/>
    </xf>
    <xf numFmtId="0" fontId="197" fillId="0" borderId="13" xfId="256" applyFont="1" applyBorder="1" applyAlignment="1">
      <alignment vertical="center"/>
    </xf>
    <xf numFmtId="0" fontId="199" fillId="0" borderId="11" xfId="256" applyFont="1" applyBorder="1" applyAlignment="1">
      <alignment vertical="center"/>
    </xf>
    <xf numFmtId="0" fontId="182" fillId="0" borderId="11" xfId="256" applyFont="1" applyBorder="1" applyAlignment="1">
      <alignment vertical="center"/>
    </xf>
    <xf numFmtId="0" fontId="197" fillId="0" borderId="12" xfId="256" applyFont="1" applyBorder="1" applyAlignment="1">
      <alignment vertical="center"/>
    </xf>
    <xf numFmtId="0" fontId="197" fillId="0" borderId="69" xfId="256" applyFont="1" applyBorder="1" applyAlignment="1">
      <alignment vertical="center"/>
    </xf>
    <xf numFmtId="182" fontId="183" fillId="0" borderId="69" xfId="256" applyNumberFormat="1" applyFont="1" applyBorder="1" applyAlignment="1">
      <alignment horizontal="right" vertical="center"/>
    </xf>
    <xf numFmtId="0" fontId="183" fillId="0" borderId="69" xfId="256" applyFont="1" applyBorder="1" applyAlignment="1">
      <alignment horizontal="center" vertical="center"/>
    </xf>
    <xf numFmtId="0" fontId="182" fillId="0" borderId="73" xfId="256" applyFont="1" applyBorder="1" applyAlignment="1">
      <alignment vertical="center"/>
    </xf>
    <xf numFmtId="177" fontId="183" fillId="0" borderId="12" xfId="256" applyNumberFormat="1" applyFont="1" applyBorder="1" applyAlignment="1">
      <alignment horizontal="right" vertical="center"/>
    </xf>
    <xf numFmtId="0" fontId="183" fillId="0" borderId="12" xfId="256" applyFont="1" applyBorder="1" applyAlignment="1">
      <alignment horizontal="center" vertical="center"/>
    </xf>
    <xf numFmtId="0" fontId="200" fillId="4" borderId="13" xfId="256" applyFont="1" applyFill="1" applyBorder="1" applyAlignment="1">
      <alignment horizontal="center" vertical="center"/>
    </xf>
    <xf numFmtId="0" fontId="201" fillId="4" borderId="13" xfId="256" applyFont="1" applyFill="1" applyBorder="1" applyAlignment="1">
      <alignment horizontal="center" vertical="center"/>
    </xf>
    <xf numFmtId="186" fontId="164" fillId="0" borderId="64" xfId="256" applyNumberFormat="1" applyFont="1" applyBorder="1" applyAlignment="1">
      <alignment horizontal="center" vertical="center"/>
    </xf>
    <xf numFmtId="186" fontId="202" fillId="0" borderId="104" xfId="256" applyNumberFormat="1" applyFont="1" applyBorder="1" applyAlignment="1">
      <alignment horizontal="right" vertical="center"/>
    </xf>
    <xf numFmtId="0" fontId="203" fillId="0" borderId="0" xfId="8469" applyFont="1" applyAlignment="1">
      <alignment vertical="center"/>
    </xf>
    <xf numFmtId="0" fontId="205" fillId="0" borderId="0" xfId="8469" applyFont="1" applyAlignment="1">
      <alignment vertical="center"/>
    </xf>
    <xf numFmtId="0" fontId="219" fillId="0" borderId="0" xfId="8469" applyFont="1" applyAlignment="1">
      <alignment vertical="center"/>
    </xf>
    <xf numFmtId="49" fontId="220" fillId="0" borderId="0" xfId="8469" applyNumberFormat="1" applyFont="1" applyAlignment="1">
      <alignment horizontal="center" vertical="center"/>
    </xf>
    <xf numFmtId="0" fontId="221" fillId="0" borderId="0" xfId="8478" applyFont="1">
      <alignment vertical="center"/>
    </xf>
    <xf numFmtId="0" fontId="222" fillId="0" borderId="0" xfId="8478" applyFont="1">
      <alignment vertical="center"/>
    </xf>
    <xf numFmtId="186" fontId="224" fillId="0" borderId="0" xfId="8478" applyNumberFormat="1" applyFont="1">
      <alignment vertical="center"/>
    </xf>
    <xf numFmtId="242" fontId="222" fillId="0" borderId="0" xfId="8478" applyNumberFormat="1" applyFont="1">
      <alignment vertical="center"/>
    </xf>
    <xf numFmtId="242" fontId="222" fillId="0" borderId="0" xfId="8478" applyNumberFormat="1" applyFont="1" applyAlignment="1">
      <alignment horizontal="right" vertical="center"/>
    </xf>
    <xf numFmtId="0" fontId="221" fillId="39" borderId="1" xfId="8478" applyFont="1" applyFill="1" applyBorder="1" applyAlignment="1">
      <alignment horizontal="center" vertical="center"/>
    </xf>
    <xf numFmtId="242" fontId="221" fillId="39" borderId="1" xfId="8478" applyNumberFormat="1" applyFont="1" applyFill="1" applyBorder="1" applyAlignment="1">
      <alignment horizontal="center" vertical="center"/>
    </xf>
    <xf numFmtId="0" fontId="221" fillId="0" borderId="1" xfId="8478" applyFont="1" applyBorder="1" applyAlignment="1">
      <alignment horizontal="center" vertical="center"/>
    </xf>
    <xf numFmtId="41" fontId="221" fillId="0" borderId="1" xfId="8479" applyFont="1" applyBorder="1" applyAlignment="1">
      <alignment horizontal="center" vertical="center"/>
    </xf>
    <xf numFmtId="41" fontId="221" fillId="0" borderId="1" xfId="8479" applyFont="1" applyFill="1" applyBorder="1" applyAlignment="1">
      <alignment horizontal="center" vertical="center"/>
    </xf>
    <xf numFmtId="0" fontId="221" fillId="0" borderId="1" xfId="8478" applyFont="1" applyBorder="1">
      <alignment vertical="center"/>
    </xf>
    <xf numFmtId="41" fontId="225" fillId="39" borderId="1" xfId="8479" applyFont="1" applyFill="1" applyBorder="1" applyAlignment="1">
      <alignment horizontal="center" vertical="center"/>
    </xf>
    <xf numFmtId="0" fontId="221" fillId="0" borderId="0" xfId="8469" applyFont="1" applyAlignment="1">
      <alignment vertical="center"/>
    </xf>
    <xf numFmtId="0" fontId="226" fillId="0" borderId="0" xfId="8469" applyFont="1" applyAlignment="1">
      <alignment vertical="center"/>
    </xf>
    <xf numFmtId="0" fontId="227" fillId="0" borderId="0" xfId="8469" applyFont="1" applyAlignment="1">
      <alignment vertical="center"/>
    </xf>
    <xf numFmtId="0" fontId="188" fillId="0" borderId="0" xfId="8469"/>
    <xf numFmtId="0" fontId="204" fillId="0" borderId="0" xfId="8469" applyFont="1"/>
    <xf numFmtId="0" fontId="228" fillId="0" borderId="0" xfId="8469" applyFont="1" applyAlignment="1">
      <alignment vertical="center"/>
    </xf>
    <xf numFmtId="0" fontId="229" fillId="37" borderId="126" xfId="8469" applyFont="1" applyFill="1" applyBorder="1" applyAlignment="1">
      <alignment horizontal="center" vertical="center"/>
    </xf>
    <xf numFmtId="0" fontId="229" fillId="37" borderId="127" xfId="8469" applyFont="1" applyFill="1" applyBorder="1" applyAlignment="1">
      <alignment horizontal="center" vertical="center"/>
    </xf>
    <xf numFmtId="0" fontId="204" fillId="0" borderId="0" xfId="8469" applyFont="1" applyAlignment="1">
      <alignment vertical="center"/>
    </xf>
    <xf numFmtId="351" fontId="230" fillId="0" borderId="79" xfId="8469" applyNumberFormat="1" applyFont="1" applyBorder="1" applyAlignment="1">
      <alignment horizontal="center" vertical="center" wrapText="1"/>
    </xf>
    <xf numFmtId="177" fontId="230" fillId="0" borderId="79" xfId="8469" applyNumberFormat="1" applyFont="1" applyBorder="1" applyAlignment="1">
      <alignment vertical="center"/>
    </xf>
    <xf numFmtId="352" fontId="230" fillId="0" borderId="107" xfId="8469" applyNumberFormat="1" applyFont="1" applyBorder="1" applyAlignment="1">
      <alignment horizontal="center" vertical="center" wrapText="1"/>
    </xf>
    <xf numFmtId="177" fontId="230" fillId="0" borderId="13" xfId="8469" applyNumberFormat="1" applyFont="1" applyBorder="1" applyAlignment="1">
      <alignment vertical="center"/>
    </xf>
    <xf numFmtId="352" fontId="230" fillId="0" borderId="71" xfId="8469" applyNumberFormat="1" applyFont="1" applyBorder="1" applyAlignment="1">
      <alignment horizontal="center" vertical="center" wrapText="1"/>
    </xf>
    <xf numFmtId="352" fontId="230" fillId="0" borderId="12" xfId="8469" applyNumberFormat="1" applyFont="1" applyBorder="1" applyAlignment="1">
      <alignment vertical="center"/>
    </xf>
    <xf numFmtId="177" fontId="229" fillId="0" borderId="12" xfId="8469" applyNumberFormat="1" applyFont="1" applyBorder="1" applyAlignment="1">
      <alignment vertical="center"/>
    </xf>
    <xf numFmtId="0" fontId="230" fillId="0" borderId="72" xfId="8469" applyFont="1" applyBorder="1" applyAlignment="1">
      <alignment vertical="center"/>
    </xf>
    <xf numFmtId="0" fontId="230" fillId="0" borderId="0" xfId="8469" applyFont="1" applyAlignment="1">
      <alignment horizontal="left" vertical="center"/>
    </xf>
    <xf numFmtId="0" fontId="228" fillId="0" borderId="0" xfId="8469" applyFont="1" applyAlignment="1">
      <alignment horizontal="center" vertical="center"/>
    </xf>
    <xf numFmtId="352" fontId="228" fillId="0" borderId="0" xfId="8469" applyNumberFormat="1" applyFont="1" applyAlignment="1">
      <alignment horizontal="center" vertical="center"/>
    </xf>
    <xf numFmtId="177" fontId="228" fillId="0" borderId="0" xfId="8469" applyNumberFormat="1" applyFont="1" applyAlignment="1">
      <alignment horizontal="center" vertical="center"/>
    </xf>
    <xf numFmtId="177" fontId="228" fillId="0" borderId="0" xfId="8469" applyNumberFormat="1" applyFont="1" applyAlignment="1">
      <alignment vertical="center"/>
    </xf>
    <xf numFmtId="0" fontId="231" fillId="0" borderId="0" xfId="8480" applyFont="1"/>
    <xf numFmtId="0" fontId="240" fillId="0" borderId="0" xfId="8469" applyFont="1" applyAlignment="1">
      <alignment horizontal="center"/>
    </xf>
    <xf numFmtId="184" fontId="213" fillId="0" borderId="1" xfId="8469" applyNumberFormat="1" applyFont="1" applyBorder="1" applyAlignment="1">
      <alignment horizontal="center" vertical="center"/>
    </xf>
    <xf numFmtId="353" fontId="213" fillId="43" borderId="1" xfId="8469" applyNumberFormat="1" applyFont="1" applyFill="1" applyBorder="1" applyAlignment="1">
      <alignment horizontal="center" vertical="center"/>
    </xf>
    <xf numFmtId="0" fontId="211" fillId="0" borderId="1" xfId="8469" applyFont="1" applyBorder="1" applyAlignment="1">
      <alignment horizontal="center" vertical="center"/>
    </xf>
    <xf numFmtId="0" fontId="213" fillId="0" borderId="1" xfId="8469" applyFont="1" applyBorder="1" applyAlignment="1">
      <alignment horizontal="center" vertical="center"/>
    </xf>
    <xf numFmtId="0" fontId="225" fillId="0" borderId="0" xfId="8469" applyFont="1" applyAlignment="1">
      <alignment vertical="center"/>
    </xf>
    <xf numFmtId="354" fontId="183" fillId="0" borderId="13" xfId="256" applyNumberFormat="1" applyFont="1" applyBorder="1" applyAlignment="1">
      <alignment horizontal="right" vertical="center"/>
    </xf>
    <xf numFmtId="0" fontId="214" fillId="0" borderId="0" xfId="8488" applyFont="1">
      <alignment vertical="center"/>
    </xf>
    <xf numFmtId="0" fontId="244" fillId="0" borderId="0" xfId="8488" applyFont="1">
      <alignment vertical="center"/>
    </xf>
    <xf numFmtId="0" fontId="245" fillId="0" borderId="0" xfId="8488" applyFont="1">
      <alignment vertical="center"/>
    </xf>
    <xf numFmtId="0" fontId="188" fillId="0" borderId="0" xfId="8488">
      <alignment vertical="center"/>
    </xf>
    <xf numFmtId="0" fontId="213" fillId="0" borderId="0" xfId="8488" applyFont="1" applyAlignment="1">
      <alignment horizontal="right" vertical="center"/>
    </xf>
    <xf numFmtId="41" fontId="218" fillId="0" borderId="2" xfId="8488" applyNumberFormat="1" applyFont="1" applyBorder="1" applyAlignment="1">
      <alignment horizontal="center" vertical="center"/>
    </xf>
    <xf numFmtId="0" fontId="218" fillId="0" borderId="0" xfId="8488" applyFont="1">
      <alignment vertical="center"/>
    </xf>
    <xf numFmtId="41" fontId="218" fillId="0" borderId="0" xfId="8488" applyNumberFormat="1" applyFont="1">
      <alignment vertical="center"/>
    </xf>
    <xf numFmtId="41" fontId="214" fillId="0" borderId="0" xfId="8488" applyNumberFormat="1" applyFont="1">
      <alignment vertical="center"/>
    </xf>
    <xf numFmtId="347" fontId="214" fillId="0" borderId="0" xfId="8488" applyNumberFormat="1" applyFont="1">
      <alignment vertical="center"/>
    </xf>
    <xf numFmtId="0" fontId="214" fillId="0" borderId="0" xfId="8488" applyFont="1" applyAlignment="1">
      <alignment horizontal="left" vertical="center" shrinkToFit="1"/>
    </xf>
    <xf numFmtId="0" fontId="246" fillId="0" borderId="0" xfId="8488" applyFont="1">
      <alignment vertical="center"/>
    </xf>
    <xf numFmtId="41" fontId="206" fillId="0" borderId="0" xfId="8488" applyNumberFormat="1" applyFont="1">
      <alignment vertical="center"/>
    </xf>
    <xf numFmtId="356" fontId="206" fillId="0" borderId="0" xfId="8488" applyNumberFormat="1" applyFont="1">
      <alignment vertical="center"/>
    </xf>
    <xf numFmtId="0" fontId="214" fillId="36" borderId="0" xfId="8488" applyFont="1" applyFill="1" applyAlignment="1">
      <alignment horizontal="left" vertical="center"/>
    </xf>
    <xf numFmtId="0" fontId="214" fillId="0" borderId="0" xfId="8488" applyFont="1" applyAlignment="1">
      <alignment horizontal="right" vertical="center"/>
    </xf>
    <xf numFmtId="179" fontId="214" fillId="0" borderId="0" xfId="8488" applyNumberFormat="1" applyFont="1">
      <alignment vertical="center"/>
    </xf>
    <xf numFmtId="349" fontId="214" fillId="0" borderId="0" xfId="8488" applyNumberFormat="1" applyFont="1">
      <alignment vertical="center"/>
    </xf>
    <xf numFmtId="0" fontId="247" fillId="0" borderId="0" xfId="8488" applyFont="1">
      <alignment vertical="center"/>
    </xf>
    <xf numFmtId="0" fontId="0" fillId="0" borderId="0" xfId="8488" applyFont="1">
      <alignment vertical="center"/>
    </xf>
    <xf numFmtId="0" fontId="53" fillId="0" borderId="1" xfId="256" applyFont="1" applyBorder="1" applyAlignment="1">
      <alignment horizontal="center" vertical="center"/>
    </xf>
    <xf numFmtId="241" fontId="53" fillId="37" borderId="13" xfId="256" applyNumberFormat="1" applyFont="1" applyFill="1" applyBorder="1" applyAlignment="1">
      <alignment vertical="center"/>
    </xf>
    <xf numFmtId="0" fontId="169" fillId="0" borderId="0" xfId="256" quotePrefix="1" applyFont="1" applyAlignment="1">
      <alignment vertical="center"/>
    </xf>
    <xf numFmtId="0" fontId="170" fillId="0" borderId="0" xfId="256" applyFont="1" applyAlignment="1">
      <alignment vertical="center"/>
    </xf>
    <xf numFmtId="0" fontId="53" fillId="0" borderId="0" xfId="256" applyFont="1" applyAlignment="1">
      <alignment horizontal="left" vertical="center"/>
    </xf>
    <xf numFmtId="185" fontId="77" fillId="32" borderId="0" xfId="256" applyNumberFormat="1" applyFont="1" applyFill="1" applyAlignment="1">
      <alignment horizontal="left" vertical="center"/>
    </xf>
    <xf numFmtId="184" fontId="77" fillId="0" borderId="0" xfId="256" applyNumberFormat="1" applyFont="1" applyAlignment="1">
      <alignment horizontal="left" vertical="center"/>
    </xf>
    <xf numFmtId="340" fontId="77" fillId="34" borderId="0" xfId="256" applyNumberFormat="1" applyFont="1" applyFill="1" applyAlignment="1">
      <alignment horizontal="center" vertical="center"/>
    </xf>
    <xf numFmtId="185" fontId="77" fillId="0" borderId="0" xfId="256" applyNumberFormat="1" applyFont="1" applyAlignment="1">
      <alignment horizontal="left" vertical="center"/>
    </xf>
    <xf numFmtId="185" fontId="53" fillId="38" borderId="0" xfId="256" applyNumberFormat="1" applyFont="1" applyFill="1" applyAlignment="1">
      <alignment vertical="center"/>
    </xf>
    <xf numFmtId="185" fontId="77" fillId="38" borderId="0" xfId="256" applyNumberFormat="1" applyFont="1" applyFill="1" applyAlignment="1">
      <alignment horizontal="left" vertical="center"/>
    </xf>
    <xf numFmtId="355" fontId="214" fillId="0" borderId="2" xfId="8469" applyNumberFormat="1" applyFont="1" applyBorder="1" applyAlignment="1">
      <alignment horizontal="center" vertical="center"/>
    </xf>
    <xf numFmtId="187" fontId="214" fillId="0" borderId="0" xfId="8488" applyNumberFormat="1" applyFont="1">
      <alignment vertical="center"/>
    </xf>
    <xf numFmtId="349" fontId="218" fillId="0" borderId="0" xfId="8488" applyNumberFormat="1" applyFont="1">
      <alignment vertical="center"/>
    </xf>
    <xf numFmtId="0" fontId="248" fillId="0" borderId="0" xfId="8488" applyFont="1">
      <alignment vertical="center"/>
    </xf>
    <xf numFmtId="0" fontId="218" fillId="0" borderId="0" xfId="8469" applyFont="1" applyAlignment="1">
      <alignment vertical="center"/>
    </xf>
    <xf numFmtId="0" fontId="240" fillId="0" borderId="0" xfId="8488" applyFont="1">
      <alignment vertical="center"/>
    </xf>
    <xf numFmtId="41" fontId="218" fillId="0" borderId="0" xfId="8469" applyNumberFormat="1" applyFont="1" applyAlignment="1">
      <alignment horizontal="right" vertical="center"/>
    </xf>
    <xf numFmtId="0" fontId="218" fillId="0" borderId="0" xfId="8469" applyFont="1" applyAlignment="1">
      <alignment horizontal="left" vertical="center"/>
    </xf>
    <xf numFmtId="0" fontId="221" fillId="0" borderId="0" xfId="8488" applyFont="1">
      <alignment vertical="center"/>
    </xf>
    <xf numFmtId="41" fontId="225" fillId="0" borderId="0" xfId="8488" applyNumberFormat="1" applyFont="1">
      <alignment vertical="center"/>
    </xf>
    <xf numFmtId="0" fontId="225" fillId="0" borderId="0" xfId="8488" applyFont="1">
      <alignment vertical="center"/>
    </xf>
    <xf numFmtId="41" fontId="230" fillId="0" borderId="0" xfId="8478" applyNumberFormat="1" applyFont="1">
      <alignment vertical="center"/>
    </xf>
    <xf numFmtId="0" fontId="228" fillId="40" borderId="0" xfId="8489" applyFont="1" applyFill="1">
      <alignment vertical="center"/>
    </xf>
    <xf numFmtId="0" fontId="249" fillId="40" borderId="0" xfId="8489" applyFont="1" applyFill="1">
      <alignment vertical="center"/>
    </xf>
    <xf numFmtId="0" fontId="228" fillId="40" borderId="0" xfId="8489" applyFont="1" applyFill="1" applyAlignment="1">
      <alignment horizontal="right" vertical="center"/>
    </xf>
    <xf numFmtId="0" fontId="228" fillId="40" borderId="0" xfId="8489" applyFont="1" applyFill="1" applyAlignment="1">
      <alignment horizontal="center" vertical="center"/>
    </xf>
    <xf numFmtId="0" fontId="250" fillId="40" borderId="0" xfId="8489" applyFont="1" applyFill="1">
      <alignment vertical="center"/>
    </xf>
    <xf numFmtId="0" fontId="251" fillId="40" borderId="0" xfId="8489" applyFont="1" applyFill="1">
      <alignment vertical="center"/>
    </xf>
    <xf numFmtId="0" fontId="253" fillId="40" borderId="0" xfId="8489" applyFont="1" applyFill="1">
      <alignment vertical="center"/>
    </xf>
    <xf numFmtId="0" fontId="255" fillId="40" borderId="0" xfId="8489" applyFont="1" applyFill="1" applyAlignment="1">
      <alignment horizontal="center" vertical="center"/>
    </xf>
    <xf numFmtId="0" fontId="234" fillId="40" borderId="0" xfId="8489" applyFont="1" applyFill="1" applyAlignment="1">
      <alignment horizontal="center" vertical="center"/>
    </xf>
    <xf numFmtId="0" fontId="257" fillId="40" borderId="0" xfId="8489" applyFont="1" applyFill="1" applyAlignment="1">
      <alignment horizontal="center" vertical="center"/>
    </xf>
    <xf numFmtId="0" fontId="231" fillId="0" borderId="0" xfId="8489" applyFont="1">
      <alignment vertical="center"/>
    </xf>
    <xf numFmtId="0" fontId="5" fillId="0" borderId="0" xfId="8489">
      <alignment vertical="center"/>
    </xf>
    <xf numFmtId="0" fontId="253" fillId="40" borderId="37" xfId="8489" applyFont="1" applyFill="1" applyBorder="1" applyAlignment="1">
      <alignment horizontal="center" vertical="center"/>
    </xf>
    <xf numFmtId="0" fontId="253" fillId="40" borderId="0" xfId="8489" applyFont="1" applyFill="1" applyAlignment="1">
      <alignment horizontal="center" vertical="center"/>
    </xf>
    <xf numFmtId="0" fontId="253" fillId="40" borderId="41" xfId="8489" applyFont="1" applyFill="1" applyBorder="1">
      <alignment vertical="center"/>
    </xf>
    <xf numFmtId="0" fontId="238" fillId="40" borderId="37" xfId="8489" applyFont="1" applyFill="1" applyBorder="1">
      <alignment vertical="center"/>
    </xf>
    <xf numFmtId="0" fontId="253" fillId="40" borderId="0" xfId="8489" applyFont="1" applyFill="1" applyAlignment="1">
      <alignment horizontal="left" vertical="center"/>
    </xf>
    <xf numFmtId="0" fontId="252" fillId="40" borderId="0" xfId="8489" applyFont="1" applyFill="1">
      <alignment vertical="center"/>
    </xf>
    <xf numFmtId="0" fontId="238" fillId="40" borderId="0" xfId="8489" applyFont="1" applyFill="1">
      <alignment vertical="center"/>
    </xf>
    <xf numFmtId="0" fontId="238" fillId="40" borderId="41" xfId="8489" applyFont="1" applyFill="1" applyBorder="1">
      <alignment vertical="center"/>
    </xf>
    <xf numFmtId="41" fontId="238" fillId="40" borderId="0" xfId="8470" applyFont="1" applyFill="1" applyAlignment="1">
      <alignment vertical="center"/>
    </xf>
    <xf numFmtId="0" fontId="253" fillId="40" borderId="0" xfId="8489" applyFont="1" applyFill="1" applyAlignment="1">
      <alignment horizontal="right" vertical="center"/>
    </xf>
    <xf numFmtId="0" fontId="260" fillId="40" borderId="0" xfId="8489" applyFont="1" applyFill="1">
      <alignment vertical="center"/>
    </xf>
    <xf numFmtId="0" fontId="262" fillId="40" borderId="0" xfId="8489" applyFont="1" applyFill="1">
      <alignment vertical="center"/>
    </xf>
    <xf numFmtId="0" fontId="253" fillId="40" borderId="128" xfId="8489" applyFont="1" applyFill="1" applyBorder="1" applyAlignment="1">
      <alignment horizontal="center" vertical="center"/>
    </xf>
    <xf numFmtId="0" fontId="253" fillId="40" borderId="35" xfId="8489" applyFont="1" applyFill="1" applyBorder="1">
      <alignment vertical="center"/>
    </xf>
    <xf numFmtId="0" fontId="263" fillId="40" borderId="35" xfId="8489" applyFont="1" applyFill="1" applyBorder="1">
      <alignment vertical="center"/>
    </xf>
    <xf numFmtId="0" fontId="260" fillId="40" borderId="35" xfId="8489" applyFont="1" applyFill="1" applyBorder="1" applyAlignment="1">
      <alignment horizontal="distributed" vertical="center" indent="1"/>
    </xf>
    <xf numFmtId="187" fontId="260" fillId="40" borderId="35" xfId="8489" applyNumberFormat="1" applyFont="1" applyFill="1" applyBorder="1" applyAlignment="1">
      <alignment horizontal="right" vertical="center"/>
    </xf>
    <xf numFmtId="187" fontId="260" fillId="40" borderId="35" xfId="8489" applyNumberFormat="1" applyFont="1" applyFill="1" applyBorder="1">
      <alignment vertical="center"/>
    </xf>
    <xf numFmtId="0" fontId="260" fillId="40" borderId="35" xfId="8489" applyFont="1" applyFill="1" applyBorder="1" applyAlignment="1">
      <alignment horizontal="left" vertical="center"/>
    </xf>
    <xf numFmtId="0" fontId="253" fillId="40" borderId="2" xfId="8489" applyFont="1" applyFill="1" applyBorder="1">
      <alignment vertical="center"/>
    </xf>
    <xf numFmtId="0" fontId="206" fillId="0" borderId="0" xfId="8488" applyFont="1">
      <alignment vertical="center"/>
    </xf>
    <xf numFmtId="190" fontId="206" fillId="0" borderId="0" xfId="8488" applyNumberFormat="1" applyFont="1">
      <alignment vertical="center"/>
    </xf>
    <xf numFmtId="41" fontId="216" fillId="36" borderId="0" xfId="8488" applyNumberFormat="1" applyFont="1" applyFill="1">
      <alignment vertical="center"/>
    </xf>
    <xf numFmtId="0" fontId="214" fillId="36" borderId="0" xfId="8488" applyFont="1" applyFill="1">
      <alignment vertical="center"/>
    </xf>
    <xf numFmtId="0" fontId="264" fillId="0" borderId="0" xfId="8488" applyFont="1">
      <alignment vertical="center"/>
    </xf>
    <xf numFmtId="0" fontId="244" fillId="36" borderId="0" xfId="8488" applyFont="1" applyFill="1">
      <alignment vertical="center"/>
    </xf>
    <xf numFmtId="0" fontId="245" fillId="36" borderId="0" xfId="8488" applyFont="1" applyFill="1">
      <alignment vertical="center"/>
    </xf>
    <xf numFmtId="0" fontId="213" fillId="36" borderId="0" xfId="8488" applyFont="1" applyFill="1" applyAlignment="1">
      <alignment horizontal="right" vertical="center"/>
    </xf>
    <xf numFmtId="41" fontId="218" fillId="36" borderId="2" xfId="8488" applyNumberFormat="1" applyFont="1" applyFill="1" applyBorder="1" applyAlignment="1">
      <alignment horizontal="center" vertical="center"/>
    </xf>
    <xf numFmtId="41" fontId="214" fillId="36" borderId="29" xfId="8488" applyNumberFormat="1" applyFont="1" applyFill="1" applyBorder="1" applyAlignment="1">
      <alignment horizontal="center" vertical="center"/>
    </xf>
    <xf numFmtId="355" fontId="214" fillId="36" borderId="2" xfId="8488" applyNumberFormat="1" applyFont="1" applyFill="1" applyBorder="1" applyAlignment="1">
      <alignment horizontal="center" vertical="center"/>
    </xf>
    <xf numFmtId="177" fontId="214" fillId="36" borderId="2" xfId="8488" applyNumberFormat="1" applyFont="1" applyFill="1" applyBorder="1" applyAlignment="1">
      <alignment horizontal="center" vertical="center"/>
    </xf>
    <xf numFmtId="0" fontId="218" fillId="36" borderId="0" xfId="8488" applyFont="1" applyFill="1">
      <alignment vertical="center"/>
    </xf>
    <xf numFmtId="41" fontId="218" fillId="36" borderId="0" xfId="8488" applyNumberFormat="1" applyFont="1" applyFill="1">
      <alignment vertical="center"/>
    </xf>
    <xf numFmtId="41" fontId="214" fillId="36" borderId="0" xfId="8488" applyNumberFormat="1" applyFont="1" applyFill="1">
      <alignment vertical="center"/>
    </xf>
    <xf numFmtId="347" fontId="214" fillId="36" borderId="0" xfId="8488" applyNumberFormat="1" applyFont="1" applyFill="1">
      <alignment vertical="center"/>
    </xf>
    <xf numFmtId="0" fontId="214" fillId="36" borderId="0" xfId="8488" applyFont="1" applyFill="1" applyAlignment="1">
      <alignment horizontal="left" vertical="center" shrinkToFit="1"/>
    </xf>
    <xf numFmtId="0" fontId="246" fillId="36" borderId="0" xfId="8488" applyFont="1" applyFill="1">
      <alignment vertical="center"/>
    </xf>
    <xf numFmtId="0" fontId="218" fillId="36" borderId="0" xfId="8488" applyFont="1" applyFill="1" applyAlignment="1">
      <alignment horizontal="center" vertical="center"/>
    </xf>
    <xf numFmtId="0" fontId="214" fillId="36" borderId="0" xfId="8488" applyFont="1" applyFill="1" applyAlignment="1">
      <alignment horizontal="right" vertical="center"/>
    </xf>
    <xf numFmtId="179" fontId="214" fillId="36" borderId="0" xfId="8488" applyNumberFormat="1" applyFont="1" applyFill="1">
      <alignment vertical="center"/>
    </xf>
    <xf numFmtId="349" fontId="214" fillId="36" borderId="0" xfId="8488" applyNumberFormat="1" applyFont="1" applyFill="1">
      <alignment vertical="center"/>
    </xf>
    <xf numFmtId="0" fontId="0" fillId="0" borderId="0" xfId="0" applyAlignment="1">
      <alignment horizontal="left" vertical="center"/>
    </xf>
    <xf numFmtId="0" fontId="265" fillId="0" borderId="0" xfId="8488" applyFont="1">
      <alignment vertical="center"/>
    </xf>
    <xf numFmtId="0" fontId="211" fillId="41" borderId="1" xfId="8469" applyFont="1" applyFill="1" applyBorder="1" applyAlignment="1">
      <alignment horizontal="center" vertical="center"/>
    </xf>
    <xf numFmtId="353" fontId="213" fillId="43" borderId="89" xfId="8469" applyNumberFormat="1" applyFont="1" applyFill="1" applyBorder="1" applyAlignment="1">
      <alignment horizontal="center" vertical="center"/>
    </xf>
    <xf numFmtId="190" fontId="203" fillId="0" borderId="69" xfId="8470" applyNumberFormat="1" applyFont="1" applyFill="1" applyBorder="1" applyAlignment="1">
      <alignment horizontal="centerContinuous" vertical="center"/>
    </xf>
    <xf numFmtId="190" fontId="203" fillId="0" borderId="85" xfId="8470" applyNumberFormat="1" applyFont="1" applyFill="1" applyBorder="1" applyAlignment="1">
      <alignment horizontal="centerContinuous" vertical="center"/>
    </xf>
    <xf numFmtId="0" fontId="4" fillId="0" borderId="0" xfId="8490">
      <alignment vertical="center"/>
    </xf>
    <xf numFmtId="190" fontId="203" fillId="0" borderId="82" xfId="8470" applyNumberFormat="1" applyFont="1" applyFill="1" applyBorder="1" applyAlignment="1">
      <alignment horizontal="center" vertical="center"/>
    </xf>
    <xf numFmtId="190" fontId="203" fillId="0" borderId="12" xfId="8470" applyNumberFormat="1" applyFont="1" applyFill="1" applyBorder="1" applyAlignment="1">
      <alignment horizontal="center" vertical="center"/>
    </xf>
    <xf numFmtId="190" fontId="203" fillId="0" borderId="117" xfId="8470" applyNumberFormat="1" applyFont="1" applyFill="1" applyBorder="1" applyAlignment="1">
      <alignment horizontal="center" vertical="center"/>
    </xf>
    <xf numFmtId="41" fontId="4" fillId="0" borderId="0" xfId="8490" applyNumberFormat="1">
      <alignment vertical="center"/>
    </xf>
    <xf numFmtId="0" fontId="268" fillId="0" borderId="153" xfId="8490" applyFont="1" applyBorder="1">
      <alignment vertical="center"/>
    </xf>
    <xf numFmtId="0" fontId="4" fillId="0" borderId="131" xfId="8490" applyBorder="1">
      <alignment vertical="center"/>
    </xf>
    <xf numFmtId="0" fontId="4" fillId="0" borderId="154" xfId="8490" applyBorder="1">
      <alignment vertical="center"/>
    </xf>
    <xf numFmtId="0" fontId="4" fillId="0" borderId="155" xfId="8490" applyBorder="1">
      <alignment vertical="center"/>
    </xf>
    <xf numFmtId="0" fontId="4" fillId="0" borderId="156" xfId="8490" applyBorder="1">
      <alignment vertical="center"/>
    </xf>
    <xf numFmtId="0" fontId="4" fillId="0" borderId="30" xfId="8490" applyBorder="1">
      <alignment vertical="center"/>
    </xf>
    <xf numFmtId="0" fontId="268" fillId="0" borderId="11" xfId="8490" applyFont="1" applyBorder="1" applyAlignment="1">
      <alignment horizontal="left" vertical="center" indent="1"/>
    </xf>
    <xf numFmtId="0" fontId="4" fillId="0" borderId="13" xfId="8490" applyBorder="1">
      <alignment vertical="center"/>
    </xf>
    <xf numFmtId="0" fontId="4" fillId="0" borderId="71" xfId="8490" applyBorder="1">
      <alignment vertical="center"/>
    </xf>
    <xf numFmtId="0" fontId="4" fillId="0" borderId="80" xfId="8490" applyBorder="1">
      <alignment vertical="center"/>
    </xf>
    <xf numFmtId="0" fontId="4" fillId="0" borderId="83" xfId="8490" applyBorder="1">
      <alignment vertical="center"/>
    </xf>
    <xf numFmtId="0" fontId="269" fillId="0" borderId="16" xfId="8490" applyFont="1" applyBorder="1" applyAlignment="1">
      <alignment horizontal="center" vertical="center"/>
    </xf>
    <xf numFmtId="0" fontId="232" fillId="0" borderId="11" xfId="8490" applyFont="1" applyBorder="1" applyAlignment="1">
      <alignment horizontal="left" vertical="center" indent="2"/>
    </xf>
    <xf numFmtId="0" fontId="232" fillId="0" borderId="13" xfId="8490" applyFont="1" applyBorder="1" applyAlignment="1">
      <alignment horizontal="center" vertical="center" wrapText="1"/>
    </xf>
    <xf numFmtId="2" fontId="232" fillId="0" borderId="71" xfId="8490" applyNumberFormat="1" applyFont="1" applyBorder="1" applyAlignment="1">
      <alignment horizontal="center" vertical="center"/>
    </xf>
    <xf numFmtId="41" fontId="232" fillId="0" borderId="80" xfId="8491" applyFont="1" applyBorder="1" applyAlignment="1">
      <alignment vertical="center"/>
    </xf>
    <xf numFmtId="41" fontId="232" fillId="0" borderId="13" xfId="8491" applyFont="1" applyBorder="1" applyAlignment="1">
      <alignment vertical="center"/>
    </xf>
    <xf numFmtId="0" fontId="4" fillId="0" borderId="16" xfId="8490" applyBorder="1">
      <alignment vertical="center"/>
    </xf>
    <xf numFmtId="0" fontId="232" fillId="0" borderId="11" xfId="8490" applyFont="1" applyBorder="1" applyAlignment="1">
      <alignment horizontal="center" vertical="center"/>
    </xf>
    <xf numFmtId="358" fontId="232" fillId="0" borderId="111" xfId="8490" applyNumberFormat="1" applyFont="1" applyBorder="1" applyAlignment="1">
      <alignment horizontal="center" vertical="center"/>
    </xf>
    <xf numFmtId="0" fontId="4" fillId="0" borderId="112" xfId="8490" applyBorder="1">
      <alignment vertical="center"/>
    </xf>
    <xf numFmtId="0" fontId="4" fillId="0" borderId="110" xfId="8490" applyBorder="1">
      <alignment vertical="center"/>
    </xf>
    <xf numFmtId="41" fontId="232" fillId="0" borderId="116" xfId="8491" applyFont="1" applyBorder="1" applyAlignment="1">
      <alignment vertical="center"/>
    </xf>
    <xf numFmtId="41" fontId="232" fillId="0" borderId="112" xfId="8491" applyFont="1" applyBorder="1" applyAlignment="1">
      <alignment vertical="center"/>
    </xf>
    <xf numFmtId="41" fontId="232" fillId="0" borderId="83" xfId="8491" applyFont="1" applyBorder="1" applyAlignment="1">
      <alignment vertical="center"/>
    </xf>
    <xf numFmtId="0" fontId="4" fillId="0" borderId="115" xfId="8490" applyBorder="1">
      <alignment vertical="center"/>
    </xf>
    <xf numFmtId="358" fontId="232" fillId="0" borderId="73" xfId="8490" applyNumberFormat="1" applyFont="1" applyBorder="1" applyAlignment="1">
      <alignment horizontal="center" vertical="center"/>
    </xf>
    <xf numFmtId="0" fontId="4" fillId="0" borderId="12" xfId="8490" applyBorder="1">
      <alignment vertical="center"/>
    </xf>
    <xf numFmtId="0" fontId="4" fillId="0" borderId="72" xfId="8490" applyBorder="1">
      <alignment vertical="center"/>
    </xf>
    <xf numFmtId="41" fontId="232" fillId="0" borderId="82" xfId="8491" applyFont="1" applyBorder="1" applyAlignment="1">
      <alignment vertical="center"/>
    </xf>
    <xf numFmtId="41" fontId="232" fillId="0" borderId="12" xfId="8491" applyFont="1" applyBorder="1" applyAlignment="1">
      <alignment vertical="center"/>
    </xf>
    <xf numFmtId="41" fontId="232" fillId="0" borderId="117" xfId="8491" applyFont="1" applyBorder="1" applyAlignment="1">
      <alignment vertical="center"/>
    </xf>
    <xf numFmtId="0" fontId="4" fillId="0" borderId="113" xfId="8490" applyBorder="1">
      <alignment vertical="center"/>
    </xf>
    <xf numFmtId="0" fontId="268" fillId="0" borderId="68" xfId="8490" applyFont="1" applyBorder="1" applyAlignment="1">
      <alignment horizontal="left" vertical="center" indent="1"/>
    </xf>
    <xf numFmtId="0" fontId="4" fillId="0" borderId="69" xfId="8490" applyBorder="1">
      <alignment vertical="center"/>
    </xf>
    <xf numFmtId="0" fontId="232" fillId="0" borderId="69" xfId="8490" applyFont="1" applyBorder="1" applyAlignment="1">
      <alignment horizontal="center" vertical="center" wrapText="1"/>
    </xf>
    <xf numFmtId="2" fontId="232" fillId="0" borderId="70" xfId="8490" applyNumberFormat="1" applyFont="1" applyBorder="1" applyAlignment="1">
      <alignment horizontal="center" vertical="center"/>
    </xf>
    <xf numFmtId="41" fontId="232" fillId="0" borderId="74" xfId="8491" applyFont="1" applyBorder="1" applyAlignment="1">
      <alignment vertical="center"/>
    </xf>
    <xf numFmtId="41" fontId="232" fillId="0" borderId="69" xfId="8491" applyFont="1" applyBorder="1" applyAlignment="1">
      <alignment vertical="center"/>
    </xf>
    <xf numFmtId="41" fontId="232" fillId="0" borderId="85" xfId="8491" applyFont="1" applyBorder="1" applyAlignment="1">
      <alignment vertical="center"/>
    </xf>
    <xf numFmtId="0" fontId="269" fillId="0" borderId="33" xfId="8490" applyFont="1" applyBorder="1" applyAlignment="1">
      <alignment horizontal="center" vertical="center"/>
    </xf>
    <xf numFmtId="0" fontId="268" fillId="0" borderId="0" xfId="8490" applyFont="1" applyAlignment="1">
      <alignment horizontal="left" vertical="center" indent="1"/>
    </xf>
    <xf numFmtId="0" fontId="232" fillId="0" borderId="0" xfId="8490" applyFont="1" applyAlignment="1">
      <alignment horizontal="left" vertical="center" indent="2"/>
    </xf>
    <xf numFmtId="0" fontId="232" fillId="0" borderId="0" xfId="8490" applyFont="1" applyAlignment="1">
      <alignment horizontal="center" vertical="center" wrapText="1"/>
    </xf>
    <xf numFmtId="0" fontId="232" fillId="0" borderId="0" xfId="8490" applyFont="1" applyAlignment="1">
      <alignment horizontal="center" vertical="center"/>
    </xf>
    <xf numFmtId="358" fontId="232" fillId="0" borderId="0" xfId="8490" applyNumberFormat="1" applyFont="1" applyAlignment="1">
      <alignment horizontal="center" vertical="center"/>
    </xf>
    <xf numFmtId="0" fontId="4" fillId="0" borderId="37" xfId="8490" applyBorder="1">
      <alignment vertical="center"/>
    </xf>
    <xf numFmtId="0" fontId="203" fillId="0" borderId="1" xfId="8469" applyFont="1" applyBorder="1" applyAlignment="1">
      <alignment horizontal="center" vertical="center"/>
    </xf>
    <xf numFmtId="0" fontId="239" fillId="0" borderId="68" xfId="8490" applyFont="1" applyBorder="1">
      <alignment vertical="center"/>
    </xf>
    <xf numFmtId="0" fontId="203" fillId="0" borderId="69" xfId="8469" applyFont="1" applyBorder="1" applyAlignment="1">
      <alignment horizontal="center" vertical="center"/>
    </xf>
    <xf numFmtId="41" fontId="203" fillId="0" borderId="69" xfId="8470" applyFont="1" applyFill="1" applyBorder="1" applyAlignment="1">
      <alignment horizontal="center" vertical="center"/>
    </xf>
    <xf numFmtId="190" fontId="203" fillId="0" borderId="69" xfId="8470" applyNumberFormat="1" applyFont="1" applyFill="1" applyBorder="1" applyAlignment="1">
      <alignment horizontal="center" vertical="center"/>
    </xf>
    <xf numFmtId="0" fontId="203" fillId="0" borderId="70" xfId="8469" applyFont="1" applyBorder="1" applyAlignment="1">
      <alignment horizontal="center" vertical="center"/>
    </xf>
    <xf numFmtId="0" fontId="270" fillId="0" borderId="11" xfId="8471" applyFont="1" applyBorder="1" applyAlignment="1">
      <alignment horizontal="left" vertical="center"/>
    </xf>
    <xf numFmtId="0" fontId="270" fillId="0" borderId="13" xfId="8471" applyFont="1" applyBorder="1" applyAlignment="1">
      <alignment horizontal="left" vertical="center"/>
    </xf>
    <xf numFmtId="0" fontId="270" fillId="0" borderId="13" xfId="8471" applyFont="1" applyBorder="1" applyAlignment="1">
      <alignment vertical="center"/>
    </xf>
    <xf numFmtId="0" fontId="270" fillId="0" borderId="13" xfId="8471" applyFont="1" applyBorder="1" applyAlignment="1">
      <alignment horizontal="center" vertical="center"/>
    </xf>
    <xf numFmtId="41" fontId="203" fillId="0" borderId="13" xfId="8470" applyFont="1" applyBorder="1" applyAlignment="1">
      <alignment vertical="center" wrapText="1"/>
    </xf>
    <xf numFmtId="0" fontId="203" fillId="0" borderId="71" xfId="8469" applyFont="1" applyBorder="1" applyAlignment="1">
      <alignment vertical="center"/>
    </xf>
    <xf numFmtId="0" fontId="203" fillId="0" borderId="11" xfId="8471" applyFont="1" applyBorder="1" applyAlignment="1">
      <alignment horizontal="center" vertical="center"/>
    </xf>
    <xf numFmtId="0" fontId="203" fillId="0" borderId="13" xfId="8471" applyFont="1" applyBorder="1" applyAlignment="1">
      <alignment horizontal="center" vertical="center"/>
    </xf>
    <xf numFmtId="180" fontId="203" fillId="0" borderId="13" xfId="8471" applyNumberFormat="1" applyFont="1" applyBorder="1" applyAlignment="1">
      <alignment vertical="center"/>
    </xf>
    <xf numFmtId="41" fontId="203" fillId="0" borderId="13" xfId="8470" applyFont="1" applyFill="1" applyBorder="1" applyAlignment="1">
      <alignment vertical="center"/>
    </xf>
    <xf numFmtId="0" fontId="203" fillId="0" borderId="13" xfId="8469" applyFont="1" applyBorder="1" applyAlignment="1">
      <alignment horizontal="center" vertical="center" wrapText="1"/>
    </xf>
    <xf numFmtId="0" fontId="203" fillId="0" borderId="13" xfId="8469" applyFont="1" applyBorder="1" applyAlignment="1">
      <alignment horizontal="center" vertical="center"/>
    </xf>
    <xf numFmtId="49" fontId="203" fillId="0" borderId="13" xfId="8471" applyNumberFormat="1" applyFont="1" applyBorder="1" applyAlignment="1">
      <alignment horizontal="center" vertical="center"/>
    </xf>
    <xf numFmtId="2" fontId="203" fillId="0" borderId="71" xfId="8470" applyNumberFormat="1" applyFont="1" applyBorder="1" applyAlignment="1">
      <alignment horizontal="left" vertical="center"/>
    </xf>
    <xf numFmtId="189" fontId="203" fillId="0" borderId="13" xfId="8471" applyNumberFormat="1" applyFont="1" applyBorder="1" applyAlignment="1">
      <alignment vertical="center"/>
    </xf>
    <xf numFmtId="0" fontId="203" fillId="0" borderId="11" xfId="8471" applyFont="1" applyBorder="1" applyAlignment="1">
      <alignment horizontal="center" vertical="center" shrinkToFit="1"/>
    </xf>
    <xf numFmtId="3" fontId="203" fillId="0" borderId="13" xfId="8471" applyNumberFormat="1" applyFont="1" applyBorder="1" applyAlignment="1">
      <alignment vertical="center"/>
    </xf>
    <xf numFmtId="41" fontId="203" fillId="0" borderId="13" xfId="8470" applyFont="1" applyBorder="1" applyAlignment="1">
      <alignment horizontal="right" vertical="center" wrapText="1"/>
    </xf>
    <xf numFmtId="358" fontId="232" fillId="0" borderId="11" xfId="8490" applyNumberFormat="1" applyFont="1" applyBorder="1" applyAlignment="1">
      <alignment horizontal="center" vertical="center"/>
    </xf>
    <xf numFmtId="41" fontId="203" fillId="0" borderId="71" xfId="8470" applyFont="1" applyBorder="1" applyAlignment="1">
      <alignment horizontal="left" vertical="center"/>
    </xf>
    <xf numFmtId="41" fontId="203" fillId="0" borderId="110" xfId="8470" applyFont="1" applyBorder="1" applyAlignment="1">
      <alignment horizontal="left" vertical="center"/>
    </xf>
    <xf numFmtId="0" fontId="203" fillId="0" borderId="112" xfId="8471" applyFont="1" applyBorder="1" applyAlignment="1">
      <alignment horizontal="center" vertical="center"/>
    </xf>
    <xf numFmtId="3" fontId="203" fillId="0" borderId="112" xfId="8471" applyNumberFormat="1" applyFont="1" applyBorder="1" applyAlignment="1">
      <alignment vertical="center"/>
    </xf>
    <xf numFmtId="41" fontId="203" fillId="0" borderId="112" xfId="8470" applyFont="1" applyFill="1" applyBorder="1" applyAlignment="1">
      <alignment vertical="center"/>
    </xf>
    <xf numFmtId="2" fontId="203" fillId="0" borderId="110" xfId="8470" applyNumberFormat="1" applyFont="1" applyBorder="1" applyAlignment="1">
      <alignment horizontal="left" vertical="center"/>
    </xf>
    <xf numFmtId="2" fontId="203" fillId="0" borderId="72" xfId="8470" applyNumberFormat="1" applyFont="1" applyBorder="1" applyAlignment="1">
      <alignment horizontal="left" vertical="center"/>
    </xf>
    <xf numFmtId="0" fontId="270" fillId="0" borderId="68" xfId="8471" applyFont="1" applyBorder="1" applyAlignment="1">
      <alignment horizontal="left" vertical="center"/>
    </xf>
    <xf numFmtId="0" fontId="270" fillId="0" borderId="69" xfId="8471" applyFont="1" applyBorder="1" applyAlignment="1">
      <alignment horizontal="left" vertical="center"/>
    </xf>
    <xf numFmtId="0" fontId="270" fillId="0" borderId="69" xfId="8471" applyFont="1" applyBorder="1" applyAlignment="1">
      <alignment vertical="center"/>
    </xf>
    <xf numFmtId="0" fontId="270" fillId="0" borderId="69" xfId="8471" applyFont="1" applyBorder="1" applyAlignment="1">
      <alignment horizontal="center" vertical="center"/>
    </xf>
    <xf numFmtId="41" fontId="203" fillId="0" borderId="69" xfId="8470" applyFont="1" applyFill="1" applyBorder="1" applyAlignment="1">
      <alignment vertical="center"/>
    </xf>
    <xf numFmtId="41" fontId="203" fillId="0" borderId="70" xfId="8470" applyFont="1" applyBorder="1" applyAlignment="1">
      <alignment horizontal="left" vertical="center"/>
    </xf>
    <xf numFmtId="0" fontId="271" fillId="0" borderId="71" xfId="8469" applyFont="1" applyBorder="1" applyAlignment="1">
      <alignment horizontal="center" vertical="center" shrinkToFit="1"/>
    </xf>
    <xf numFmtId="0" fontId="203" fillId="0" borderId="71" xfId="8469" applyFont="1" applyBorder="1" applyAlignment="1">
      <alignment horizontal="center" vertical="center"/>
    </xf>
    <xf numFmtId="2" fontId="203" fillId="0" borderId="110" xfId="8470" applyNumberFormat="1" applyFont="1" applyBorder="1" applyAlignment="1">
      <alignment horizontal="center" vertical="center"/>
    </xf>
    <xf numFmtId="0" fontId="271" fillId="0" borderId="70" xfId="8469" applyFont="1" applyBorder="1" applyAlignment="1">
      <alignment horizontal="center" vertical="center" shrinkToFit="1"/>
    </xf>
    <xf numFmtId="2" fontId="203" fillId="0" borderId="71" xfId="8470" applyNumberFormat="1" applyFont="1" applyBorder="1" applyAlignment="1">
      <alignment horizontal="center" vertical="center"/>
    </xf>
    <xf numFmtId="199" fontId="203" fillId="0" borderId="13" xfId="8471" applyNumberFormat="1" applyFont="1" applyBorder="1" applyAlignment="1">
      <alignment vertical="center"/>
    </xf>
    <xf numFmtId="0" fontId="203" fillId="0" borderId="110" xfId="8469" applyFont="1" applyBorder="1" applyAlignment="1">
      <alignment vertical="center"/>
    </xf>
    <xf numFmtId="0" fontId="203" fillId="0" borderId="69" xfId="8471" applyFont="1" applyBorder="1" applyAlignment="1">
      <alignment horizontal="center" vertical="center"/>
    </xf>
    <xf numFmtId="3" fontId="203" fillId="0" borderId="69" xfId="8471" applyNumberFormat="1" applyFont="1" applyBorder="1" applyAlignment="1">
      <alignment vertical="center"/>
    </xf>
    <xf numFmtId="0" fontId="203" fillId="0" borderId="70" xfId="8469" applyFont="1" applyBorder="1" applyAlignment="1">
      <alignment vertical="center"/>
    </xf>
    <xf numFmtId="41" fontId="270" fillId="0" borderId="11" xfId="8470" applyFont="1" applyFill="1" applyBorder="1" applyAlignment="1">
      <alignment horizontal="left" vertical="center"/>
    </xf>
    <xf numFmtId="41" fontId="203" fillId="0" borderId="13" xfId="8470" applyFont="1" applyFill="1" applyBorder="1" applyAlignment="1">
      <alignment horizontal="left" vertical="center"/>
    </xf>
    <xf numFmtId="41" fontId="203" fillId="0" borderId="13" xfId="8470" applyFont="1" applyFill="1" applyBorder="1" applyAlignment="1">
      <alignment horizontal="right" vertical="center"/>
    </xf>
    <xf numFmtId="41" fontId="203" fillId="0" borderId="13" xfId="8470" applyFont="1" applyFill="1" applyBorder="1" applyAlignment="1">
      <alignment horizontal="center" vertical="center"/>
    </xf>
    <xf numFmtId="182" fontId="203" fillId="0" borderId="13" xfId="8470" applyNumberFormat="1" applyFont="1" applyFill="1" applyBorder="1" applyAlignment="1">
      <alignment horizontal="right" vertical="center"/>
    </xf>
    <xf numFmtId="3" fontId="203" fillId="0" borderId="13" xfId="8469" applyNumberFormat="1" applyFont="1" applyBorder="1" applyAlignment="1">
      <alignment horizontal="left" vertical="center"/>
    </xf>
    <xf numFmtId="3" fontId="203" fillId="0" borderId="13" xfId="8469" applyNumberFormat="1" applyFont="1" applyBorder="1" applyAlignment="1">
      <alignment horizontal="center" vertical="center"/>
    </xf>
    <xf numFmtId="179" fontId="203" fillId="0" borderId="13" xfId="8470" applyNumberFormat="1" applyFont="1" applyFill="1" applyBorder="1" applyAlignment="1">
      <alignment horizontal="right" vertical="center"/>
    </xf>
    <xf numFmtId="0" fontId="272" fillId="0" borderId="0" xfId="8469" applyFont="1" applyAlignment="1">
      <alignment vertical="center"/>
    </xf>
    <xf numFmtId="41" fontId="272" fillId="0" borderId="0" xfId="8470" applyFont="1" applyFill="1" applyAlignment="1">
      <alignment horizontal="center" vertical="center"/>
    </xf>
    <xf numFmtId="190" fontId="272" fillId="0" borderId="0" xfId="8470" applyNumberFormat="1" applyFont="1" applyFill="1" applyAlignment="1">
      <alignment vertical="center"/>
    </xf>
    <xf numFmtId="41" fontId="203" fillId="0" borderId="0" xfId="8470" applyFont="1" applyFill="1" applyAlignment="1">
      <alignment horizontal="center" vertical="center"/>
    </xf>
    <xf numFmtId="190" fontId="203" fillId="0" borderId="0" xfId="8470" applyNumberFormat="1" applyFont="1" applyFill="1" applyAlignment="1">
      <alignment vertical="center"/>
    </xf>
    <xf numFmtId="0" fontId="232" fillId="0" borderId="12" xfId="8490" applyFont="1" applyBorder="1" applyAlignment="1">
      <alignment horizontal="center" vertical="center" wrapText="1"/>
    </xf>
    <xf numFmtId="2" fontId="232" fillId="0" borderId="72" xfId="8490" applyNumberFormat="1" applyFont="1" applyBorder="1" applyAlignment="1">
      <alignment horizontal="center" vertical="center"/>
    </xf>
    <xf numFmtId="0" fontId="230" fillId="0" borderId="0" xfId="8492" applyFont="1">
      <alignment vertical="center"/>
    </xf>
    <xf numFmtId="0" fontId="230" fillId="0" borderId="0" xfId="8492" applyFont="1" applyAlignment="1">
      <alignment horizontal="center" vertical="center"/>
    </xf>
    <xf numFmtId="0" fontId="230" fillId="0" borderId="0" xfId="8492" applyFont="1" applyAlignment="1">
      <alignment horizontal="centerContinuous" vertical="center"/>
    </xf>
    <xf numFmtId="41" fontId="230" fillId="0" borderId="0" xfId="8492" applyNumberFormat="1" applyFont="1">
      <alignment vertical="center"/>
    </xf>
    <xf numFmtId="0" fontId="274" fillId="0" borderId="0" xfId="8492" applyFont="1" applyAlignment="1">
      <alignment horizontal="center" vertical="center"/>
    </xf>
    <xf numFmtId="0" fontId="204" fillId="0" borderId="1" xfId="8492" applyFont="1" applyBorder="1" applyAlignment="1">
      <alignment horizontal="center" vertical="center"/>
    </xf>
    <xf numFmtId="0" fontId="275" fillId="0" borderId="0" xfId="8492" applyFont="1">
      <alignment vertical="center"/>
    </xf>
    <xf numFmtId="0" fontId="231" fillId="0" borderId="0" xfId="8492" applyFont="1">
      <alignment vertical="center"/>
    </xf>
    <xf numFmtId="0" fontId="231" fillId="0" borderId="0" xfId="8492" applyFont="1" applyAlignment="1">
      <alignment horizontal="center" vertical="center"/>
    </xf>
    <xf numFmtId="0" fontId="231" fillId="0" borderId="0" xfId="8492" applyFont="1" applyAlignment="1">
      <alignment horizontal="centerContinuous" vertical="center"/>
    </xf>
    <xf numFmtId="41" fontId="231" fillId="0" borderId="0" xfId="8492" applyNumberFormat="1" applyFont="1">
      <alignment vertical="center"/>
    </xf>
    <xf numFmtId="0" fontId="229" fillId="0" borderId="0" xfId="8492" applyFont="1">
      <alignment vertical="center"/>
    </xf>
    <xf numFmtId="43" fontId="230" fillId="0" borderId="0" xfId="8492" applyNumberFormat="1" applyFont="1">
      <alignment vertical="center"/>
    </xf>
    <xf numFmtId="0" fontId="204" fillId="0" borderId="1" xfId="8492" applyFont="1" applyBorder="1" applyAlignment="1">
      <alignment horizontal="left" vertical="center"/>
    </xf>
    <xf numFmtId="0" fontId="230" fillId="0" borderId="1" xfId="8492" applyFont="1" applyBorder="1" applyAlignment="1">
      <alignment horizontal="center" vertical="center"/>
    </xf>
    <xf numFmtId="41" fontId="276" fillId="0" borderId="1" xfId="8492" applyNumberFormat="1" applyFont="1" applyBorder="1" applyAlignment="1">
      <alignment horizontal="center" vertical="center"/>
    </xf>
    <xf numFmtId="0" fontId="204" fillId="0" borderId="0" xfId="8492" quotePrefix="1" applyFont="1">
      <alignment vertical="center"/>
    </xf>
    <xf numFmtId="187" fontId="230" fillId="37" borderId="0" xfId="8492" applyNumberFormat="1" applyFont="1" applyFill="1" applyAlignment="1">
      <alignment vertical="center" shrinkToFit="1"/>
    </xf>
    <xf numFmtId="347" fontId="230" fillId="0" borderId="0" xfId="8492" applyNumberFormat="1" applyFont="1">
      <alignment vertical="center"/>
    </xf>
    <xf numFmtId="0" fontId="230" fillId="0" borderId="0" xfId="8492" applyFont="1" applyAlignment="1">
      <alignment horizontal="left" vertical="center"/>
    </xf>
    <xf numFmtId="0" fontId="230" fillId="0" borderId="1" xfId="8492" applyFont="1" applyBorder="1" applyAlignment="1">
      <alignment horizontal="left" vertical="center"/>
    </xf>
    <xf numFmtId="0" fontId="204" fillId="0" borderId="0" xfId="8492" applyFont="1" applyAlignment="1">
      <alignment horizontal="center" vertical="center"/>
    </xf>
    <xf numFmtId="41" fontId="230" fillId="37" borderId="0" xfId="8492" applyNumberFormat="1" applyFont="1" applyFill="1">
      <alignment vertical="center"/>
    </xf>
    <xf numFmtId="0" fontId="229" fillId="0" borderId="1" xfId="8492" applyFont="1" applyBorder="1" applyAlignment="1">
      <alignment horizontal="center" vertical="center"/>
    </xf>
    <xf numFmtId="41" fontId="277" fillId="0" borderId="1" xfId="8492" applyNumberFormat="1" applyFont="1" applyBorder="1" applyAlignment="1">
      <alignment horizontal="center" vertical="center"/>
    </xf>
    <xf numFmtId="0" fontId="204" fillId="0" borderId="0" xfId="8492" applyFont="1" applyAlignment="1">
      <alignment horizontal="left" vertical="center"/>
    </xf>
    <xf numFmtId="0" fontId="278" fillId="0" borderId="1" xfId="8492" applyFont="1" applyBorder="1" applyAlignment="1">
      <alignment horizontal="center" vertical="center"/>
    </xf>
    <xf numFmtId="0" fontId="229" fillId="0" borderId="0" xfId="8492" applyFont="1" applyAlignment="1">
      <alignment horizontal="center" vertical="center"/>
    </xf>
    <xf numFmtId="177" fontId="229" fillId="0" borderId="0" xfId="8492" applyNumberFormat="1" applyFont="1" applyAlignment="1">
      <alignment vertical="center" shrinkToFit="1"/>
    </xf>
    <xf numFmtId="41" fontId="229" fillId="0" borderId="1" xfId="8491" applyFont="1" applyBorder="1" applyAlignment="1">
      <alignment horizontal="center" vertical="center"/>
    </xf>
    <xf numFmtId="41" fontId="229" fillId="0" borderId="1" xfId="8492" applyNumberFormat="1" applyFont="1" applyBorder="1" applyAlignment="1">
      <alignment horizontal="center" vertical="center"/>
    </xf>
    <xf numFmtId="41" fontId="237" fillId="0" borderId="1" xfId="8492" applyNumberFormat="1" applyFont="1" applyBorder="1" applyAlignment="1">
      <alignment horizontal="center" vertical="center"/>
    </xf>
    <xf numFmtId="354" fontId="204" fillId="0" borderId="0" xfId="8492" applyNumberFormat="1" applyFont="1" applyAlignment="1">
      <alignment horizontal="right" vertical="center"/>
    </xf>
    <xf numFmtId="354" fontId="230" fillId="0" borderId="0" xfId="8492" applyNumberFormat="1" applyFont="1" applyAlignment="1">
      <alignment horizontal="right" vertical="center"/>
    </xf>
    <xf numFmtId="0" fontId="229" fillId="0" borderId="0" xfId="8492" applyFont="1" applyAlignment="1">
      <alignment horizontal="left" vertical="center"/>
    </xf>
    <xf numFmtId="0" fontId="237" fillId="0" borderId="0" xfId="8492" applyFont="1" applyAlignment="1">
      <alignment horizontal="center" vertical="center"/>
    </xf>
    <xf numFmtId="0" fontId="230" fillId="0" borderId="0" xfId="8492" applyFont="1" applyAlignment="1">
      <alignment horizontal="left" vertical="center" indent="1"/>
    </xf>
    <xf numFmtId="41" fontId="204" fillId="0" borderId="0" xfId="8492" applyNumberFormat="1" applyFont="1" applyAlignment="1">
      <alignment horizontal="center" vertical="center"/>
    </xf>
    <xf numFmtId="0" fontId="229" fillId="0" borderId="0" xfId="8492" applyFont="1" applyAlignment="1">
      <alignment horizontal="left" vertical="center" indent="1"/>
    </xf>
    <xf numFmtId="177" fontId="276" fillId="0" borderId="0" xfId="8492" applyNumberFormat="1" applyFont="1" applyAlignment="1">
      <alignment horizontal="center" vertical="center"/>
    </xf>
    <xf numFmtId="0" fontId="230" fillId="0" borderId="0" xfId="8492" applyFont="1" applyAlignment="1">
      <alignment horizontal="right" vertical="center"/>
    </xf>
    <xf numFmtId="41" fontId="276" fillId="0" borderId="0" xfId="8492" applyNumberFormat="1" applyFont="1" applyAlignment="1">
      <alignment horizontal="center" vertical="center"/>
    </xf>
    <xf numFmtId="41" fontId="230" fillId="0" borderId="0" xfId="8492" applyNumberFormat="1" applyFont="1" applyAlignment="1">
      <alignment horizontal="center" vertical="center"/>
    </xf>
    <xf numFmtId="41" fontId="204" fillId="0" borderId="0" xfId="8481" applyFont="1" applyBorder="1">
      <alignment vertical="center"/>
    </xf>
    <xf numFmtId="0" fontId="204" fillId="0" borderId="0" xfId="8492" applyFont="1">
      <alignment vertical="center"/>
    </xf>
    <xf numFmtId="41" fontId="230" fillId="0" borderId="0" xfId="8492" applyNumberFormat="1" applyFont="1" applyAlignment="1">
      <alignment horizontal="left" vertical="center"/>
    </xf>
    <xf numFmtId="41" fontId="204" fillId="0" borderId="0" xfId="8492" applyNumberFormat="1" applyFont="1">
      <alignment vertical="center"/>
    </xf>
    <xf numFmtId="0" fontId="215" fillId="0" borderId="0" xfId="8492" applyFont="1" applyAlignment="1">
      <alignment horizontal="center" vertical="center"/>
    </xf>
    <xf numFmtId="0" fontId="279" fillId="0" borderId="0" xfId="8469" applyFont="1" applyAlignment="1">
      <alignment vertical="center"/>
    </xf>
    <xf numFmtId="0" fontId="270" fillId="0" borderId="0" xfId="8469" applyFont="1" applyAlignment="1">
      <alignment vertical="center"/>
    </xf>
    <xf numFmtId="0" fontId="270" fillId="0" borderId="0" xfId="8469" applyFont="1" applyAlignment="1">
      <alignment horizontal="left" vertical="center"/>
    </xf>
    <xf numFmtId="0" fontId="203" fillId="0" borderId="0" xfId="8469" applyFont="1" applyAlignment="1">
      <alignment horizontal="center" vertical="center"/>
    </xf>
    <xf numFmtId="183" fontId="203" fillId="0" borderId="0" xfId="8470" applyNumberFormat="1" applyFont="1" applyBorder="1" applyAlignment="1">
      <alignment horizontal="right" vertical="center"/>
    </xf>
    <xf numFmtId="0" fontId="203" fillId="0" borderId="0" xfId="8469" applyFont="1" applyAlignment="1">
      <alignment horizontal="left" vertical="center"/>
    </xf>
    <xf numFmtId="41" fontId="203" fillId="0" borderId="0" xfId="8470" applyFont="1" applyBorder="1" applyAlignment="1">
      <alignment horizontal="right" vertical="center"/>
    </xf>
    <xf numFmtId="0" fontId="203" fillId="0" borderId="0" xfId="8469" applyFont="1" applyAlignment="1">
      <alignment horizontal="centerContinuous" vertical="center"/>
    </xf>
    <xf numFmtId="183" fontId="203" fillId="0" borderId="0" xfId="8470" applyNumberFormat="1" applyFont="1" applyBorder="1" applyAlignment="1">
      <alignment horizontal="centerContinuous" vertical="center"/>
    </xf>
    <xf numFmtId="179" fontId="272" fillId="0" borderId="0" xfId="8469" applyNumberFormat="1" applyFont="1" applyAlignment="1">
      <alignment horizontal="center" vertical="center" wrapText="1"/>
    </xf>
    <xf numFmtId="312" fontId="272" fillId="0" borderId="0" xfId="8470" applyNumberFormat="1" applyFont="1" applyFill="1" applyBorder="1" applyAlignment="1">
      <alignment horizontal="center" vertical="center"/>
    </xf>
    <xf numFmtId="178" fontId="272" fillId="0" borderId="0" xfId="8469" applyNumberFormat="1" applyFont="1" applyAlignment="1">
      <alignment horizontal="center" vertical="center" wrapText="1"/>
    </xf>
    <xf numFmtId="178" fontId="203" fillId="0" borderId="0" xfId="8469" applyNumberFormat="1" applyFont="1" applyAlignment="1">
      <alignment horizontal="left" vertical="center"/>
    </xf>
    <xf numFmtId="1" fontId="272" fillId="0" borderId="0" xfId="8469" applyNumberFormat="1" applyFont="1" applyAlignment="1">
      <alignment horizontal="center" vertical="center" wrapText="1"/>
    </xf>
    <xf numFmtId="178" fontId="203" fillId="0" borderId="0" xfId="8469" applyNumberFormat="1" applyFont="1" applyAlignment="1">
      <alignment horizontal="left" vertical="center" wrapText="1"/>
    </xf>
    <xf numFmtId="41" fontId="203" fillId="0" borderId="0" xfId="8469" applyNumberFormat="1" applyFont="1" applyAlignment="1">
      <alignment horizontal="left" vertical="center" wrapText="1"/>
    </xf>
    <xf numFmtId="178" fontId="203" fillId="0" borderId="0" xfId="8469" applyNumberFormat="1" applyFont="1" applyAlignment="1">
      <alignment horizontal="center" vertical="center" wrapText="1"/>
    </xf>
    <xf numFmtId="41" fontId="203" fillId="0" borderId="0" xfId="8470" applyFont="1" applyBorder="1" applyAlignment="1">
      <alignment horizontal="left" vertical="center" wrapText="1"/>
    </xf>
    <xf numFmtId="0" fontId="203" fillId="0" borderId="0" xfId="8469" quotePrefix="1" applyFont="1" applyAlignment="1">
      <alignment horizontal="left" vertical="center"/>
    </xf>
    <xf numFmtId="312" fontId="203" fillId="0" borderId="0" xfId="8469" applyNumberFormat="1" applyFont="1" applyAlignment="1">
      <alignment horizontal="center" vertical="center"/>
    </xf>
    <xf numFmtId="0" fontId="203" fillId="0" borderId="0" xfId="8469" applyFont="1" applyAlignment="1">
      <alignment horizontal="center" vertical="center" wrapText="1"/>
    </xf>
    <xf numFmtId="41" fontId="203" fillId="0" borderId="0" xfId="8470" applyFont="1" applyBorder="1" applyAlignment="1">
      <alignment vertical="center" wrapText="1"/>
    </xf>
    <xf numFmtId="41" fontId="203" fillId="0" borderId="0" xfId="8469" applyNumberFormat="1" applyFont="1" applyAlignment="1">
      <alignment horizontal="right" vertical="center" wrapText="1"/>
    </xf>
    <xf numFmtId="41" fontId="203" fillId="0" borderId="0" xfId="8470" applyFont="1" applyBorder="1" applyAlignment="1">
      <alignment horizontal="right" vertical="center" wrapText="1"/>
    </xf>
    <xf numFmtId="0" fontId="203" fillId="0" borderId="33" xfId="8469" applyFont="1" applyBorder="1" applyAlignment="1">
      <alignment horizontal="center" vertical="center"/>
    </xf>
    <xf numFmtId="41" fontId="203" fillId="0" borderId="0" xfId="8470" applyFont="1" applyBorder="1" applyAlignment="1">
      <alignment horizontal="center" vertical="center"/>
    </xf>
    <xf numFmtId="0" fontId="203" fillId="0" borderId="80" xfId="8469" applyFont="1" applyBorder="1" applyAlignment="1">
      <alignment horizontal="center" vertical="center"/>
    </xf>
    <xf numFmtId="183" fontId="203" fillId="0" borderId="13" xfId="8470" applyNumberFormat="1" applyFont="1" applyBorder="1" applyAlignment="1">
      <alignment horizontal="center" vertical="center"/>
    </xf>
    <xf numFmtId="0" fontId="203" fillId="0" borderId="11" xfId="8469" applyFont="1" applyBorder="1" applyAlignment="1">
      <alignment horizontal="center" vertical="center"/>
    </xf>
    <xf numFmtId="0" fontId="203" fillId="0" borderId="16" xfId="8469" applyFont="1" applyBorder="1" applyAlignment="1">
      <alignment horizontal="center" vertical="center"/>
    </xf>
    <xf numFmtId="41" fontId="203" fillId="0" borderId="0" xfId="8470" applyFont="1" applyBorder="1" applyAlignment="1">
      <alignment horizontal="center" vertical="center" wrapText="1"/>
    </xf>
    <xf numFmtId="0" fontId="203" fillId="0" borderId="82" xfId="8469" applyFont="1" applyBorder="1" applyAlignment="1">
      <alignment horizontal="center" vertical="center"/>
    </xf>
    <xf numFmtId="41" fontId="203" fillId="0" borderId="12" xfId="8470" applyFont="1" applyBorder="1" applyAlignment="1">
      <alignment horizontal="center" vertical="center"/>
    </xf>
    <xf numFmtId="41" fontId="203" fillId="0" borderId="72" xfId="8470" applyFont="1" applyBorder="1" applyAlignment="1">
      <alignment horizontal="center" vertical="center"/>
    </xf>
    <xf numFmtId="0" fontId="203" fillId="0" borderId="73" xfId="8469" applyFont="1" applyBorder="1" applyAlignment="1">
      <alignment horizontal="center" vertical="center"/>
    </xf>
    <xf numFmtId="41" fontId="203" fillId="0" borderId="113" xfId="8470" applyFont="1" applyBorder="1" applyAlignment="1">
      <alignment horizontal="center" vertical="center"/>
    </xf>
    <xf numFmtId="0" fontId="203" fillId="0" borderId="114" xfId="8469" applyFont="1" applyBorder="1" applyAlignment="1">
      <alignment horizontal="center" vertical="center"/>
    </xf>
    <xf numFmtId="41" fontId="203" fillId="0" borderId="6" xfId="8470" applyFont="1" applyFill="1" applyBorder="1" applyAlignment="1">
      <alignment horizontal="center" vertical="center" wrapText="1"/>
    </xf>
    <xf numFmtId="41" fontId="272" fillId="0" borderId="4" xfId="8470" applyFont="1" applyFill="1" applyBorder="1" applyAlignment="1">
      <alignment vertical="center" wrapText="1"/>
    </xf>
    <xf numFmtId="41" fontId="203" fillId="0" borderId="77" xfId="8470" applyFont="1" applyFill="1" applyBorder="1" applyAlignment="1">
      <alignment horizontal="center" vertical="center" wrapText="1"/>
    </xf>
    <xf numFmtId="41" fontId="203" fillId="0" borderId="76" xfId="8470" applyFont="1" applyBorder="1" applyAlignment="1">
      <alignment horizontal="center" vertical="center" wrapText="1"/>
    </xf>
    <xf numFmtId="41" fontId="272" fillId="0" borderId="4" xfId="8470" applyFont="1" applyBorder="1" applyAlignment="1">
      <alignment vertical="center" wrapText="1"/>
    </xf>
    <xf numFmtId="41" fontId="203" fillId="0" borderId="77" xfId="8470" applyFont="1" applyBorder="1" applyAlignment="1">
      <alignment horizontal="center" vertical="center" wrapText="1"/>
    </xf>
    <xf numFmtId="41" fontId="203" fillId="0" borderId="114" xfId="8470" applyFont="1" applyBorder="1" applyAlignment="1">
      <alignment horizontal="center" vertical="center" wrapText="1"/>
    </xf>
    <xf numFmtId="0" fontId="203" fillId="0" borderId="30" xfId="8469" applyFont="1" applyBorder="1" applyAlignment="1">
      <alignment vertical="center"/>
    </xf>
    <xf numFmtId="41" fontId="272" fillId="0" borderId="13" xfId="8470" applyFont="1" applyFill="1" applyBorder="1" applyAlignment="1">
      <alignment vertical="center" wrapText="1"/>
    </xf>
    <xf numFmtId="41" fontId="203" fillId="0" borderId="71" xfId="8470" applyFont="1" applyFill="1" applyBorder="1" applyAlignment="1">
      <alignment horizontal="center" vertical="center" wrapText="1"/>
    </xf>
    <xf numFmtId="41" fontId="203" fillId="0" borderId="11" xfId="8470" applyFont="1" applyBorder="1" applyAlignment="1">
      <alignment horizontal="center" vertical="center" wrapText="1"/>
    </xf>
    <xf numFmtId="41" fontId="272" fillId="0" borderId="13" xfId="8470" applyFont="1" applyBorder="1" applyAlignment="1">
      <alignment vertical="center" wrapText="1"/>
    </xf>
    <xf numFmtId="41" fontId="203" fillId="0" borderId="71" xfId="8470" applyFont="1" applyBorder="1" applyAlignment="1">
      <alignment horizontal="center" vertical="center" wrapText="1"/>
    </xf>
    <xf numFmtId="0" fontId="203" fillId="0" borderId="16" xfId="8469" applyFont="1" applyBorder="1" applyAlignment="1">
      <alignment vertical="center"/>
    </xf>
    <xf numFmtId="0" fontId="203" fillId="0" borderId="115" xfId="8469" applyFont="1" applyBorder="1" applyAlignment="1">
      <alignment horizontal="center" vertical="center"/>
    </xf>
    <xf numFmtId="41" fontId="272" fillId="0" borderId="112" xfId="8470" applyFont="1" applyFill="1" applyBorder="1" applyAlignment="1">
      <alignment vertical="center" wrapText="1"/>
    </xf>
    <xf numFmtId="41" fontId="203" fillId="0" borderId="110" xfId="8470" applyFont="1" applyFill="1" applyBorder="1" applyAlignment="1">
      <alignment horizontal="center" vertical="center" wrapText="1"/>
    </xf>
    <xf numFmtId="41" fontId="272" fillId="0" borderId="112" xfId="8470" applyFont="1" applyBorder="1" applyAlignment="1">
      <alignment vertical="center" wrapText="1"/>
    </xf>
    <xf numFmtId="0" fontId="203" fillId="0" borderId="113" xfId="8469" applyFont="1" applyBorder="1" applyAlignment="1">
      <alignment horizontal="center" vertical="center"/>
    </xf>
    <xf numFmtId="41" fontId="203" fillId="0" borderId="82" xfId="8470" applyFont="1" applyFill="1" applyBorder="1" applyAlignment="1">
      <alignment horizontal="center" vertical="center" wrapText="1"/>
    </xf>
    <xf numFmtId="41" fontId="203" fillId="0" borderId="12" xfId="8470" applyFont="1" applyFill="1" applyBorder="1" applyAlignment="1">
      <alignment vertical="center" wrapText="1"/>
    </xf>
    <xf numFmtId="41" fontId="203" fillId="0" borderId="72" xfId="8470" applyFont="1" applyFill="1" applyBorder="1" applyAlignment="1">
      <alignment horizontal="center" vertical="center" wrapText="1"/>
    </xf>
    <xf numFmtId="41" fontId="203" fillId="0" borderId="98" xfId="8470" applyFont="1" applyBorder="1" applyAlignment="1">
      <alignment horizontal="center" vertical="center" wrapText="1"/>
    </xf>
    <xf numFmtId="41" fontId="203" fillId="0" borderId="12" xfId="8470" applyFont="1" applyBorder="1" applyAlignment="1">
      <alignment vertical="center" wrapText="1"/>
    </xf>
    <xf numFmtId="41" fontId="203" fillId="0" borderId="72" xfId="8470" applyFont="1" applyBorder="1" applyAlignment="1">
      <alignment horizontal="center" vertical="center" wrapText="1"/>
    </xf>
    <xf numFmtId="41" fontId="203" fillId="0" borderId="29" xfId="8470" applyFont="1" applyBorder="1" applyAlignment="1">
      <alignment horizontal="center" vertical="center" wrapText="1"/>
    </xf>
    <xf numFmtId="0" fontId="203" fillId="0" borderId="82" xfId="8469" applyFont="1" applyBorder="1" applyAlignment="1">
      <alignment horizontal="center" vertical="center" wrapText="1"/>
    </xf>
    <xf numFmtId="0" fontId="203" fillId="0" borderId="12" xfId="8469" applyFont="1" applyBorder="1" applyAlignment="1">
      <alignment horizontal="center" vertical="center" wrapText="1"/>
    </xf>
    <xf numFmtId="0" fontId="203" fillId="0" borderId="117" xfId="8469" applyFont="1" applyBorder="1" applyAlignment="1">
      <alignment horizontal="center" vertical="center" wrapText="1"/>
    </xf>
    <xf numFmtId="0" fontId="203" fillId="0" borderId="113" xfId="8469" applyFont="1" applyBorder="1" applyAlignment="1">
      <alignment horizontal="center" vertical="center" wrapText="1"/>
    </xf>
    <xf numFmtId="41" fontId="203" fillId="0" borderId="6" xfId="8469" applyNumberFormat="1" applyFont="1" applyBorder="1" applyAlignment="1">
      <alignment horizontal="center" vertical="center"/>
    </xf>
    <xf numFmtId="41" fontId="203" fillId="0" borderId="4" xfId="8469" applyNumberFormat="1" applyFont="1" applyBorder="1" applyAlignment="1">
      <alignment horizontal="center" vertical="center"/>
    </xf>
    <xf numFmtId="41" fontId="203" fillId="0" borderId="119" xfId="8469" applyNumberFormat="1" applyFont="1" applyBorder="1" applyAlignment="1">
      <alignment vertical="center"/>
    </xf>
    <xf numFmtId="41" fontId="203" fillId="0" borderId="114" xfId="8469" applyNumberFormat="1" applyFont="1" applyBorder="1" applyAlignment="1">
      <alignment horizontal="center" vertical="center"/>
    </xf>
    <xf numFmtId="41" fontId="203" fillId="0" borderId="114" xfId="8469" applyNumberFormat="1" applyFont="1" applyBorder="1" applyAlignment="1">
      <alignment vertical="center"/>
    </xf>
    <xf numFmtId="0" fontId="203" fillId="0" borderId="121" xfId="8469" applyFont="1" applyBorder="1" applyAlignment="1">
      <alignment vertical="center"/>
    </xf>
    <xf numFmtId="41" fontId="203" fillId="0" borderId="80" xfId="8469" applyNumberFormat="1" applyFont="1" applyBorder="1" applyAlignment="1">
      <alignment horizontal="center" vertical="center"/>
    </xf>
    <xf numFmtId="41" fontId="203" fillId="0" borderId="13" xfId="8469" applyNumberFormat="1" applyFont="1" applyBorder="1" applyAlignment="1">
      <alignment horizontal="center" vertical="center"/>
    </xf>
    <xf numFmtId="41" fontId="203" fillId="0" borderId="83" xfId="8469" applyNumberFormat="1" applyFont="1" applyBorder="1" applyAlignment="1">
      <alignment vertical="center"/>
    </xf>
    <xf numFmtId="41" fontId="203" fillId="0" borderId="16" xfId="8469" applyNumberFormat="1" applyFont="1" applyBorder="1" applyAlignment="1">
      <alignment horizontal="center" vertical="center"/>
    </xf>
    <xf numFmtId="41" fontId="203" fillId="0" borderId="16" xfId="8469" applyNumberFormat="1" applyFont="1" applyBorder="1" applyAlignment="1">
      <alignment vertical="center"/>
    </xf>
    <xf numFmtId="0" fontId="203" fillId="0" borderId="123" xfId="8469" applyFont="1" applyBorder="1" applyAlignment="1">
      <alignment vertical="center"/>
    </xf>
    <xf numFmtId="41" fontId="203" fillId="0" borderId="116" xfId="8469" applyNumberFormat="1" applyFont="1" applyBorder="1" applyAlignment="1">
      <alignment horizontal="center" vertical="center"/>
    </xf>
    <xf numFmtId="41" fontId="203" fillId="0" borderId="112" xfId="8469" applyNumberFormat="1" applyFont="1" applyBorder="1" applyAlignment="1">
      <alignment horizontal="center" vertical="center"/>
    </xf>
    <xf numFmtId="0" fontId="203" fillId="0" borderId="124" xfId="8469" applyFont="1" applyBorder="1" applyAlignment="1">
      <alignment vertical="center"/>
    </xf>
    <xf numFmtId="41" fontId="203" fillId="0" borderId="82" xfId="8469" applyNumberFormat="1" applyFont="1" applyBorder="1" applyAlignment="1">
      <alignment horizontal="left" vertical="center"/>
    </xf>
    <xf numFmtId="0" fontId="203" fillId="0" borderId="12" xfId="8469" applyFont="1" applyBorder="1" applyAlignment="1">
      <alignment vertical="center"/>
    </xf>
    <xf numFmtId="41" fontId="203" fillId="0" borderId="117" xfId="8469" applyNumberFormat="1" applyFont="1" applyBorder="1" applyAlignment="1">
      <alignment vertical="center"/>
    </xf>
    <xf numFmtId="41" fontId="203" fillId="0" borderId="113" xfId="8469" applyNumberFormat="1" applyFont="1" applyBorder="1" applyAlignment="1">
      <alignment horizontal="left" vertical="center"/>
    </xf>
    <xf numFmtId="0" fontId="203" fillId="0" borderId="113" xfId="8469" applyFont="1" applyBorder="1" applyAlignment="1">
      <alignment vertical="center"/>
    </xf>
    <xf numFmtId="41" fontId="203" fillId="0" borderId="113" xfId="8469" applyNumberFormat="1" applyFont="1" applyBorder="1" applyAlignment="1">
      <alignment vertical="center"/>
    </xf>
    <xf numFmtId="41" fontId="270" fillId="0" borderId="113" xfId="8469" applyNumberFormat="1" applyFont="1" applyBorder="1" applyAlignment="1">
      <alignment vertical="center"/>
    </xf>
    <xf numFmtId="0" fontId="203" fillId="0" borderId="118" xfId="8469" applyFont="1" applyBorder="1" applyAlignment="1">
      <alignment vertical="center"/>
    </xf>
    <xf numFmtId="41" fontId="203" fillId="0" borderId="0" xfId="8469" applyNumberFormat="1" applyFont="1" applyAlignment="1">
      <alignment horizontal="left" vertical="center"/>
    </xf>
    <xf numFmtId="41" fontId="203" fillId="0" borderId="0" xfId="8470" applyFont="1" applyBorder="1" applyAlignment="1">
      <alignment horizontal="left" vertical="center"/>
    </xf>
    <xf numFmtId="187" fontId="203" fillId="0" borderId="0" xfId="8469" applyNumberFormat="1" applyFont="1" applyAlignment="1">
      <alignment horizontal="left" vertical="center"/>
    </xf>
    <xf numFmtId="183" fontId="203" fillId="0" borderId="0" xfId="8470" applyNumberFormat="1" applyFont="1" applyAlignment="1">
      <alignment horizontal="left" vertical="center"/>
    </xf>
    <xf numFmtId="0" fontId="203" fillId="0" borderId="0" xfId="8469" applyFont="1" applyAlignment="1">
      <alignment horizontal="left" vertical="center" wrapText="1"/>
    </xf>
    <xf numFmtId="183" fontId="203" fillId="0" borderId="0" xfId="8470" applyNumberFormat="1" applyFont="1" applyAlignment="1">
      <alignment horizontal="right" vertical="center"/>
    </xf>
    <xf numFmtId="0" fontId="281" fillId="0" borderId="0" xfId="8469" applyFont="1" applyAlignment="1">
      <alignment vertical="center"/>
    </xf>
    <xf numFmtId="0" fontId="271" fillId="0" borderId="0" xfId="8469" applyFont="1" applyAlignment="1">
      <alignment vertical="center"/>
    </xf>
    <xf numFmtId="0" fontId="282" fillId="37" borderId="0" xfId="8469" applyFont="1" applyFill="1" applyAlignment="1">
      <alignment horizontal="center" vertical="center"/>
    </xf>
    <xf numFmtId="0" fontId="282" fillId="36" borderId="0" xfId="8469" applyFont="1" applyFill="1" applyAlignment="1">
      <alignment horizontal="center" vertical="center"/>
    </xf>
    <xf numFmtId="3" fontId="283" fillId="0" borderId="0" xfId="8469" applyNumberFormat="1" applyFont="1" applyAlignment="1">
      <alignment horizontal="left" vertical="center"/>
    </xf>
    <xf numFmtId="0" fontId="271" fillId="0" borderId="0" xfId="8469" applyFont="1" applyAlignment="1">
      <alignment horizontal="left" vertical="center" indent="1"/>
    </xf>
    <xf numFmtId="0" fontId="271" fillId="0" borderId="0" xfId="8469" applyFont="1" applyAlignment="1">
      <alignment horizontal="left" vertical="center"/>
    </xf>
    <xf numFmtId="359" fontId="271" fillId="0" borderId="0" xfId="8469" applyNumberFormat="1" applyFont="1" applyAlignment="1">
      <alignment horizontal="center" vertical="center"/>
    </xf>
    <xf numFmtId="0" fontId="282" fillId="0" borderId="0" xfId="8469" applyFont="1" applyAlignment="1">
      <alignment horizontal="center" vertical="center"/>
    </xf>
    <xf numFmtId="360" fontId="284" fillId="37" borderId="0" xfId="8469" applyNumberFormat="1" applyFont="1" applyFill="1" applyAlignment="1">
      <alignment horizontal="center" vertical="center"/>
    </xf>
    <xf numFmtId="185" fontId="215" fillId="40" borderId="0" xfId="8483" applyNumberFormat="1" applyFont="1" applyFill="1" applyAlignment="1">
      <alignment vertical="center"/>
    </xf>
    <xf numFmtId="0" fontId="215" fillId="40" borderId="0" xfId="8483" applyFont="1" applyFill="1" applyAlignment="1">
      <alignment vertical="center"/>
    </xf>
    <xf numFmtId="0" fontId="284" fillId="37" borderId="0" xfId="8469" applyFont="1" applyFill="1" applyAlignment="1">
      <alignment horizontal="center" vertical="center"/>
    </xf>
    <xf numFmtId="0" fontId="215" fillId="40" borderId="0" xfId="8483" applyFont="1" applyFill="1" applyAlignment="1">
      <alignment horizontal="left" vertical="center"/>
    </xf>
    <xf numFmtId="0" fontId="215" fillId="40" borderId="81" xfId="8483" applyFont="1" applyFill="1" applyBorder="1" applyAlignment="1">
      <alignment horizontal="center" vertical="center"/>
    </xf>
    <xf numFmtId="0" fontId="215" fillId="40" borderId="96" xfId="8483" applyFont="1" applyFill="1" applyBorder="1" applyAlignment="1">
      <alignment horizontal="center" vertical="center"/>
    </xf>
    <xf numFmtId="0" fontId="215" fillId="40" borderId="96" xfId="8483" applyFont="1" applyFill="1" applyBorder="1" applyAlignment="1">
      <alignment horizontal="centerContinuous" vertical="center"/>
    </xf>
    <xf numFmtId="0" fontId="215" fillId="40" borderId="57" xfId="8483" applyFont="1" applyFill="1" applyBorder="1" applyAlignment="1">
      <alignment horizontal="centerContinuous" vertical="center"/>
    </xf>
    <xf numFmtId="0" fontId="215" fillId="40" borderId="97" xfId="8483" applyFont="1" applyFill="1" applyBorder="1" applyAlignment="1">
      <alignment horizontal="centerContinuous" vertical="center"/>
    </xf>
    <xf numFmtId="0" fontId="215" fillId="40" borderId="76" xfId="8483" applyFont="1" applyFill="1" applyBorder="1" applyAlignment="1">
      <alignment horizontal="distributed" vertical="center"/>
    </xf>
    <xf numFmtId="185" fontId="215" fillId="40" borderId="4" xfId="8483" applyNumberFormat="1" applyFont="1" applyFill="1" applyBorder="1" applyAlignment="1">
      <alignment horizontal="center" vertical="center"/>
    </xf>
    <xf numFmtId="0" fontId="215" fillId="40" borderId="85" xfId="8483" applyFont="1" applyFill="1" applyBorder="1" applyAlignment="1">
      <alignment horizontal="left" vertical="center"/>
    </xf>
    <xf numFmtId="0" fontId="215" fillId="40" borderId="92" xfId="8483" applyFont="1" applyFill="1" applyBorder="1" applyAlignment="1">
      <alignment horizontal="left" vertical="center"/>
    </xf>
    <xf numFmtId="0" fontId="215" fillId="40" borderId="92" xfId="8483" applyFont="1" applyFill="1" applyBorder="1" applyAlignment="1">
      <alignment vertical="center"/>
    </xf>
    <xf numFmtId="0" fontId="215" fillId="40" borderId="84" xfId="8483" applyFont="1" applyFill="1" applyBorder="1" applyAlignment="1">
      <alignment vertical="center"/>
    </xf>
    <xf numFmtId="0" fontId="215" fillId="40" borderId="11" xfId="8483" applyFont="1" applyFill="1" applyBorder="1" applyAlignment="1">
      <alignment horizontal="distributed" vertical="center"/>
    </xf>
    <xf numFmtId="185" fontId="215" fillId="0" borderId="13" xfId="8483" applyNumberFormat="1" applyFont="1" applyBorder="1" applyAlignment="1">
      <alignment horizontal="center" vertical="center"/>
    </xf>
    <xf numFmtId="0" fontId="215" fillId="40" borderId="83" xfId="8483" applyFont="1" applyFill="1" applyBorder="1" applyAlignment="1">
      <alignment horizontal="left" vertical="center"/>
    </xf>
    <xf numFmtId="0" fontId="215" fillId="40" borderId="90" xfId="8483" applyFont="1" applyFill="1" applyBorder="1" applyAlignment="1">
      <alignment horizontal="left" vertical="center"/>
    </xf>
    <xf numFmtId="0" fontId="215" fillId="40" borderId="90" xfId="8483" applyFont="1" applyFill="1" applyBorder="1" applyAlignment="1">
      <alignment vertical="center"/>
    </xf>
    <xf numFmtId="0" fontId="215" fillId="40" borderId="123" xfId="8483" applyFont="1" applyFill="1" applyBorder="1" applyAlignment="1">
      <alignment vertical="center"/>
    </xf>
    <xf numFmtId="0" fontId="271" fillId="0" borderId="0" xfId="8469" applyFont="1" applyAlignment="1">
      <alignment horizontal="center" vertical="center"/>
    </xf>
    <xf numFmtId="361" fontId="271" fillId="0" borderId="0" xfId="8469" applyNumberFormat="1" applyFont="1" applyAlignment="1">
      <alignment horizontal="right" vertical="center"/>
    </xf>
    <xf numFmtId="362" fontId="271" fillId="0" borderId="0" xfId="8469" applyNumberFormat="1" applyFont="1" applyAlignment="1">
      <alignment horizontal="center" vertical="center"/>
    </xf>
    <xf numFmtId="363" fontId="271" fillId="0" borderId="0" xfId="8469" applyNumberFormat="1" applyFont="1" applyAlignment="1">
      <alignment horizontal="center" vertical="center"/>
    </xf>
    <xf numFmtId="185" fontId="271" fillId="0" borderId="0" xfId="8469" applyNumberFormat="1" applyFont="1" applyAlignment="1">
      <alignment horizontal="left" vertical="center"/>
    </xf>
    <xf numFmtId="364" fontId="271" fillId="0" borderId="0" xfId="8469" applyNumberFormat="1" applyFont="1" applyAlignment="1">
      <alignment horizontal="right" vertical="center"/>
    </xf>
    <xf numFmtId="0" fontId="215" fillId="40" borderId="73" xfId="8483" applyFont="1" applyFill="1" applyBorder="1" applyAlignment="1">
      <alignment horizontal="distributed" vertical="center"/>
    </xf>
    <xf numFmtId="185" fontId="215" fillId="40" borderId="12" xfId="8483" applyNumberFormat="1" applyFont="1" applyFill="1" applyBorder="1" applyAlignment="1">
      <alignment horizontal="center" vertical="center"/>
    </xf>
    <xf numFmtId="0" fontId="215" fillId="40" borderId="117" xfId="8483" applyFont="1" applyFill="1" applyBorder="1" applyAlignment="1">
      <alignment horizontal="left" vertical="center"/>
    </xf>
    <xf numFmtId="0" fontId="215" fillId="40" borderId="141" xfId="8483" applyFont="1" applyFill="1" applyBorder="1" applyAlignment="1">
      <alignment horizontal="left" vertical="center"/>
    </xf>
    <xf numFmtId="0" fontId="215" fillId="40" borderId="141" xfId="8483" applyFont="1" applyFill="1" applyBorder="1" applyAlignment="1">
      <alignment vertical="center"/>
    </xf>
    <xf numFmtId="0" fontId="215" fillId="40" borderId="118" xfId="8483" applyFont="1" applyFill="1" applyBorder="1" applyAlignment="1">
      <alignment vertical="center"/>
    </xf>
    <xf numFmtId="365" fontId="271" fillId="0" borderId="0" xfId="8469" applyNumberFormat="1" applyFont="1" applyAlignment="1">
      <alignment horizontal="right" vertical="center"/>
    </xf>
    <xf numFmtId="2" fontId="215" fillId="40" borderId="0" xfId="8483" applyNumberFormat="1" applyFont="1" applyFill="1" applyAlignment="1">
      <alignment vertical="center"/>
    </xf>
    <xf numFmtId="366" fontId="271" fillId="0" borderId="0" xfId="8469" applyNumberFormat="1" applyFont="1" applyAlignment="1">
      <alignment horizontal="right" vertical="center"/>
    </xf>
    <xf numFmtId="0" fontId="215" fillId="40" borderId="1" xfId="8483" applyFont="1" applyFill="1" applyBorder="1" applyAlignment="1">
      <alignment horizontal="center" vertical="center"/>
    </xf>
    <xf numFmtId="367" fontId="271" fillId="0" borderId="0" xfId="8469" applyNumberFormat="1" applyFont="1" applyAlignment="1">
      <alignment horizontal="center" vertical="center"/>
    </xf>
    <xf numFmtId="185" fontId="215" fillId="40" borderId="1" xfId="8483" applyNumberFormat="1" applyFont="1" applyFill="1" applyBorder="1" applyAlignment="1">
      <alignment horizontal="center" vertical="center"/>
    </xf>
    <xf numFmtId="0" fontId="215" fillId="0" borderId="0" xfId="8483" applyFont="1" applyAlignment="1">
      <alignment vertical="center"/>
    </xf>
    <xf numFmtId="0" fontId="235" fillId="40" borderId="0" xfId="8483" applyFont="1" applyFill="1" applyAlignment="1">
      <alignment vertical="center"/>
    </xf>
    <xf numFmtId="0" fontId="235" fillId="0" borderId="0" xfId="8483" applyFont="1" applyAlignment="1">
      <alignment vertical="center"/>
    </xf>
    <xf numFmtId="3" fontId="215" fillId="40" borderId="0" xfId="8483" applyNumberFormat="1" applyFont="1" applyFill="1" applyAlignment="1">
      <alignment vertical="center"/>
    </xf>
    <xf numFmtId="0" fontId="271" fillId="0" borderId="82" xfId="8493" applyFont="1" applyBorder="1" applyAlignment="1">
      <alignment horizontal="center" vertical="center"/>
    </xf>
    <xf numFmtId="0" fontId="271" fillId="0" borderId="12" xfId="8493" applyFont="1" applyBorder="1" applyAlignment="1">
      <alignment horizontal="center" vertical="center"/>
    </xf>
    <xf numFmtId="0" fontId="271" fillId="0" borderId="117" xfId="8493" applyFont="1" applyBorder="1" applyAlignment="1">
      <alignment horizontal="center" vertical="center"/>
    </xf>
    <xf numFmtId="185" fontId="271" fillId="0" borderId="159" xfId="8493" applyNumberFormat="1" applyFont="1" applyBorder="1" applyAlignment="1">
      <alignment horizontal="center" vertical="center"/>
    </xf>
    <xf numFmtId="185" fontId="271" fillId="0" borderId="13" xfId="8493" applyNumberFormat="1" applyFont="1" applyBorder="1" applyAlignment="1">
      <alignment horizontal="center" vertical="center"/>
    </xf>
    <xf numFmtId="0" fontId="215" fillId="40" borderId="0" xfId="8483" applyFont="1" applyFill="1" applyAlignment="1">
      <alignment horizontal="center" vertical="center"/>
    </xf>
    <xf numFmtId="185" fontId="215" fillId="40" borderId="0" xfId="8483" applyNumberFormat="1" applyFont="1" applyFill="1" applyAlignment="1">
      <alignment horizontal="center" vertical="center"/>
    </xf>
    <xf numFmtId="185" fontId="215" fillId="0" borderId="0" xfId="8483" applyNumberFormat="1" applyFont="1" applyAlignment="1">
      <alignment horizontal="center" vertical="center"/>
    </xf>
    <xf numFmtId="368" fontId="271" fillId="0" borderId="80" xfId="8493" applyNumberFormat="1" applyFont="1" applyBorder="1" applyAlignment="1">
      <alignment horizontal="center" vertical="center"/>
    </xf>
    <xf numFmtId="368" fontId="271" fillId="0" borderId="13" xfId="8493" applyNumberFormat="1" applyFont="1" applyBorder="1" applyAlignment="1">
      <alignment horizontal="center" vertical="center"/>
    </xf>
    <xf numFmtId="185" fontId="271" fillId="0" borderId="80" xfId="8493" applyNumberFormat="1" applyFont="1" applyBorder="1" applyAlignment="1">
      <alignment horizontal="center" vertical="center"/>
    </xf>
    <xf numFmtId="0" fontId="271" fillId="0" borderId="160" xfId="8469" applyFont="1" applyBorder="1" applyAlignment="1">
      <alignment vertical="center"/>
    </xf>
    <xf numFmtId="0" fontId="271" fillId="0" borderId="44" xfId="8469" applyFont="1" applyBorder="1" applyAlignment="1">
      <alignment horizontal="center" vertical="center"/>
    </xf>
    <xf numFmtId="0" fontId="271" fillId="0" borderId="128" xfId="8469" applyFont="1" applyBorder="1" applyAlignment="1">
      <alignment horizontal="center" vertical="center"/>
    </xf>
    <xf numFmtId="0" fontId="271" fillId="0" borderId="161" xfId="8469" applyFont="1" applyBorder="1" applyAlignment="1">
      <alignment vertical="center"/>
    </xf>
    <xf numFmtId="0" fontId="271" fillId="0" borderId="30" xfId="8469" applyFont="1" applyBorder="1" applyAlignment="1">
      <alignment horizontal="center" vertical="center"/>
    </xf>
    <xf numFmtId="348" fontId="271" fillId="0" borderId="1" xfId="8469" applyNumberFormat="1" applyFont="1" applyBorder="1" applyAlignment="1">
      <alignment horizontal="center" vertical="center"/>
    </xf>
    <xf numFmtId="0" fontId="271" fillId="0" borderId="29" xfId="8469" applyFont="1" applyBorder="1" applyAlignment="1">
      <alignment horizontal="center" vertical="center"/>
    </xf>
    <xf numFmtId="0" fontId="271" fillId="0" borderId="1" xfId="8469" applyFont="1" applyBorder="1" applyAlignment="1">
      <alignment horizontal="center" vertical="center"/>
    </xf>
    <xf numFmtId="185" fontId="271" fillId="0" borderId="13" xfId="8493" applyNumberFormat="1" applyFont="1" applyBorder="1" applyAlignment="1">
      <alignment horizontal="distributed" vertical="center"/>
    </xf>
    <xf numFmtId="0" fontId="271" fillId="0" borderId="71" xfId="8493" applyFont="1" applyBorder="1" applyAlignment="1">
      <alignment horizontal="center" vertical="center"/>
    </xf>
    <xf numFmtId="348" fontId="271" fillId="0" borderId="3" xfId="8469" applyNumberFormat="1" applyFont="1" applyBorder="1" applyAlignment="1">
      <alignment horizontal="center" vertical="center"/>
    </xf>
    <xf numFmtId="348" fontId="271" fillId="0" borderId="30" xfId="8469" applyNumberFormat="1" applyFont="1" applyBorder="1" applyAlignment="1">
      <alignment horizontal="center" vertical="center"/>
    </xf>
    <xf numFmtId="348" fontId="271" fillId="0" borderId="44" xfId="8469" applyNumberFormat="1" applyFont="1" applyBorder="1" applyAlignment="1">
      <alignment horizontal="center" vertical="center"/>
    </xf>
    <xf numFmtId="0" fontId="271" fillId="0" borderId="19" xfId="8469" applyFont="1" applyBorder="1" applyAlignment="1">
      <alignment horizontal="center" vertical="center"/>
    </xf>
    <xf numFmtId="348" fontId="271" fillId="0" borderId="37" xfId="8469" applyNumberFormat="1" applyFont="1" applyBorder="1" applyAlignment="1">
      <alignment horizontal="center" vertical="center"/>
    </xf>
    <xf numFmtId="348" fontId="271" fillId="0" borderId="19" xfId="8469" applyNumberFormat="1" applyFont="1" applyBorder="1" applyAlignment="1">
      <alignment horizontal="center" vertical="center"/>
    </xf>
    <xf numFmtId="348" fontId="271" fillId="0" borderId="41" xfId="8469" applyNumberFormat="1" applyFont="1" applyBorder="1" applyAlignment="1">
      <alignment horizontal="center" vertical="center"/>
    </xf>
    <xf numFmtId="369" fontId="271" fillId="0" borderId="37" xfId="8469" applyNumberFormat="1" applyFont="1" applyBorder="1" applyAlignment="1">
      <alignment horizontal="center" vertical="center"/>
    </xf>
    <xf numFmtId="369" fontId="271" fillId="0" borderId="19" xfId="8469" applyNumberFormat="1" applyFont="1" applyBorder="1" applyAlignment="1">
      <alignment horizontal="center" vertical="center"/>
    </xf>
    <xf numFmtId="369" fontId="271" fillId="0" borderId="41" xfId="8469" applyNumberFormat="1" applyFont="1" applyBorder="1" applyAlignment="1">
      <alignment horizontal="center" vertical="center"/>
    </xf>
    <xf numFmtId="185" fontId="271" fillId="0" borderId="12" xfId="8493" applyNumberFormat="1" applyFont="1" applyBorder="1" applyAlignment="1">
      <alignment horizontal="center" vertical="center"/>
    </xf>
    <xf numFmtId="0" fontId="271" fillId="0" borderId="72" xfId="8493" applyFont="1" applyBorder="1" applyAlignment="1">
      <alignment horizontal="center" vertical="center"/>
    </xf>
    <xf numFmtId="0" fontId="289" fillId="0" borderId="0" xfId="8469" applyFont="1" applyAlignment="1">
      <alignment vertical="center"/>
    </xf>
    <xf numFmtId="0" fontId="279" fillId="0" borderId="0" xfId="8476" applyFont="1" applyAlignment="1">
      <alignment vertical="center"/>
    </xf>
    <xf numFmtId="0" fontId="203" fillId="0" borderId="0" xfId="8476" applyFont="1" applyAlignment="1">
      <alignment vertical="center"/>
    </xf>
    <xf numFmtId="0" fontId="203" fillId="40" borderId="0" xfId="8476" applyFont="1" applyFill="1" applyAlignment="1">
      <alignment horizontal="left" vertical="center"/>
    </xf>
    <xf numFmtId="369" fontId="271" fillId="0" borderId="128" xfId="8469" applyNumberFormat="1" applyFont="1" applyBorder="1" applyAlignment="1">
      <alignment horizontal="center" vertical="center"/>
    </xf>
    <xf numFmtId="369" fontId="271" fillId="0" borderId="29" xfId="8469" applyNumberFormat="1" applyFont="1" applyBorder="1" applyAlignment="1">
      <alignment horizontal="center" vertical="center"/>
    </xf>
    <xf numFmtId="369" fontId="271" fillId="0" borderId="2" xfId="8469" applyNumberFormat="1" applyFont="1" applyBorder="1" applyAlignment="1">
      <alignment horizontal="center" vertical="center"/>
    </xf>
    <xf numFmtId="0" fontId="270" fillId="40" borderId="0" xfId="8476" applyFont="1" applyFill="1" applyAlignment="1">
      <alignment vertical="center"/>
    </xf>
    <xf numFmtId="0" fontId="270" fillId="40" borderId="0" xfId="8476" applyFont="1" applyFill="1" applyAlignment="1">
      <alignment horizontal="left" vertical="center"/>
    </xf>
    <xf numFmtId="0" fontId="203" fillId="40" borderId="0" xfId="8476" applyFont="1" applyFill="1" applyAlignment="1">
      <alignment vertical="center"/>
    </xf>
    <xf numFmtId="0" fontId="282" fillId="0" borderId="0" xfId="8469" applyFont="1" applyAlignment="1">
      <alignment vertical="center"/>
    </xf>
    <xf numFmtId="0" fontId="271" fillId="0" borderId="41" xfId="8469" applyFont="1" applyBorder="1" applyAlignment="1">
      <alignment vertical="center"/>
    </xf>
    <xf numFmtId="0" fontId="271" fillId="40" borderId="0" xfId="8469" applyFont="1" applyFill="1" applyAlignment="1">
      <alignment vertical="center"/>
    </xf>
    <xf numFmtId="0" fontId="282" fillId="37" borderId="89" xfId="8469" applyFont="1" applyFill="1" applyBorder="1" applyAlignment="1">
      <alignment vertical="center"/>
    </xf>
    <xf numFmtId="0" fontId="282" fillId="37" borderId="39" xfId="8469" applyFont="1" applyFill="1" applyBorder="1" applyAlignment="1">
      <alignment vertical="center"/>
    </xf>
    <xf numFmtId="0" fontId="203" fillId="0" borderId="1" xfId="8469" applyFont="1" applyBorder="1" applyAlignment="1">
      <alignment vertical="center"/>
    </xf>
    <xf numFmtId="0" fontId="271" fillId="40" borderId="1" xfId="8469" applyFont="1" applyFill="1" applyBorder="1" applyAlignment="1">
      <alignment vertical="center"/>
    </xf>
    <xf numFmtId="178" fontId="203" fillId="0" borderId="1" xfId="8469" applyNumberFormat="1" applyFont="1" applyBorder="1" applyAlignment="1">
      <alignment vertical="center"/>
    </xf>
    <xf numFmtId="0" fontId="203" fillId="40" borderId="0" xfId="8476" applyFont="1" applyFill="1" applyAlignment="1">
      <alignment horizontal="center" vertical="center"/>
    </xf>
    <xf numFmtId="177" fontId="203" fillId="40" borderId="0" xfId="8476" applyNumberFormat="1" applyFont="1" applyFill="1" applyAlignment="1">
      <alignment horizontal="center" vertical="center"/>
    </xf>
    <xf numFmtId="184" fontId="203" fillId="40" borderId="0" xfId="8476" applyNumberFormat="1" applyFont="1" applyFill="1" applyAlignment="1">
      <alignment horizontal="center" vertical="center"/>
    </xf>
    <xf numFmtId="0" fontId="203" fillId="40" borderId="116" xfId="8476" applyFont="1" applyFill="1" applyBorder="1" applyAlignment="1">
      <alignment horizontal="center" vertical="center"/>
    </xf>
    <xf numFmtId="0" fontId="203" fillId="39" borderId="157" xfId="8476" applyFont="1" applyFill="1" applyBorder="1" applyAlignment="1">
      <alignment horizontal="center" vertical="center"/>
    </xf>
    <xf numFmtId="0" fontId="203" fillId="40" borderId="111" xfId="8476" applyFont="1" applyFill="1" applyBorder="1" applyAlignment="1">
      <alignment horizontal="center" vertical="center"/>
    </xf>
    <xf numFmtId="0" fontId="203" fillId="39" borderId="110" xfId="8476" applyFont="1" applyFill="1" applyBorder="1" applyAlignment="1">
      <alignment horizontal="center" vertical="center"/>
    </xf>
    <xf numFmtId="0" fontId="203" fillId="40" borderId="85" xfId="8476" applyFont="1" applyFill="1" applyBorder="1" applyAlignment="1">
      <alignment horizontal="center" vertical="center"/>
    </xf>
    <xf numFmtId="185" fontId="203" fillId="40" borderId="33" xfId="8476" applyNumberFormat="1" applyFont="1" applyFill="1" applyBorder="1" applyAlignment="1">
      <alignment horizontal="center" vertical="center"/>
    </xf>
    <xf numFmtId="184" fontId="203" fillId="40" borderId="74" xfId="8476" applyNumberFormat="1" applyFont="1" applyFill="1" applyBorder="1" applyAlignment="1">
      <alignment horizontal="center" vertical="center"/>
    </xf>
    <xf numFmtId="185" fontId="203" fillId="39" borderId="85" xfId="8476" applyNumberFormat="1" applyFont="1" applyFill="1" applyBorder="1" applyAlignment="1">
      <alignment horizontal="center" vertical="center"/>
    </xf>
    <xf numFmtId="184" fontId="203" fillId="40" borderId="68" xfId="8476" applyNumberFormat="1" applyFont="1" applyFill="1" applyBorder="1" applyAlignment="1">
      <alignment horizontal="center" vertical="center"/>
    </xf>
    <xf numFmtId="185" fontId="203" fillId="39" borderId="70" xfId="8476" applyNumberFormat="1" applyFont="1" applyFill="1" applyBorder="1" applyAlignment="1">
      <alignment horizontal="center" vertical="center"/>
    </xf>
    <xf numFmtId="0" fontId="271" fillId="40" borderId="0" xfId="8469" applyFont="1" applyFill="1" applyAlignment="1">
      <alignment horizontal="center" vertical="center"/>
    </xf>
    <xf numFmtId="0" fontId="203" fillId="40" borderId="83" xfId="8476" applyFont="1" applyFill="1" applyBorder="1" applyAlignment="1">
      <alignment horizontal="center" vertical="center"/>
    </xf>
    <xf numFmtId="185" fontId="203" fillId="40" borderId="16" xfId="8476" applyNumberFormat="1" applyFont="1" applyFill="1" applyBorder="1" applyAlignment="1">
      <alignment horizontal="center" vertical="center"/>
    </xf>
    <xf numFmtId="184" fontId="203" fillId="40" borderId="80" xfId="8476" applyNumberFormat="1" applyFont="1" applyFill="1" applyBorder="1" applyAlignment="1">
      <alignment horizontal="center" vertical="center"/>
    </xf>
    <xf numFmtId="185" fontId="203" fillId="39" borderId="83" xfId="8476" applyNumberFormat="1" applyFont="1" applyFill="1" applyBorder="1" applyAlignment="1">
      <alignment horizontal="center" vertical="center"/>
    </xf>
    <xf numFmtId="184" fontId="203" fillId="40" borderId="11" xfId="8476" applyNumberFormat="1" applyFont="1" applyFill="1" applyBorder="1" applyAlignment="1">
      <alignment horizontal="center" vertical="center"/>
    </xf>
    <xf numFmtId="185" fontId="203" fillId="39" borderId="71" xfId="8476" applyNumberFormat="1" applyFont="1" applyFill="1" applyBorder="1" applyAlignment="1">
      <alignment horizontal="center" vertical="center"/>
    </xf>
    <xf numFmtId="0" fontId="203" fillId="40" borderId="117" xfId="8476" applyFont="1" applyFill="1" applyBorder="1" applyAlignment="1">
      <alignment horizontal="center" vertical="center"/>
    </xf>
    <xf numFmtId="185" fontId="203" fillId="40" borderId="113" xfId="8476" applyNumberFormat="1" applyFont="1" applyFill="1" applyBorder="1" applyAlignment="1">
      <alignment horizontal="center" vertical="center"/>
    </xf>
    <xf numFmtId="184" fontId="203" fillId="40" borderId="82" xfId="8476" applyNumberFormat="1" applyFont="1" applyFill="1" applyBorder="1" applyAlignment="1">
      <alignment horizontal="center" vertical="center"/>
    </xf>
    <xf numFmtId="185" fontId="203" fillId="39" borderId="117" xfId="8476" applyNumberFormat="1" applyFont="1" applyFill="1" applyBorder="1" applyAlignment="1">
      <alignment horizontal="center" vertical="center"/>
    </xf>
    <xf numFmtId="184" fontId="203" fillId="40" borderId="73" xfId="8476" applyNumberFormat="1" applyFont="1" applyFill="1" applyBorder="1" applyAlignment="1">
      <alignment horizontal="center" vertical="center"/>
    </xf>
    <xf numFmtId="185" fontId="203" fillId="39" borderId="72" xfId="8476" applyNumberFormat="1" applyFont="1" applyFill="1" applyBorder="1" applyAlignment="1">
      <alignment horizontal="center" vertical="center"/>
    </xf>
    <xf numFmtId="184" fontId="203" fillId="40" borderId="29" xfId="8476" applyNumberFormat="1" applyFont="1" applyFill="1" applyBorder="1" applyAlignment="1">
      <alignment horizontal="center" vertical="center"/>
    </xf>
    <xf numFmtId="184" fontId="203" fillId="40" borderId="158" xfId="8476" applyNumberFormat="1" applyFont="1" applyFill="1" applyBorder="1" applyAlignment="1">
      <alignment horizontal="center" vertical="center"/>
    </xf>
    <xf numFmtId="185" fontId="270" fillId="39" borderId="174" xfId="8476" applyNumberFormat="1" applyFont="1" applyFill="1" applyBorder="1" applyAlignment="1">
      <alignment horizontal="center" vertical="center"/>
    </xf>
    <xf numFmtId="184" fontId="203" fillId="40" borderId="173" xfId="8476" applyNumberFormat="1" applyFont="1" applyFill="1" applyBorder="1" applyAlignment="1">
      <alignment horizontal="center" vertical="center"/>
    </xf>
    <xf numFmtId="185" fontId="270" fillId="39" borderId="138" xfId="8476" applyNumberFormat="1" applyFont="1" applyFill="1" applyBorder="1" applyAlignment="1">
      <alignment horizontal="center" vertical="center"/>
    </xf>
    <xf numFmtId="179" fontId="282" fillId="0" borderId="0" xfId="8470" applyNumberFormat="1" applyFont="1" applyFill="1" applyAlignment="1">
      <alignment vertical="center"/>
    </xf>
    <xf numFmtId="0" fontId="282" fillId="0" borderId="0" xfId="8476" applyFont="1" applyAlignment="1">
      <alignment vertical="center"/>
    </xf>
    <xf numFmtId="0" fontId="282" fillId="0" borderId="0" xfId="8476" applyFont="1" applyAlignment="1">
      <alignment horizontal="right" vertical="center"/>
    </xf>
    <xf numFmtId="0" fontId="282" fillId="0" borderId="0" xfId="8476" applyFont="1" applyAlignment="1">
      <alignment horizontal="center" vertical="center"/>
    </xf>
    <xf numFmtId="9" fontId="282" fillId="0" borderId="0" xfId="8494" applyFont="1" applyFill="1" applyAlignment="1">
      <alignment horizontal="right" vertical="center"/>
    </xf>
    <xf numFmtId="2" fontId="282" fillId="0" borderId="0" xfId="8476" applyNumberFormat="1" applyFont="1" applyAlignment="1">
      <alignment vertical="center"/>
    </xf>
    <xf numFmtId="9" fontId="282" fillId="0" borderId="0" xfId="8494" applyFont="1" applyFill="1" applyAlignment="1">
      <alignment horizontal="left" vertical="center"/>
    </xf>
    <xf numFmtId="0" fontId="271" fillId="0" borderId="0" xfId="8476" applyFont="1" applyAlignment="1">
      <alignment vertical="center"/>
    </xf>
    <xf numFmtId="0" fontId="203" fillId="0" borderId="160" xfId="8469" applyFont="1" applyBorder="1" applyAlignment="1">
      <alignment vertical="center"/>
    </xf>
    <xf numFmtId="0" fontId="203" fillId="0" borderId="44" xfId="8469" applyFont="1" applyBorder="1" applyAlignment="1">
      <alignment vertical="center"/>
    </xf>
    <xf numFmtId="0" fontId="203" fillId="0" borderId="128" xfId="8469" applyFont="1" applyBorder="1" applyAlignment="1">
      <alignment vertical="center"/>
    </xf>
    <xf numFmtId="0" fontId="203" fillId="0" borderId="161" xfId="8469" applyFont="1" applyBorder="1" applyAlignment="1">
      <alignment vertical="center"/>
    </xf>
    <xf numFmtId="178" fontId="203" fillId="0" borderId="1" xfId="8469" applyNumberFormat="1" applyFont="1" applyBorder="1" applyAlignment="1">
      <alignment horizontal="center" vertical="center"/>
    </xf>
    <xf numFmtId="370" fontId="271" fillId="0" borderId="1" xfId="8493" applyNumberFormat="1" applyFont="1" applyBorder="1" applyAlignment="1">
      <alignment horizontal="center" vertical="center"/>
    </xf>
    <xf numFmtId="348" fontId="267" fillId="37" borderId="0" xfId="8490" applyNumberFormat="1" applyFont="1" applyFill="1">
      <alignment vertical="center"/>
    </xf>
    <xf numFmtId="348" fontId="4" fillId="0" borderId="0" xfId="8490" applyNumberFormat="1">
      <alignment vertical="center"/>
    </xf>
    <xf numFmtId="0" fontId="290" fillId="0" borderId="1" xfId="8490" applyFont="1" applyBorder="1" applyAlignment="1">
      <alignment horizontal="center" vertical="center"/>
    </xf>
    <xf numFmtId="0" fontId="4" fillId="0" borderId="0" xfId="8490" applyAlignment="1">
      <alignment horizontal="center" vertical="center"/>
    </xf>
    <xf numFmtId="178" fontId="290" fillId="0" borderId="1" xfId="8490" applyNumberFormat="1" applyFont="1" applyBorder="1" applyAlignment="1">
      <alignment horizontal="center" vertical="center"/>
    </xf>
    <xf numFmtId="370" fontId="291" fillId="0" borderId="1" xfId="8493" applyNumberFormat="1" applyFont="1" applyBorder="1" applyAlignment="1">
      <alignment horizontal="center" vertical="center"/>
    </xf>
    <xf numFmtId="0" fontId="4" fillId="0" borderId="19" xfId="8490" applyBorder="1">
      <alignment vertical="center"/>
    </xf>
    <xf numFmtId="2" fontId="290" fillId="0" borderId="1" xfId="8490" applyNumberFormat="1" applyFont="1" applyBorder="1" applyAlignment="1">
      <alignment horizontal="center" vertical="center"/>
    </xf>
    <xf numFmtId="0" fontId="292" fillId="0" borderId="1" xfId="8469" applyFont="1" applyBorder="1" applyAlignment="1">
      <alignment horizontal="center" vertical="center" wrapText="1"/>
    </xf>
    <xf numFmtId="0" fontId="157" fillId="0" borderId="1" xfId="8469" applyFont="1" applyBorder="1" applyAlignment="1">
      <alignment horizontal="justify" vertical="center" wrapText="1"/>
    </xf>
    <xf numFmtId="0" fontId="102" fillId="0" borderId="1" xfId="8469" applyFont="1" applyBorder="1" applyAlignment="1">
      <alignment horizontal="center" vertical="center" wrapText="1"/>
    </xf>
    <xf numFmtId="2" fontId="102" fillId="0" borderId="1" xfId="8469" applyNumberFormat="1" applyFont="1" applyBorder="1" applyAlignment="1">
      <alignment horizontal="center" vertical="center" wrapText="1"/>
    </xf>
    <xf numFmtId="0" fontId="293" fillId="41" borderId="1" xfId="8469" applyFont="1" applyFill="1" applyBorder="1" applyAlignment="1">
      <alignment horizontal="center" vertical="center"/>
    </xf>
    <xf numFmtId="0" fontId="294" fillId="41" borderId="1" xfId="8469" applyFont="1" applyFill="1" applyBorder="1" applyAlignment="1">
      <alignment horizontal="center" vertical="center"/>
    </xf>
    <xf numFmtId="0" fontId="294" fillId="41" borderId="89" xfId="8469" applyFont="1" applyFill="1" applyBorder="1" applyAlignment="1">
      <alignment horizontal="center" vertical="center"/>
    </xf>
    <xf numFmtId="184" fontId="209" fillId="0" borderId="1" xfId="8469" applyNumberFormat="1" applyFont="1" applyBorder="1" applyAlignment="1">
      <alignment horizontal="center" vertical="center"/>
    </xf>
    <xf numFmtId="0" fontId="213" fillId="0" borderId="0" xfId="8469" applyFont="1" applyAlignment="1">
      <alignment horizontal="center" vertical="center"/>
    </xf>
    <xf numFmtId="0" fontId="213" fillId="0" borderId="0" xfId="8469" applyFont="1" applyAlignment="1">
      <alignment vertical="center"/>
    </xf>
    <xf numFmtId="184" fontId="209" fillId="43" borderId="1" xfId="8469" applyNumberFormat="1" applyFont="1" applyFill="1" applyBorder="1" applyAlignment="1">
      <alignment horizontal="center" vertical="center"/>
    </xf>
    <xf numFmtId="0" fontId="294" fillId="41" borderId="146" xfId="8469" applyFont="1" applyFill="1" applyBorder="1" applyAlignment="1">
      <alignment horizontal="center" vertical="center"/>
    </xf>
    <xf numFmtId="184" fontId="213" fillId="43" borderId="1" xfId="8469" applyNumberFormat="1" applyFont="1" applyFill="1" applyBorder="1" applyAlignment="1">
      <alignment horizontal="center" vertical="center"/>
    </xf>
    <xf numFmtId="0" fontId="279" fillId="0" borderId="0" xfId="8469" applyFont="1" applyAlignment="1">
      <alignment horizontal="left" vertical="center"/>
    </xf>
    <xf numFmtId="0" fontId="270" fillId="0" borderId="0" xfId="8469" applyFont="1" applyAlignment="1">
      <alignment horizontal="centerContinuous" vertical="center"/>
    </xf>
    <xf numFmtId="0" fontId="203" fillId="0" borderId="0" xfId="8469" applyFont="1" applyAlignment="1">
      <alignment horizontal="right" vertical="center"/>
    </xf>
    <xf numFmtId="41" fontId="203" fillId="0" borderId="0" xfId="8469" applyNumberFormat="1" applyFont="1" applyAlignment="1">
      <alignment horizontal="center" vertical="center"/>
    </xf>
    <xf numFmtId="0" fontId="203" fillId="0" borderId="125" xfId="8469" applyFont="1" applyBorder="1" applyAlignment="1">
      <alignment horizontal="center" vertical="center"/>
    </xf>
    <xf numFmtId="0" fontId="203" fillId="0" borderId="126" xfId="8469" applyFont="1" applyBorder="1" applyAlignment="1">
      <alignment horizontal="center" vertical="center"/>
    </xf>
    <xf numFmtId="0" fontId="203" fillId="0" borderId="127" xfId="8469" applyFont="1" applyBorder="1" applyAlignment="1">
      <alignment horizontal="center" vertical="center"/>
    </xf>
    <xf numFmtId="0" fontId="203" fillId="0" borderId="76" xfId="8469" applyFont="1" applyBorder="1" applyAlignment="1">
      <alignment horizontal="left" vertical="center" indent="1"/>
    </xf>
    <xf numFmtId="0" fontId="203" fillId="0" borderId="4" xfId="8469" applyFont="1" applyBorder="1" applyAlignment="1">
      <alignment horizontal="center" vertical="center"/>
    </xf>
    <xf numFmtId="41" fontId="270" fillId="0" borderId="4" xfId="8470" applyFont="1" applyFill="1" applyBorder="1" applyAlignment="1">
      <alignment vertical="center"/>
    </xf>
    <xf numFmtId="0" fontId="203" fillId="0" borderId="4" xfId="8469" applyFont="1" applyBorder="1" applyAlignment="1">
      <alignment vertical="center"/>
    </xf>
    <xf numFmtId="0" fontId="203" fillId="0" borderId="77" xfId="8469" applyFont="1" applyBorder="1" applyAlignment="1">
      <alignment horizontal="center" vertical="center"/>
    </xf>
    <xf numFmtId="0" fontId="203" fillId="0" borderId="11" xfId="8471" applyFont="1" applyBorder="1" applyAlignment="1">
      <alignment horizontal="left" vertical="center" indent="1"/>
    </xf>
    <xf numFmtId="41" fontId="270" fillId="0" borderId="13" xfId="8470" applyFont="1" applyFill="1" applyBorder="1" applyAlignment="1">
      <alignment vertical="center"/>
    </xf>
    <xf numFmtId="0" fontId="203" fillId="0" borderId="13" xfId="8469" applyFont="1" applyBorder="1" applyAlignment="1">
      <alignment vertical="center"/>
    </xf>
    <xf numFmtId="0" fontId="203" fillId="0" borderId="11" xfId="8469" applyFont="1" applyBorder="1" applyAlignment="1">
      <alignment horizontal="left" vertical="center" indent="1"/>
    </xf>
    <xf numFmtId="0" fontId="203" fillId="0" borderId="11" xfId="8469" applyFont="1" applyBorder="1" applyAlignment="1">
      <alignment horizontal="left" vertical="center" wrapText="1" indent="1"/>
    </xf>
    <xf numFmtId="0" fontId="203" fillId="0" borderId="11" xfId="8469" applyFont="1" applyBorder="1" applyAlignment="1">
      <alignment horizontal="left" vertical="center" indent="1" shrinkToFit="1"/>
    </xf>
    <xf numFmtId="0" fontId="203" fillId="40" borderId="11" xfId="8469" applyFont="1" applyFill="1" applyBorder="1" applyAlignment="1">
      <alignment horizontal="left" vertical="center" indent="1"/>
    </xf>
    <xf numFmtId="0" fontId="203" fillId="0" borderId="73" xfId="8469" applyFont="1" applyBorder="1" applyAlignment="1">
      <alignment horizontal="left" vertical="center" indent="1"/>
    </xf>
    <xf numFmtId="41" fontId="270" fillId="0" borderId="12" xfId="8470" applyFont="1" applyFill="1" applyBorder="1" applyAlignment="1">
      <alignment vertical="center"/>
    </xf>
    <xf numFmtId="0" fontId="203" fillId="0" borderId="72" xfId="8469" applyFont="1" applyBorder="1" applyAlignment="1">
      <alignment horizontal="center" vertical="center"/>
    </xf>
    <xf numFmtId="0" fontId="205" fillId="0" borderId="0" xfId="8469" applyFont="1" applyAlignment="1">
      <alignment horizontal="center" vertical="center"/>
    </xf>
    <xf numFmtId="183" fontId="205" fillId="0" borderId="0" xfId="8470" applyNumberFormat="1" applyFont="1" applyAlignment="1">
      <alignment horizontal="right" vertical="center"/>
    </xf>
    <xf numFmtId="0" fontId="295" fillId="0" borderId="0" xfId="8472" applyFont="1">
      <alignment vertical="center"/>
    </xf>
    <xf numFmtId="0" fontId="215" fillId="0" borderId="0" xfId="8472" applyFont="1">
      <alignment vertical="center"/>
    </xf>
    <xf numFmtId="0" fontId="231" fillId="0" borderId="0" xfId="8472" applyFont="1">
      <alignment vertical="center"/>
    </xf>
    <xf numFmtId="0" fontId="236" fillId="0" borderId="0" xfId="8472" applyFont="1">
      <alignment vertical="center"/>
    </xf>
    <xf numFmtId="0" fontId="231" fillId="0" borderId="0" xfId="8472" applyFont="1" applyAlignment="1">
      <alignment horizontal="center" vertical="center"/>
    </xf>
    <xf numFmtId="0" fontId="296" fillId="0" borderId="0" xfId="8472" applyFont="1" applyAlignment="1">
      <alignment horizontal="center" vertical="center"/>
    </xf>
    <xf numFmtId="0" fontId="297" fillId="0" borderId="0" xfId="8472" applyFont="1" applyAlignment="1">
      <alignment horizontal="center" vertical="center"/>
    </xf>
    <xf numFmtId="349" fontId="235" fillId="0" borderId="0" xfId="8472" applyNumberFormat="1" applyFont="1" applyAlignment="1">
      <alignment horizontal="left" vertical="center"/>
    </xf>
    <xf numFmtId="240" fontId="215" fillId="0" borderId="3" xfId="8473" applyNumberFormat="1" applyFont="1" applyBorder="1" applyAlignment="1" applyProtection="1">
      <alignment horizontal="right" vertical="center"/>
      <protection locked="0"/>
    </xf>
    <xf numFmtId="0" fontId="215" fillId="0" borderId="40" xfId="8474" applyFont="1" applyBorder="1" applyAlignment="1">
      <alignment vertical="center"/>
    </xf>
    <xf numFmtId="0" fontId="215" fillId="0" borderId="40" xfId="8474" applyFont="1" applyBorder="1" applyAlignment="1">
      <alignment vertical="center" shrinkToFit="1"/>
    </xf>
    <xf numFmtId="0" fontId="230" fillId="0" borderId="40" xfId="8475" applyFont="1" applyBorder="1"/>
    <xf numFmtId="349" fontId="215" fillId="0" borderId="40" xfId="8472" applyNumberFormat="1" applyFont="1" applyBorder="1" applyAlignment="1">
      <alignment horizontal="center" vertical="center"/>
    </xf>
    <xf numFmtId="3" fontId="215" fillId="0" borderId="40" xfId="8472" applyNumberFormat="1" applyFont="1" applyBorder="1" applyAlignment="1">
      <alignment horizontal="right" vertical="center"/>
    </xf>
    <xf numFmtId="49" fontId="215" fillId="0" borderId="40" xfId="8472" applyNumberFormat="1" applyFont="1" applyBorder="1" applyAlignment="1">
      <alignment horizontal="left" vertical="center"/>
    </xf>
    <xf numFmtId="0" fontId="297" fillId="0" borderId="44" xfId="8472" applyFont="1" applyBorder="1" applyAlignment="1">
      <alignment horizontal="center" vertical="center"/>
    </xf>
    <xf numFmtId="240" fontId="215" fillId="0" borderId="37" xfId="8473" applyNumberFormat="1" applyFont="1" applyBorder="1" applyAlignment="1" applyProtection="1">
      <alignment horizontal="left" vertical="center"/>
      <protection locked="0"/>
    </xf>
    <xf numFmtId="241" fontId="215" fillId="0" borderId="0" xfId="8475" applyNumberFormat="1" applyFont="1" applyAlignment="1">
      <alignment horizontal="right" vertical="center"/>
    </xf>
    <xf numFmtId="3" fontId="215" fillId="0" borderId="0" xfId="8473" applyNumberFormat="1" applyFont="1" applyAlignment="1" applyProtection="1">
      <alignment vertical="center"/>
      <protection locked="0"/>
    </xf>
    <xf numFmtId="0" fontId="215" fillId="0" borderId="0" xfId="8475" applyFont="1"/>
    <xf numFmtId="0" fontId="230" fillId="0" borderId="0" xfId="8475" applyFont="1"/>
    <xf numFmtId="349" fontId="215" fillId="0" borderId="0" xfId="8472" applyNumberFormat="1" applyFont="1" applyAlignment="1">
      <alignment horizontal="center" vertical="center"/>
    </xf>
    <xf numFmtId="3" fontId="215" fillId="0" borderId="0" xfId="8472" applyNumberFormat="1" applyFont="1" applyAlignment="1">
      <alignment horizontal="right" vertical="center"/>
    </xf>
    <xf numFmtId="49" fontId="215" fillId="0" borderId="0" xfId="8472" applyNumberFormat="1" applyFont="1" applyAlignment="1">
      <alignment horizontal="left" vertical="center"/>
    </xf>
    <xf numFmtId="0" fontId="297" fillId="0" borderId="41" xfId="8472" applyFont="1" applyBorder="1" applyAlignment="1">
      <alignment horizontal="center" vertical="center"/>
    </xf>
    <xf numFmtId="240" fontId="215" fillId="0" borderId="128" xfId="8473" applyNumberFormat="1" applyFont="1" applyBorder="1" applyAlignment="1" applyProtection="1">
      <alignment horizontal="right" vertical="center"/>
      <protection locked="0"/>
    </xf>
    <xf numFmtId="241" fontId="215" fillId="0" borderId="35" xfId="8475" applyNumberFormat="1" applyFont="1" applyBorder="1" applyAlignment="1">
      <alignment horizontal="right" vertical="center"/>
    </xf>
    <xf numFmtId="3" fontId="215" fillId="0" borderId="35" xfId="8473" applyNumberFormat="1" applyFont="1" applyBorder="1" applyAlignment="1" applyProtection="1">
      <alignment horizontal="left" vertical="center"/>
      <protection locked="0"/>
    </xf>
    <xf numFmtId="0" fontId="215" fillId="0" borderId="35" xfId="8475" applyFont="1" applyBorder="1"/>
    <xf numFmtId="0" fontId="230" fillId="0" borderId="35" xfId="8475" applyFont="1" applyBorder="1"/>
    <xf numFmtId="349" fontId="215" fillId="0" borderId="35" xfId="8472" applyNumberFormat="1" applyFont="1" applyBorder="1" applyAlignment="1">
      <alignment horizontal="center" vertical="center"/>
    </xf>
    <xf numFmtId="3" fontId="215" fillId="0" borderId="35" xfId="8472" applyNumberFormat="1" applyFont="1" applyBorder="1" applyAlignment="1">
      <alignment horizontal="right" vertical="center"/>
    </xf>
    <xf numFmtId="49" fontId="215" fillId="0" borderId="35" xfId="8472" applyNumberFormat="1" applyFont="1" applyBorder="1" applyAlignment="1">
      <alignment horizontal="left" vertical="center"/>
    </xf>
    <xf numFmtId="0" fontId="297" fillId="0" borderId="2" xfId="8472" applyFont="1" applyBorder="1" applyAlignment="1">
      <alignment horizontal="center" vertical="center"/>
    </xf>
    <xf numFmtId="350" fontId="215" fillId="0" borderId="0" xfId="8476" applyNumberFormat="1" applyAlignment="1">
      <alignment horizontal="left" vertical="center" indent="1"/>
    </xf>
    <xf numFmtId="0" fontId="215" fillId="0" borderId="0" xfId="8476" applyAlignment="1">
      <alignment vertical="center"/>
    </xf>
    <xf numFmtId="0" fontId="215" fillId="0" borderId="0" xfId="8472" applyFont="1" applyAlignment="1">
      <alignment horizontal="center" vertical="center"/>
    </xf>
    <xf numFmtId="0" fontId="215" fillId="0" borderId="0" xfId="8476" applyAlignment="1">
      <alignment horizontal="left" vertical="center"/>
    </xf>
    <xf numFmtId="0" fontId="215" fillId="0" borderId="0" xfId="8472" applyFont="1" applyAlignment="1">
      <alignment horizontal="left" vertical="center"/>
    </xf>
    <xf numFmtId="349" fontId="230" fillId="0" borderId="0" xfId="8472" applyNumberFormat="1" applyFont="1" applyAlignment="1">
      <alignment horizontal="left" vertical="center"/>
    </xf>
    <xf numFmtId="4" fontId="215" fillId="0" borderId="0" xfId="8472" applyNumberFormat="1" applyFont="1" applyAlignment="1">
      <alignment horizontal="center" vertical="center"/>
    </xf>
    <xf numFmtId="0" fontId="231" fillId="0" borderId="0" xfId="8472" applyFont="1" applyAlignment="1">
      <alignment horizontal="left" vertical="center"/>
    </xf>
    <xf numFmtId="350" fontId="230" fillId="0" borderId="129" xfId="8476" applyNumberFormat="1" applyFont="1" applyBorder="1" applyAlignment="1">
      <alignment horizontal="center" vertical="center"/>
    </xf>
    <xf numFmtId="350" fontId="230" fillId="0" borderId="130" xfId="8476" applyNumberFormat="1" applyFont="1" applyBorder="1" applyAlignment="1">
      <alignment horizontal="center" vertical="center"/>
    </xf>
    <xf numFmtId="350" fontId="230" fillId="0" borderId="6" xfId="8476" applyNumberFormat="1" applyFont="1" applyBorder="1" applyAlignment="1">
      <alignment vertical="center" wrapText="1"/>
    </xf>
    <xf numFmtId="0" fontId="230" fillId="0" borderId="13" xfId="8476" applyFont="1" applyBorder="1" applyAlignment="1">
      <alignment horizontal="center" vertical="center"/>
    </xf>
    <xf numFmtId="350" fontId="230" fillId="0" borderId="80" xfId="8476" applyNumberFormat="1" applyFont="1" applyBorder="1" applyAlignment="1">
      <alignment vertical="center" wrapText="1"/>
    </xf>
    <xf numFmtId="0" fontId="300" fillId="37" borderId="0" xfId="8472" applyFont="1" applyFill="1" applyAlignment="1">
      <alignment horizontal="left" vertical="center"/>
    </xf>
    <xf numFmtId="350" fontId="230" fillId="0" borderId="13" xfId="8476" applyNumberFormat="1" applyFont="1" applyBorder="1" applyAlignment="1">
      <alignment horizontal="center" vertical="center"/>
    </xf>
    <xf numFmtId="177" fontId="300" fillId="37" borderId="0" xfId="8472" applyNumberFormat="1" applyFont="1" applyFill="1" applyAlignment="1">
      <alignment horizontal="center" vertical="center"/>
    </xf>
    <xf numFmtId="350" fontId="230" fillId="0" borderId="113" xfId="8476" applyNumberFormat="1" applyFont="1" applyBorder="1" applyAlignment="1">
      <alignment horizontal="center" vertical="center"/>
    </xf>
    <xf numFmtId="0" fontId="230" fillId="0" borderId="0" xfId="8496" applyFont="1" applyAlignment="1">
      <alignment horizontal="left" vertical="center"/>
    </xf>
    <xf numFmtId="3" fontId="230" fillId="0" borderId="0" xfId="8472" applyNumberFormat="1" applyFont="1" applyAlignment="1">
      <alignment horizontal="left" vertical="center"/>
    </xf>
    <xf numFmtId="49" fontId="230" fillId="0" borderId="0" xfId="8472" applyNumberFormat="1" applyFont="1" applyAlignment="1">
      <alignment horizontal="left" vertical="center"/>
    </xf>
    <xf numFmtId="182" fontId="230" fillId="0" borderId="0" xfId="8472" applyNumberFormat="1" applyFont="1" applyAlignment="1">
      <alignment horizontal="left" vertical="center"/>
    </xf>
    <xf numFmtId="0" fontId="230" fillId="0" borderId="0" xfId="8472" applyFont="1" applyAlignment="1">
      <alignment horizontal="left" vertical="center"/>
    </xf>
    <xf numFmtId="182" fontId="215" fillId="0" borderId="0" xfId="8472" applyNumberFormat="1" applyFont="1" applyAlignment="1">
      <alignment horizontal="right" vertical="center"/>
    </xf>
    <xf numFmtId="186" fontId="230" fillId="0" borderId="92" xfId="8472" applyNumberFormat="1" applyFont="1" applyBorder="1" applyAlignment="1">
      <alignment horizontal="center" vertical="center"/>
    </xf>
    <xf numFmtId="186" fontId="230" fillId="0" borderId="64" xfId="8472" applyNumberFormat="1" applyFont="1" applyBorder="1" applyAlignment="1">
      <alignment horizontal="center" vertical="center" shrinkToFit="1"/>
    </xf>
    <xf numFmtId="186" fontId="230" fillId="0" borderId="180" xfId="8472" applyNumberFormat="1" applyFont="1" applyBorder="1" applyAlignment="1">
      <alignment horizontal="center" vertical="center" shrinkToFit="1"/>
    </xf>
    <xf numFmtId="0" fontId="229" fillId="0" borderId="137" xfId="8472" applyFont="1" applyBorder="1" applyAlignment="1">
      <alignment horizontal="center" vertical="center" shrinkToFit="1"/>
    </xf>
    <xf numFmtId="186" fontId="229" fillId="0" borderId="137" xfId="8472" applyNumberFormat="1" applyFont="1" applyBorder="1" applyAlignment="1">
      <alignment horizontal="right" vertical="center" shrinkToFit="1"/>
    </xf>
    <xf numFmtId="186" fontId="229" fillId="0" borderId="174" xfId="8472" applyNumberFormat="1" applyFont="1" applyBorder="1" applyAlignment="1">
      <alignment horizontal="right" vertical="center" shrinkToFit="1"/>
    </xf>
    <xf numFmtId="186" fontId="229" fillId="0" borderId="138" xfId="8472" applyNumberFormat="1" applyFont="1" applyBorder="1" applyAlignment="1">
      <alignment horizontal="center" vertical="center" shrinkToFit="1"/>
    </xf>
    <xf numFmtId="0" fontId="230" fillId="0" borderId="40" xfId="8472" applyFont="1" applyBorder="1">
      <alignment vertical="center"/>
    </xf>
    <xf numFmtId="0" fontId="230" fillId="0" borderId="0" xfId="8472" applyFont="1" applyAlignment="1">
      <alignment horizontal="center" vertical="center" shrinkToFit="1"/>
    </xf>
    <xf numFmtId="186" fontId="230" fillId="0" borderId="0" xfId="8472" applyNumberFormat="1" applyFont="1" applyAlignment="1">
      <alignment horizontal="right" vertical="center"/>
    </xf>
    <xf numFmtId="186" fontId="230" fillId="0" borderId="0" xfId="8472" applyNumberFormat="1" applyFont="1" applyAlignment="1">
      <alignment horizontal="center" vertical="center" shrinkToFit="1"/>
    </xf>
    <xf numFmtId="0" fontId="230" fillId="0" borderId="0" xfId="8472" applyFont="1" applyAlignment="1">
      <alignment horizontal="center" vertical="center"/>
    </xf>
    <xf numFmtId="349" fontId="229" fillId="0" borderId="0" xfId="8472" applyNumberFormat="1" applyFont="1" applyAlignment="1">
      <alignment horizontal="left" vertical="center"/>
    </xf>
    <xf numFmtId="49" fontId="230" fillId="0" borderId="0" xfId="8472" applyNumberFormat="1" applyFont="1">
      <alignment vertical="center"/>
    </xf>
    <xf numFmtId="49" fontId="230" fillId="0" borderId="0" xfId="8472" applyNumberFormat="1" applyFont="1" applyAlignment="1">
      <alignment vertical="center" shrinkToFit="1"/>
    </xf>
    <xf numFmtId="186" fontId="230" fillId="0" borderId="0" xfId="8472" applyNumberFormat="1" applyFont="1" applyAlignment="1">
      <alignment horizontal="center" vertical="center"/>
    </xf>
    <xf numFmtId="186" fontId="230" fillId="0" borderId="0" xfId="8472" applyNumberFormat="1" applyFont="1">
      <alignment vertical="center"/>
    </xf>
    <xf numFmtId="186" fontId="215" fillId="0" borderId="0" xfId="8472" applyNumberFormat="1" applyFont="1">
      <alignment vertical="center"/>
    </xf>
    <xf numFmtId="0" fontId="215" fillId="0" borderId="0" xfId="8472" applyFont="1" applyAlignment="1"/>
    <xf numFmtId="186" fontId="229" fillId="0" borderId="70" xfId="8472" applyNumberFormat="1" applyFont="1" applyBorder="1" applyAlignment="1">
      <alignment vertical="center" shrinkToFit="1"/>
    </xf>
    <xf numFmtId="186" fontId="301" fillId="0" borderId="64" xfId="8472" applyNumberFormat="1" applyFont="1" applyBorder="1" applyAlignment="1">
      <alignment horizontal="center" vertical="center" shrinkToFit="1"/>
    </xf>
    <xf numFmtId="186" fontId="229" fillId="0" borderId="87" xfId="8472" applyNumberFormat="1" applyFont="1" applyBorder="1" applyAlignment="1">
      <alignment horizontal="center" vertical="center" shrinkToFit="1"/>
    </xf>
    <xf numFmtId="0" fontId="229" fillId="0" borderId="14" xfId="8472" applyFont="1" applyBorder="1">
      <alignment vertical="center"/>
    </xf>
    <xf numFmtId="0" fontId="229" fillId="0" borderId="4" xfId="8472" applyFont="1" applyBorder="1" applyAlignment="1">
      <alignment horizontal="center" vertical="center" shrinkToFit="1"/>
    </xf>
    <xf numFmtId="186" fontId="229" fillId="0" borderId="4" xfId="8472" applyNumberFormat="1" applyFont="1" applyBorder="1" applyAlignment="1">
      <alignment horizontal="right" vertical="center" shrinkToFit="1"/>
    </xf>
    <xf numFmtId="186" fontId="229" fillId="0" borderId="119" xfId="8472" applyNumberFormat="1" applyFont="1" applyBorder="1" applyAlignment="1">
      <alignment horizontal="right" vertical="center" shrinkToFit="1"/>
    </xf>
    <xf numFmtId="186" fontId="229" fillId="0" borderId="77" xfId="8472" applyNumberFormat="1" applyFont="1" applyBorder="1" applyAlignment="1">
      <alignment horizontal="center" vertical="center" shrinkToFit="1"/>
    </xf>
    <xf numFmtId="0" fontId="229" fillId="0" borderId="122" xfId="8472" applyFont="1" applyBorder="1">
      <alignment vertical="center"/>
    </xf>
    <xf numFmtId="0" fontId="229" fillId="0" borderId="90" xfId="8472" applyFont="1" applyBorder="1">
      <alignment vertical="center"/>
    </xf>
    <xf numFmtId="0" fontId="229" fillId="0" borderId="13" xfId="8472" applyFont="1" applyBorder="1" applyAlignment="1">
      <alignment horizontal="center" vertical="center" shrinkToFit="1"/>
    </xf>
    <xf numFmtId="186" fontId="229" fillId="0" borderId="13" xfId="8472" applyNumberFormat="1" applyFont="1" applyBorder="1" applyAlignment="1">
      <alignment horizontal="right" vertical="center" shrinkToFit="1"/>
    </xf>
    <xf numFmtId="186" fontId="229" fillId="0" borderId="83" xfId="8472" applyNumberFormat="1" applyFont="1" applyBorder="1" applyAlignment="1">
      <alignment horizontal="right" vertical="center" shrinkToFit="1"/>
    </xf>
    <xf numFmtId="186" fontId="229" fillId="0" borderId="71" xfId="8472" applyNumberFormat="1" applyFont="1" applyBorder="1" applyAlignment="1">
      <alignment horizontal="center" vertical="center" shrinkToFit="1"/>
    </xf>
    <xf numFmtId="0" fontId="230" fillId="0" borderId="122" xfId="8472" applyFont="1" applyBorder="1">
      <alignment vertical="center"/>
    </xf>
    <xf numFmtId="0" fontId="230" fillId="0" borderId="90" xfId="8472" applyFont="1" applyBorder="1">
      <alignment vertical="center"/>
    </xf>
    <xf numFmtId="0" fontId="230" fillId="0" borderId="13" xfId="8472" applyFont="1" applyBorder="1" applyAlignment="1">
      <alignment horizontal="center" vertical="center" shrinkToFit="1"/>
    </xf>
    <xf numFmtId="186" fontId="230" fillId="0" borderId="13" xfId="8472" applyNumberFormat="1" applyFont="1" applyBorder="1" applyAlignment="1">
      <alignment horizontal="right" vertical="center" shrinkToFit="1"/>
    </xf>
    <xf numFmtId="186" fontId="230" fillId="0" borderId="83" xfId="8472" applyNumberFormat="1" applyFont="1" applyBorder="1" applyAlignment="1">
      <alignment horizontal="center" vertical="center" shrinkToFit="1"/>
    </xf>
    <xf numFmtId="186" fontId="230" fillId="0" borderId="71" xfId="8472" applyNumberFormat="1" applyFont="1" applyBorder="1" applyAlignment="1">
      <alignment horizontal="center" vertical="center" shrinkToFit="1"/>
    </xf>
    <xf numFmtId="186" fontId="230" fillId="0" borderId="83" xfId="8472" applyNumberFormat="1" applyFont="1" applyBorder="1" applyAlignment="1">
      <alignment horizontal="right" vertical="center" shrinkToFit="1"/>
    </xf>
    <xf numFmtId="0" fontId="230" fillId="0" borderId="14" xfId="8472" applyFont="1" applyBorder="1">
      <alignment vertical="center"/>
    </xf>
    <xf numFmtId="0" fontId="230" fillId="0" borderId="4" xfId="8472" applyFont="1" applyBorder="1" applyAlignment="1">
      <alignment horizontal="center" vertical="center" shrinkToFit="1"/>
    </xf>
    <xf numFmtId="186" fontId="230" fillId="0" borderId="4" xfId="8472" applyNumberFormat="1" applyFont="1" applyBorder="1" applyAlignment="1">
      <alignment horizontal="right" vertical="center" shrinkToFit="1"/>
    </xf>
    <xf numFmtId="186" fontId="230" fillId="0" borderId="119" xfId="8472" applyNumberFormat="1" applyFont="1" applyBorder="1" applyAlignment="1">
      <alignment horizontal="center" vertical="center" shrinkToFit="1"/>
    </xf>
    <xf numFmtId="186" fontId="230" fillId="0" borderId="77" xfId="8472" applyNumberFormat="1" applyFont="1" applyBorder="1" applyAlignment="1">
      <alignment horizontal="center" vertical="center" shrinkToFit="1"/>
    </xf>
    <xf numFmtId="0" fontId="229" fillId="0" borderId="162" xfId="8472" applyFont="1" applyBorder="1">
      <alignment vertical="center"/>
    </xf>
    <xf numFmtId="186" fontId="229" fillId="0" borderId="119" xfId="8472" applyNumberFormat="1" applyFont="1" applyBorder="1" applyAlignment="1">
      <alignment horizontal="center" vertical="center" shrinkToFit="1"/>
    </xf>
    <xf numFmtId="0" fontId="230" fillId="0" borderId="162" xfId="8472" applyFont="1" applyBorder="1">
      <alignment vertical="center"/>
    </xf>
    <xf numFmtId="0" fontId="230" fillId="0" borderId="14" xfId="8472" applyFont="1" applyBorder="1" applyAlignment="1">
      <alignment horizontal="left" vertical="center"/>
    </xf>
    <xf numFmtId="0" fontId="229" fillId="0" borderId="98" xfId="8472" applyFont="1" applyBorder="1">
      <alignment vertical="center"/>
    </xf>
    <xf numFmtId="0" fontId="230" fillId="0" borderId="141" xfId="8472" applyFont="1" applyBorder="1">
      <alignment vertical="center"/>
    </xf>
    <xf numFmtId="0" fontId="230" fillId="0" borderId="12" xfId="8472" applyFont="1" applyBorder="1" applyAlignment="1">
      <alignment horizontal="center" vertical="center" shrinkToFit="1"/>
    </xf>
    <xf numFmtId="186" fontId="229" fillId="0" borderId="12" xfId="8472" applyNumberFormat="1" applyFont="1" applyBorder="1" applyAlignment="1">
      <alignment horizontal="right" vertical="center" shrinkToFit="1"/>
    </xf>
    <xf numFmtId="186" fontId="230" fillId="0" borderId="117" xfId="8472" applyNumberFormat="1" applyFont="1" applyBorder="1" applyAlignment="1">
      <alignment horizontal="center" vertical="center" shrinkToFit="1"/>
    </xf>
    <xf numFmtId="186" fontId="230" fillId="0" borderId="72" xfId="8472" applyNumberFormat="1" applyFont="1" applyBorder="1" applyAlignment="1">
      <alignment horizontal="center" vertical="center" shrinkToFit="1"/>
    </xf>
    <xf numFmtId="0" fontId="215" fillId="0" borderId="0" xfId="8496" applyFont="1">
      <alignment vertical="center"/>
    </xf>
    <xf numFmtId="0" fontId="209" fillId="0" borderId="0" xfId="8472" applyFont="1">
      <alignment vertical="center"/>
    </xf>
    <xf numFmtId="0" fontId="210" fillId="0" borderId="0" xfId="8472" applyFont="1">
      <alignment vertical="center"/>
    </xf>
    <xf numFmtId="0" fontId="302" fillId="0" borderId="0" xfId="8472" applyFont="1">
      <alignment vertical="center"/>
    </xf>
    <xf numFmtId="0" fontId="210" fillId="0" borderId="0" xfId="8472" applyFont="1" applyAlignment="1">
      <alignment horizontal="center" vertical="center"/>
    </xf>
    <xf numFmtId="0" fontId="303" fillId="0" borderId="0" xfId="8472" applyFont="1" applyAlignment="1">
      <alignment horizontal="center" vertical="center"/>
    </xf>
    <xf numFmtId="0" fontId="304" fillId="0" borderId="0" xfId="8472" applyFont="1" applyAlignment="1">
      <alignment horizontal="center" vertical="center"/>
    </xf>
    <xf numFmtId="349" fontId="211" fillId="0" borderId="0" xfId="8472" applyNumberFormat="1" applyFont="1" applyAlignment="1">
      <alignment horizontal="left" vertical="center"/>
    </xf>
    <xf numFmtId="240" fontId="213" fillId="0" borderId="3" xfId="8473" applyNumberFormat="1" applyFont="1" applyBorder="1" applyAlignment="1" applyProtection="1">
      <alignment horizontal="right" vertical="center"/>
      <protection locked="0"/>
    </xf>
    <xf numFmtId="0" fontId="213" fillId="0" borderId="40" xfId="8474" applyFont="1" applyBorder="1" applyAlignment="1">
      <alignment vertical="center"/>
    </xf>
    <xf numFmtId="0" fontId="213" fillId="0" borderId="40" xfId="8474" applyFont="1" applyBorder="1" applyAlignment="1">
      <alignment vertical="center" shrinkToFit="1"/>
    </xf>
    <xf numFmtId="0" fontId="214" fillId="0" borderId="40" xfId="8475" applyFont="1" applyBorder="1"/>
    <xf numFmtId="349" fontId="213" fillId="0" borderId="40" xfId="8472" applyNumberFormat="1" applyFont="1" applyBorder="1" applyAlignment="1">
      <alignment horizontal="center" vertical="center"/>
    </xf>
    <xf numFmtId="3" fontId="213" fillId="0" borderId="40" xfId="8472" applyNumberFormat="1" applyFont="1" applyBorder="1" applyAlignment="1">
      <alignment horizontal="right" vertical="center"/>
    </xf>
    <xf numFmtId="49" fontId="213" fillId="0" borderId="40" xfId="8472" applyNumberFormat="1" applyFont="1" applyBorder="1" applyAlignment="1">
      <alignment horizontal="left" vertical="center"/>
    </xf>
    <xf numFmtId="0" fontId="303" fillId="0" borderId="44" xfId="8472" applyFont="1" applyBorder="1" applyAlignment="1">
      <alignment horizontal="center" vertical="center"/>
    </xf>
    <xf numFmtId="0" fontId="304" fillId="0" borderId="37" xfId="8472" applyFont="1" applyBorder="1" applyAlignment="1">
      <alignment horizontal="center" vertical="center"/>
    </xf>
    <xf numFmtId="240" fontId="213" fillId="0" borderId="37" xfId="8473" applyNumberFormat="1" applyFont="1" applyBorder="1" applyAlignment="1" applyProtection="1">
      <alignment vertical="center"/>
      <protection locked="0"/>
    </xf>
    <xf numFmtId="240" fontId="213" fillId="0" borderId="37" xfId="8473" applyNumberFormat="1" applyFont="1" applyBorder="1" applyAlignment="1" applyProtection="1">
      <alignment horizontal="left" vertical="center"/>
      <protection locked="0"/>
    </xf>
    <xf numFmtId="240" fontId="213" fillId="0" borderId="0" xfId="8473" applyNumberFormat="1" applyFont="1" applyAlignment="1" applyProtection="1">
      <alignment horizontal="left" vertical="center"/>
      <protection locked="0"/>
    </xf>
    <xf numFmtId="240" fontId="213" fillId="0" borderId="41" xfId="8473" applyNumberFormat="1" applyFont="1" applyBorder="1" applyAlignment="1" applyProtection="1">
      <alignment horizontal="left" vertical="center"/>
      <protection locked="0"/>
    </xf>
    <xf numFmtId="240" fontId="213" fillId="0" borderId="128" xfId="8473" applyNumberFormat="1" applyFont="1" applyBorder="1" applyAlignment="1" applyProtection="1">
      <alignment horizontal="left" vertical="center"/>
      <protection locked="0"/>
    </xf>
    <xf numFmtId="241" fontId="213" fillId="0" borderId="35" xfId="8475" applyNumberFormat="1" applyFont="1" applyBorder="1" applyAlignment="1">
      <alignment horizontal="right" vertical="center"/>
    </xf>
    <xf numFmtId="3" fontId="213" fillId="0" borderId="35" xfId="8473" applyNumberFormat="1" applyFont="1" applyBorder="1" applyAlignment="1" applyProtection="1">
      <alignment horizontal="left" vertical="center"/>
      <protection locked="0"/>
    </xf>
    <xf numFmtId="0" fontId="213" fillId="0" borderId="35" xfId="8475" applyFont="1" applyBorder="1"/>
    <xf numFmtId="0" fontId="214" fillId="0" borderId="35" xfId="8475" applyFont="1" applyBorder="1"/>
    <xf numFmtId="349" fontId="213" fillId="0" borderId="35" xfId="8472" applyNumberFormat="1" applyFont="1" applyBorder="1" applyAlignment="1">
      <alignment horizontal="center" vertical="center"/>
    </xf>
    <xf numFmtId="3" fontId="213" fillId="0" borderId="35" xfId="8472" applyNumberFormat="1" applyFont="1" applyBorder="1" applyAlignment="1">
      <alignment horizontal="right" vertical="center"/>
    </xf>
    <xf numFmtId="49" fontId="213" fillId="0" borderId="35" xfId="8472" applyNumberFormat="1" applyFont="1" applyBorder="1" applyAlignment="1">
      <alignment horizontal="left" vertical="center"/>
    </xf>
    <xf numFmtId="0" fontId="303" fillId="0" borderId="2" xfId="8472" applyFont="1" applyBorder="1" applyAlignment="1">
      <alignment horizontal="center" vertical="center"/>
    </xf>
    <xf numFmtId="350" fontId="209" fillId="0" borderId="0" xfId="8476" applyNumberFormat="1" applyFont="1" applyAlignment="1">
      <alignment horizontal="left" vertical="center" indent="1"/>
    </xf>
    <xf numFmtId="0" fontId="213" fillId="0" borderId="0" xfId="8476" applyFont="1" applyAlignment="1">
      <alignment vertical="center"/>
    </xf>
    <xf numFmtId="0" fontId="209" fillId="0" borderId="0" xfId="8472" applyFont="1" applyAlignment="1">
      <alignment horizontal="center" vertical="center"/>
    </xf>
    <xf numFmtId="349" fontId="213" fillId="0" borderId="0" xfId="8472" applyNumberFormat="1" applyFont="1" applyAlignment="1">
      <alignment horizontal="center" vertical="center"/>
    </xf>
    <xf numFmtId="3" fontId="213" fillId="0" borderId="0" xfId="8472" applyNumberFormat="1" applyFont="1" applyAlignment="1">
      <alignment horizontal="right" vertical="center"/>
    </xf>
    <xf numFmtId="49" fontId="213" fillId="0" borderId="0" xfId="8472" applyNumberFormat="1" applyFont="1" applyAlignment="1">
      <alignment horizontal="left" vertical="center"/>
    </xf>
    <xf numFmtId="182" fontId="213" fillId="0" borderId="0" xfId="8472" applyNumberFormat="1" applyFont="1" applyAlignment="1">
      <alignment horizontal="right" vertical="center"/>
    </xf>
    <xf numFmtId="0" fontId="213" fillId="0" borderId="0" xfId="8472" applyFont="1">
      <alignment vertical="center"/>
    </xf>
    <xf numFmtId="0" fontId="213" fillId="0" borderId="0" xfId="8472" applyFont="1" applyAlignment="1">
      <alignment horizontal="center" vertical="center"/>
    </xf>
    <xf numFmtId="349" fontId="218" fillId="0" borderId="0" xfId="8472" applyNumberFormat="1" applyFont="1" applyAlignment="1">
      <alignment horizontal="left" vertical="center"/>
    </xf>
    <xf numFmtId="49" fontId="214" fillId="0" borderId="0" xfId="8472" applyNumberFormat="1" applyFont="1">
      <alignment vertical="center"/>
    </xf>
    <xf numFmtId="49" fontId="214" fillId="0" borderId="0" xfId="8472" applyNumberFormat="1" applyFont="1" applyAlignment="1">
      <alignment vertical="center" shrinkToFit="1"/>
    </xf>
    <xf numFmtId="186" fontId="214" fillId="0" borderId="0" xfId="8472" applyNumberFormat="1" applyFont="1" applyAlignment="1">
      <alignment horizontal="center" vertical="center"/>
    </xf>
    <xf numFmtId="186" fontId="214" fillId="0" borderId="0" xfId="8472" applyNumberFormat="1" applyFont="1">
      <alignment vertical="center"/>
    </xf>
    <xf numFmtId="186" fontId="213" fillId="0" borderId="0" xfId="8472" applyNumberFormat="1" applyFont="1">
      <alignment vertical="center"/>
    </xf>
    <xf numFmtId="0" fontId="213" fillId="0" borderId="0" xfId="8472" applyFont="1" applyAlignment="1"/>
    <xf numFmtId="349" fontId="218" fillId="0" borderId="1" xfId="8472" applyNumberFormat="1" applyFont="1" applyBorder="1" applyAlignment="1">
      <alignment horizontal="center" vertical="center"/>
    </xf>
    <xf numFmtId="0" fontId="214" fillId="0" borderId="1" xfId="8472" applyFont="1" applyBorder="1" applyAlignment="1">
      <alignment horizontal="center" vertical="center"/>
    </xf>
    <xf numFmtId="0" fontId="306" fillId="0" borderId="0" xfId="8497" applyFont="1" applyAlignment="1">
      <alignment horizontal="center" vertical="center"/>
    </xf>
    <xf numFmtId="186" fontId="214" fillId="0" borderId="0" xfId="8472" applyNumberFormat="1" applyFont="1" applyAlignment="1">
      <alignment horizontal="right" vertical="center"/>
    </xf>
    <xf numFmtId="0" fontId="306" fillId="0" borderId="1" xfId="8497" quotePrefix="1" applyFont="1" applyBorder="1" applyAlignment="1">
      <alignment horizontal="center" vertical="center" wrapText="1"/>
    </xf>
    <xf numFmtId="240" fontId="213" fillId="0" borderId="40" xfId="8473" applyNumberFormat="1" applyFont="1" applyBorder="1" applyAlignment="1" applyProtection="1">
      <alignment horizontal="left" vertical="center"/>
      <protection locked="0"/>
    </xf>
    <xf numFmtId="186" fontId="214" fillId="0" borderId="0" xfId="8472" applyNumberFormat="1" applyFont="1" applyAlignment="1">
      <alignment horizontal="center" vertical="center" shrinkToFit="1"/>
    </xf>
    <xf numFmtId="0" fontId="294" fillId="0" borderId="1" xfId="8472" applyFont="1" applyBorder="1" applyAlignment="1">
      <alignment horizontal="center" vertical="center"/>
    </xf>
    <xf numFmtId="41" fontId="209" fillId="0" borderId="0" xfId="8498" applyFont="1">
      <alignment vertical="center"/>
    </xf>
    <xf numFmtId="0" fontId="209" fillId="0" borderId="1" xfId="8472" applyFont="1" applyBorder="1" applyAlignment="1">
      <alignment horizontal="center" vertical="center"/>
    </xf>
    <xf numFmtId="41" fontId="209" fillId="0" borderId="1" xfId="8491" applyFont="1" applyBorder="1" applyAlignment="1">
      <alignment vertical="center"/>
    </xf>
    <xf numFmtId="41" fontId="209" fillId="0" borderId="1" xfId="8472" applyNumberFormat="1" applyFont="1" applyBorder="1">
      <alignment vertical="center"/>
    </xf>
    <xf numFmtId="0" fontId="209" fillId="0" borderId="1" xfId="8472" applyFont="1" applyBorder="1">
      <alignment vertical="center"/>
    </xf>
    <xf numFmtId="187" fontId="209" fillId="0" borderId="1" xfId="8472" applyNumberFormat="1" applyFont="1" applyBorder="1">
      <alignment vertical="center"/>
    </xf>
    <xf numFmtId="41" fontId="294" fillId="0" borderId="1" xfId="8472" applyNumberFormat="1" applyFont="1" applyBorder="1">
      <alignment vertical="center"/>
    </xf>
    <xf numFmtId="41" fontId="209" fillId="0" borderId="0" xfId="8491" applyFont="1" applyAlignment="1">
      <alignment vertical="center"/>
    </xf>
    <xf numFmtId="41" fontId="209" fillId="0" borderId="0" xfId="8472" applyNumberFormat="1" applyFont="1">
      <alignment vertical="center"/>
    </xf>
    <xf numFmtId="0" fontId="288" fillId="0" borderId="0" xfId="8469" applyFont="1" applyAlignment="1">
      <alignment horizontal="center" vertical="center"/>
    </xf>
    <xf numFmtId="1" fontId="209" fillId="0" borderId="0" xfId="8472" applyNumberFormat="1" applyFont="1" applyAlignment="1">
      <alignment horizontal="center" vertical="center"/>
    </xf>
    <xf numFmtId="177" fontId="288" fillId="0" borderId="0" xfId="8499" applyNumberFormat="1" applyFont="1" applyAlignment="1">
      <alignment horizontal="center" vertical="center"/>
    </xf>
    <xf numFmtId="49" fontId="210" fillId="0" borderId="0" xfId="8472" applyNumberFormat="1" applyFont="1" applyAlignment="1">
      <alignment horizontal="right" vertical="center"/>
    </xf>
    <xf numFmtId="187" fontId="209" fillId="0" borderId="0" xfId="8472" applyNumberFormat="1" applyFont="1">
      <alignment vertical="center"/>
    </xf>
    <xf numFmtId="0" fontId="307" fillId="0" borderId="0" xfId="8469" applyFont="1" applyAlignment="1">
      <alignment vertical="center"/>
    </xf>
    <xf numFmtId="0" fontId="188" fillId="0" borderId="0" xfId="8469" applyAlignment="1">
      <alignment vertical="center"/>
    </xf>
    <xf numFmtId="0" fontId="240" fillId="44" borderId="3" xfId="8469" applyFont="1" applyFill="1" applyBorder="1" applyAlignment="1">
      <alignment horizontal="center" vertical="center"/>
    </xf>
    <xf numFmtId="0" fontId="240" fillId="44" borderId="30" xfId="8469" applyFont="1" applyFill="1" applyBorder="1" applyAlignment="1">
      <alignment horizontal="center" vertical="center"/>
    </xf>
    <xf numFmtId="0" fontId="240" fillId="44" borderId="40" xfId="8469" applyFont="1" applyFill="1" applyBorder="1" applyAlignment="1">
      <alignment horizontal="center" vertical="center"/>
    </xf>
    <xf numFmtId="0" fontId="240" fillId="44" borderId="128" xfId="8469" applyFont="1" applyFill="1" applyBorder="1" applyAlignment="1">
      <alignment horizontal="center" vertical="center"/>
    </xf>
    <xf numFmtId="0" fontId="240" fillId="44" borderId="35" xfId="8469" applyFont="1" applyFill="1" applyBorder="1" applyAlignment="1">
      <alignment horizontal="center" vertical="center"/>
    </xf>
    <xf numFmtId="0" fontId="240" fillId="44" borderId="29" xfId="8469" applyFont="1" applyFill="1" applyBorder="1" applyAlignment="1">
      <alignment horizontal="center" vertical="center"/>
    </xf>
    <xf numFmtId="0" fontId="188" fillId="39" borderId="1" xfId="8469" applyFill="1" applyBorder="1" applyAlignment="1">
      <alignment horizontal="center" vertical="center"/>
    </xf>
    <xf numFmtId="242" fontId="188" fillId="39" borderId="1" xfId="8469" applyNumberFormat="1" applyFill="1" applyBorder="1" applyAlignment="1">
      <alignment horizontal="center" vertical="center"/>
    </xf>
    <xf numFmtId="0" fontId="188" fillId="39" borderId="1" xfId="8469" applyFill="1" applyBorder="1" applyAlignment="1">
      <alignment vertical="center"/>
    </xf>
    <xf numFmtId="0" fontId="188" fillId="0" borderId="1" xfId="8469" applyBorder="1" applyAlignment="1">
      <alignment horizontal="center" vertical="center"/>
    </xf>
    <xf numFmtId="242" fontId="188" fillId="0" borderId="1" xfId="8469" applyNumberFormat="1" applyBorder="1" applyAlignment="1">
      <alignment horizontal="center" vertical="center"/>
    </xf>
    <xf numFmtId="0" fontId="188" fillId="0" borderId="1" xfId="8469" applyBorder="1" applyAlignment="1">
      <alignment vertical="center"/>
    </xf>
    <xf numFmtId="0" fontId="240" fillId="0" borderId="1" xfId="8469" applyFont="1" applyBorder="1" applyAlignment="1">
      <alignment vertical="center"/>
    </xf>
    <xf numFmtId="0" fontId="309" fillId="0" borderId="8" xfId="8478" applyFont="1" applyBorder="1" applyAlignment="1">
      <alignment horizontal="center" vertical="center" wrapText="1"/>
    </xf>
    <xf numFmtId="0" fontId="309" fillId="0" borderId="39" xfId="8478" applyFont="1" applyBorder="1" applyAlignment="1">
      <alignment horizontal="center" vertical="center" wrapText="1"/>
    </xf>
    <xf numFmtId="0" fontId="310" fillId="0" borderId="89" xfId="8478" applyFont="1" applyBorder="1" applyAlignment="1">
      <alignment horizontal="justify" vertical="center" wrapText="1"/>
    </xf>
    <xf numFmtId="0" fontId="213" fillId="0" borderId="8" xfId="8478" applyFont="1" applyBorder="1">
      <alignment vertical="center"/>
    </xf>
    <xf numFmtId="0" fontId="188" fillId="0" borderId="8" xfId="8478" applyBorder="1">
      <alignment vertical="center"/>
    </xf>
    <xf numFmtId="0" fontId="188" fillId="0" borderId="39" xfId="8478" applyBorder="1">
      <alignment vertical="center"/>
    </xf>
    <xf numFmtId="0" fontId="188" fillId="0" borderId="0" xfId="8478" applyAlignment="1">
      <alignment horizontal="center" vertical="center"/>
    </xf>
    <xf numFmtId="0" fontId="188" fillId="0" borderId="0" xfId="8478">
      <alignment vertical="center"/>
    </xf>
    <xf numFmtId="0" fontId="309" fillId="0" borderId="182" xfId="8478" applyFont="1" applyBorder="1" applyAlignment="1">
      <alignment horizontal="center" vertical="center" wrapText="1"/>
    </xf>
    <xf numFmtId="0" fontId="309" fillId="0" borderId="150" xfId="8478" applyFont="1" applyBorder="1" applyAlignment="1">
      <alignment horizontal="center" vertical="center" wrapText="1"/>
    </xf>
    <xf numFmtId="0" fontId="311" fillId="0" borderId="183" xfId="8478" applyFont="1" applyBorder="1" applyAlignment="1">
      <alignment horizontal="center" vertical="center" wrapText="1"/>
    </xf>
    <xf numFmtId="0" fontId="309" fillId="0" borderId="184" xfId="8478" applyFont="1" applyBorder="1" applyAlignment="1">
      <alignment horizontal="center" vertical="center" wrapText="1"/>
    </xf>
    <xf numFmtId="0" fontId="309" fillId="0" borderId="185" xfId="8478" applyFont="1" applyBorder="1" applyAlignment="1">
      <alignment horizontal="center" vertical="center" wrapText="1"/>
    </xf>
    <xf numFmtId="0" fontId="309" fillId="0" borderId="1" xfId="8478" applyFont="1" applyBorder="1" applyAlignment="1">
      <alignment horizontal="center" vertical="center" wrapText="1"/>
    </xf>
    <xf numFmtId="0" fontId="311" fillId="0" borderId="1" xfId="8478" applyFont="1" applyBorder="1" applyAlignment="1">
      <alignment horizontal="center" vertical="center" wrapText="1"/>
    </xf>
    <xf numFmtId="0" fontId="309" fillId="0" borderId="186" xfId="8478" applyFont="1" applyBorder="1" applyAlignment="1">
      <alignment horizontal="justify" vertical="center" wrapText="1"/>
    </xf>
    <xf numFmtId="0" fontId="309" fillId="0" borderId="152" xfId="8478" applyFont="1" applyBorder="1" applyAlignment="1">
      <alignment horizontal="justify" vertical="center" wrapText="1"/>
    </xf>
    <xf numFmtId="0" fontId="309" fillId="0" borderId="152" xfId="8478" applyFont="1" applyBorder="1" applyAlignment="1">
      <alignment horizontal="center" vertical="center" wrapText="1"/>
    </xf>
    <xf numFmtId="184" fontId="309" fillId="37" borderId="187" xfId="8478" applyNumberFormat="1" applyFont="1" applyFill="1" applyBorder="1" applyAlignment="1">
      <alignment horizontal="center" vertical="center" wrapText="1"/>
    </xf>
    <xf numFmtId="0" fontId="309" fillId="0" borderId="187" xfId="8478" applyFont="1" applyBorder="1" applyAlignment="1">
      <alignment horizontal="justify" vertical="center" wrapText="1"/>
    </xf>
    <xf numFmtId="178" fontId="213" fillId="37" borderId="1" xfId="8478" applyNumberFormat="1" applyFont="1" applyFill="1" applyBorder="1" applyAlignment="1">
      <alignment horizontal="center" vertical="center"/>
    </xf>
    <xf numFmtId="178" fontId="213" fillId="41" borderId="1" xfId="8478" applyNumberFormat="1" applyFont="1" applyFill="1" applyBorder="1" applyAlignment="1">
      <alignment horizontal="center" vertical="center"/>
    </xf>
    <xf numFmtId="0" fontId="188" fillId="0" borderId="39" xfId="8478" applyBorder="1" applyAlignment="1">
      <alignment horizontal="center" vertical="center"/>
    </xf>
    <xf numFmtId="178" fontId="203" fillId="41" borderId="1" xfId="8478" applyNumberFormat="1" applyFont="1" applyFill="1" applyBorder="1" applyAlignment="1">
      <alignment horizontal="center" vertical="center"/>
    </xf>
    <xf numFmtId="0" fontId="309" fillId="0" borderId="188" xfId="8478" applyFont="1" applyBorder="1" applyAlignment="1">
      <alignment horizontal="justify" vertical="center" wrapText="1"/>
    </xf>
    <xf numFmtId="0" fontId="309" fillId="0" borderId="189" xfId="8478" applyFont="1" applyBorder="1" applyAlignment="1">
      <alignment horizontal="justify" vertical="center" wrapText="1"/>
    </xf>
    <xf numFmtId="0" fontId="309" fillId="0" borderId="189" xfId="8478" applyFont="1" applyBorder="1" applyAlignment="1">
      <alignment horizontal="center" vertical="center" wrapText="1"/>
    </xf>
    <xf numFmtId="184" fontId="309" fillId="37" borderId="190" xfId="8478" applyNumberFormat="1" applyFont="1" applyFill="1" applyBorder="1" applyAlignment="1">
      <alignment horizontal="center" vertical="center" wrapText="1"/>
    </xf>
    <xf numFmtId="0" fontId="309" fillId="0" borderId="191" xfId="8478" applyFont="1" applyBorder="1" applyAlignment="1">
      <alignment horizontal="justify" vertical="center" wrapText="1"/>
    </xf>
    <xf numFmtId="0" fontId="309" fillId="0" borderId="192" xfId="8478" applyFont="1" applyBorder="1" applyAlignment="1">
      <alignment horizontal="justify" vertical="center" wrapText="1"/>
    </xf>
    <xf numFmtId="0" fontId="213" fillId="0" borderId="193" xfId="8478" applyFont="1" applyBorder="1" applyAlignment="1">
      <alignment horizontal="center" vertical="center"/>
    </xf>
    <xf numFmtId="178" fontId="213" fillId="37" borderId="193" xfId="8478" applyNumberFormat="1" applyFont="1" applyFill="1" applyBorder="1" applyAlignment="1">
      <alignment horizontal="center" vertical="center"/>
    </xf>
    <xf numFmtId="178" fontId="213" fillId="41" borderId="194" xfId="8478" applyNumberFormat="1" applyFont="1" applyFill="1" applyBorder="1" applyAlignment="1">
      <alignment horizontal="center" vertical="center"/>
    </xf>
    <xf numFmtId="0" fontId="309" fillId="0" borderId="182" xfId="8478" applyFont="1" applyBorder="1" applyAlignment="1">
      <alignment horizontal="justify" vertical="center" wrapText="1"/>
    </xf>
    <xf numFmtId="0" fontId="213" fillId="0" borderId="182" xfId="8478" applyFont="1" applyBorder="1">
      <alignment vertical="center"/>
    </xf>
    <xf numFmtId="0" fontId="309" fillId="0" borderId="190" xfId="8478" applyFont="1" applyBorder="1" applyAlignment="1">
      <alignment horizontal="justify" vertical="center" wrapText="1"/>
    </xf>
    <xf numFmtId="0" fontId="213" fillId="0" borderId="195" xfId="8478" applyFont="1" applyBorder="1" applyAlignment="1">
      <alignment horizontal="center" vertical="center"/>
    </xf>
    <xf numFmtId="178" fontId="213" fillId="37" borderId="195" xfId="8478" applyNumberFormat="1" applyFont="1" applyFill="1" applyBorder="1" applyAlignment="1">
      <alignment horizontal="center" vertical="center"/>
    </xf>
    <xf numFmtId="0" fontId="188" fillId="41" borderId="196" xfId="8478" applyFill="1" applyBorder="1">
      <alignment vertical="center"/>
    </xf>
    <xf numFmtId="0" fontId="188" fillId="41" borderId="1" xfId="8478" applyFill="1" applyBorder="1" applyAlignment="1">
      <alignment horizontal="center" vertical="center"/>
    </xf>
    <xf numFmtId="178" fontId="213" fillId="41" borderId="196" xfId="8478" applyNumberFormat="1" applyFont="1" applyFill="1" applyBorder="1" applyAlignment="1">
      <alignment horizontal="center" vertical="center"/>
    </xf>
    <xf numFmtId="0" fontId="210" fillId="0" borderId="182" xfId="8478" applyFont="1" applyBorder="1" applyAlignment="1">
      <alignment vertical="center" wrapText="1"/>
    </xf>
    <xf numFmtId="0" fontId="309" fillId="0" borderId="197" xfId="8478" applyFont="1" applyBorder="1" applyAlignment="1">
      <alignment horizontal="justify" vertical="center" wrapText="1"/>
    </xf>
    <xf numFmtId="0" fontId="309" fillId="0" borderId="197" xfId="8478" applyFont="1" applyBorder="1" applyAlignment="1">
      <alignment horizontal="center" vertical="center" wrapText="1"/>
    </xf>
    <xf numFmtId="184" fontId="309" fillId="37" borderId="198" xfId="8478" applyNumberFormat="1" applyFont="1" applyFill="1" applyBorder="1" applyAlignment="1">
      <alignment horizontal="center" vertical="center" wrapText="1"/>
    </xf>
    <xf numFmtId="0" fontId="213" fillId="0" borderId="199" xfId="8478" applyFont="1" applyBorder="1">
      <alignment vertical="center"/>
    </xf>
    <xf numFmtId="0" fontId="309" fillId="0" borderId="200" xfId="8478" applyFont="1" applyBorder="1" applyAlignment="1">
      <alignment horizontal="justify" vertical="center" wrapText="1"/>
    </xf>
    <xf numFmtId="0" fontId="213" fillId="0" borderId="201" xfId="8478" applyFont="1" applyBorder="1" applyAlignment="1">
      <alignment horizontal="center" vertical="center"/>
    </xf>
    <xf numFmtId="178" fontId="213" fillId="41" borderId="29" xfId="8478" applyNumberFormat="1" applyFont="1" applyFill="1" applyBorder="1" applyAlignment="1">
      <alignment horizontal="center" vertical="center"/>
    </xf>
    <xf numFmtId="0" fontId="210" fillId="0" borderId="202" xfId="8478" applyFont="1" applyBorder="1" applyAlignment="1">
      <alignment vertical="center" wrapText="1"/>
    </xf>
    <xf numFmtId="0" fontId="309" fillId="0" borderId="203" xfId="8478" applyFont="1" applyBorder="1" applyAlignment="1">
      <alignment horizontal="justify" vertical="center" wrapText="1"/>
    </xf>
    <xf numFmtId="0" fontId="309" fillId="0" borderId="203" xfId="8478" applyFont="1" applyBorder="1" applyAlignment="1">
      <alignment horizontal="center" vertical="center" wrapText="1"/>
    </xf>
    <xf numFmtId="184" fontId="309" fillId="37" borderId="200" xfId="8478" applyNumberFormat="1" applyFont="1" applyFill="1" applyBorder="1" applyAlignment="1">
      <alignment horizontal="center" vertical="center" wrapText="1"/>
    </xf>
    <xf numFmtId="0" fontId="188" fillId="41" borderId="194" xfId="8478" applyFill="1" applyBorder="1">
      <alignment vertical="center"/>
    </xf>
    <xf numFmtId="0" fontId="309" fillId="0" borderId="204" xfId="8478" applyFont="1" applyBorder="1" applyAlignment="1">
      <alignment horizontal="justify" vertical="center" wrapText="1"/>
    </xf>
    <xf numFmtId="0" fontId="309" fillId="0" borderId="204" xfId="8478" applyFont="1" applyBorder="1" applyAlignment="1">
      <alignment horizontal="center" vertical="center" wrapText="1"/>
    </xf>
    <xf numFmtId="184" fontId="309" fillId="37" borderId="192" xfId="8478" applyNumberFormat="1" applyFont="1" applyFill="1" applyBorder="1" applyAlignment="1">
      <alignment horizontal="center" vertical="center" wrapText="1"/>
    </xf>
    <xf numFmtId="0" fontId="209" fillId="0" borderId="190" xfId="8478" applyFont="1" applyBorder="1" applyAlignment="1">
      <alignment horizontal="justify" vertical="center" wrapText="1"/>
    </xf>
    <xf numFmtId="0" fontId="209" fillId="0" borderId="195" xfId="8478" applyFont="1" applyBorder="1" applyAlignment="1">
      <alignment horizontal="center" vertical="center"/>
    </xf>
    <xf numFmtId="178" fontId="209" fillId="37" borderId="195" xfId="8478" applyNumberFormat="1" applyFont="1" applyFill="1" applyBorder="1" applyAlignment="1">
      <alignment horizontal="center" vertical="center"/>
    </xf>
    <xf numFmtId="178" fontId="209" fillId="41" borderId="196" xfId="8478" applyNumberFormat="1" applyFont="1" applyFill="1" applyBorder="1" applyAlignment="1">
      <alignment horizontal="center" vertical="center"/>
    </xf>
    <xf numFmtId="0" fontId="0" fillId="0" borderId="39" xfId="8478" applyFont="1" applyBorder="1" applyAlignment="1">
      <alignment horizontal="left" vertical="center"/>
    </xf>
    <xf numFmtId="0" fontId="309" fillId="0" borderId="199" xfId="8478" applyFont="1" applyBorder="1" applyAlignment="1">
      <alignment horizontal="justify" vertical="center" wrapText="1"/>
    </xf>
    <xf numFmtId="0" fontId="309" fillId="0" borderId="150" xfId="8478" applyFont="1" applyBorder="1" applyAlignment="1">
      <alignment horizontal="justify" vertical="center" wrapText="1"/>
    </xf>
    <xf numFmtId="184" fontId="309" fillId="37" borderId="36" xfId="8478" applyNumberFormat="1" applyFont="1" applyFill="1" applyBorder="1" applyAlignment="1">
      <alignment horizontal="center" vertical="center" wrapText="1"/>
    </xf>
    <xf numFmtId="0" fontId="210" fillId="0" borderId="199" xfId="8478" applyFont="1" applyBorder="1" applyAlignment="1">
      <alignment vertical="center" wrapText="1"/>
    </xf>
    <xf numFmtId="0" fontId="213" fillId="0" borderId="205" xfId="8478" applyFont="1" applyBorder="1">
      <alignment vertical="center"/>
    </xf>
    <xf numFmtId="0" fontId="309" fillId="0" borderId="206" xfId="8478" applyFont="1" applyBorder="1" applyAlignment="1">
      <alignment horizontal="justify" vertical="center" wrapText="1"/>
    </xf>
    <xf numFmtId="178" fontId="213" fillId="37" borderId="201" xfId="8478" applyNumberFormat="1" applyFont="1" applyFill="1" applyBorder="1" applyAlignment="1">
      <alignment horizontal="center" vertical="center"/>
    </xf>
    <xf numFmtId="178" fontId="213" fillId="41" borderId="207" xfId="8478" applyNumberFormat="1" applyFont="1" applyFill="1" applyBorder="1" applyAlignment="1">
      <alignment horizontal="center" vertical="center"/>
    </xf>
    <xf numFmtId="0" fontId="309" fillId="0" borderId="208" xfId="8478" applyFont="1" applyBorder="1" applyAlignment="1">
      <alignment horizontal="justify" vertical="center" wrapText="1"/>
    </xf>
    <xf numFmtId="0" fontId="309" fillId="0" borderId="209" xfId="8478" applyFont="1" applyBorder="1" applyAlignment="1">
      <alignment horizontal="justify" vertical="center" wrapText="1"/>
    </xf>
    <xf numFmtId="0" fontId="309" fillId="0" borderId="209" xfId="8478" applyFont="1" applyBorder="1" applyAlignment="1">
      <alignment horizontal="center" vertical="center" wrapText="1"/>
    </xf>
    <xf numFmtId="184" fontId="309" fillId="37" borderId="210" xfId="8478" applyNumberFormat="1" applyFont="1" applyFill="1" applyBorder="1" applyAlignment="1">
      <alignment horizontal="center" vertical="center" wrapText="1"/>
    </xf>
    <xf numFmtId="0" fontId="309" fillId="0" borderId="211" xfId="8478" applyFont="1" applyBorder="1" applyAlignment="1">
      <alignment horizontal="justify" vertical="center" wrapText="1"/>
    </xf>
    <xf numFmtId="0" fontId="213" fillId="0" borderId="212" xfId="8478" applyFont="1" applyBorder="1" applyAlignment="1">
      <alignment horizontal="center" vertical="center"/>
    </xf>
    <xf numFmtId="178" fontId="213" fillId="37" borderId="212" xfId="8478" applyNumberFormat="1" applyFont="1" applyFill="1" applyBorder="1" applyAlignment="1">
      <alignment horizontal="center" vertical="center"/>
    </xf>
    <xf numFmtId="178" fontId="213" fillId="41" borderId="213" xfId="8478" applyNumberFormat="1" applyFont="1" applyFill="1" applyBorder="1" applyAlignment="1">
      <alignment horizontal="center" vertical="center"/>
    </xf>
    <xf numFmtId="0" fontId="309" fillId="0" borderId="214" xfId="8478" applyFont="1" applyBorder="1" applyAlignment="1">
      <alignment horizontal="justify" vertical="center" wrapText="1"/>
    </xf>
    <xf numFmtId="0" fontId="309" fillId="0" borderId="214" xfId="8478" applyFont="1" applyBorder="1" applyAlignment="1">
      <alignment horizontal="center" vertical="center" wrapText="1"/>
    </xf>
    <xf numFmtId="184" fontId="309" fillId="37" borderId="211" xfId="8478" applyNumberFormat="1" applyFont="1" applyFill="1" applyBorder="1" applyAlignment="1">
      <alignment horizontal="center" vertical="center" wrapText="1"/>
    </xf>
    <xf numFmtId="0" fontId="213" fillId="0" borderId="215" xfId="8478" applyFont="1" applyBorder="1" applyAlignment="1">
      <alignment horizontal="center" vertical="center"/>
    </xf>
    <xf numFmtId="178" fontId="213" fillId="37" borderId="215" xfId="8478" applyNumberFormat="1" applyFont="1" applyFill="1" applyBorder="1" applyAlignment="1">
      <alignment horizontal="center" vertical="center"/>
    </xf>
    <xf numFmtId="0" fontId="213" fillId="0" borderId="33" xfId="8478" applyFont="1" applyBorder="1" applyAlignment="1">
      <alignment horizontal="center" vertical="center"/>
    </xf>
    <xf numFmtId="178" fontId="213" fillId="37" borderId="33" xfId="8478" applyNumberFormat="1" applyFont="1" applyFill="1" applyBorder="1" applyAlignment="1">
      <alignment horizontal="center" vertical="center"/>
    </xf>
    <xf numFmtId="178" fontId="213" fillId="41" borderId="33" xfId="8478" applyNumberFormat="1" applyFont="1" applyFill="1" applyBorder="1" applyAlignment="1">
      <alignment horizontal="center" vertical="center"/>
    </xf>
    <xf numFmtId="0" fontId="213" fillId="0" borderId="216" xfId="8478" applyFont="1" applyBorder="1" applyAlignment="1">
      <alignment horizontal="center" vertical="center"/>
    </xf>
    <xf numFmtId="178" fontId="213" fillId="37" borderId="216" xfId="8478" applyNumberFormat="1" applyFont="1" applyFill="1" applyBorder="1" applyAlignment="1">
      <alignment horizontal="center" vertical="center"/>
    </xf>
    <xf numFmtId="178" fontId="213" fillId="41" borderId="216" xfId="8478" applyNumberFormat="1" applyFont="1" applyFill="1" applyBorder="1" applyAlignment="1">
      <alignment horizontal="center" vertical="center"/>
    </xf>
    <xf numFmtId="0" fontId="309" fillId="0" borderId="217" xfId="8478" applyFont="1" applyBorder="1" applyAlignment="1">
      <alignment horizontal="justify" vertical="center" wrapText="1"/>
    </xf>
    <xf numFmtId="0" fontId="213" fillId="0" borderId="218" xfId="8478" applyFont="1" applyBorder="1">
      <alignment vertical="center"/>
    </xf>
    <xf numFmtId="0" fontId="213" fillId="0" borderId="219" xfId="8478" applyFont="1" applyBorder="1" applyAlignment="1">
      <alignment horizontal="center" vertical="center"/>
    </xf>
    <xf numFmtId="178" fontId="213" fillId="37" borderId="219" xfId="8478" applyNumberFormat="1" applyFont="1" applyFill="1" applyBorder="1" applyAlignment="1">
      <alignment horizontal="center" vertical="center"/>
    </xf>
    <xf numFmtId="178" fontId="213" fillId="41" borderId="219" xfId="8478" applyNumberFormat="1" applyFont="1" applyFill="1" applyBorder="1" applyAlignment="1">
      <alignment horizontal="center" vertical="center"/>
    </xf>
    <xf numFmtId="0" fontId="309" fillId="0" borderId="37" xfId="8478" applyFont="1" applyBorder="1" applyAlignment="1">
      <alignment horizontal="justify" vertical="center" wrapText="1"/>
    </xf>
    <xf numFmtId="0" fontId="213" fillId="0" borderId="0" xfId="8478" applyFont="1">
      <alignment vertical="center"/>
    </xf>
    <xf numFmtId="178" fontId="188" fillId="0" borderId="0" xfId="8478" applyNumberFormat="1" applyAlignment="1">
      <alignment horizontal="center" vertical="center"/>
    </xf>
    <xf numFmtId="0" fontId="188" fillId="0" borderId="41" xfId="8478" applyBorder="1">
      <alignment vertical="center"/>
    </xf>
    <xf numFmtId="0" fontId="309" fillId="0" borderId="220" xfId="8478" applyFont="1" applyBorder="1" applyAlignment="1">
      <alignment horizontal="justify" vertical="center" wrapText="1"/>
    </xf>
    <xf numFmtId="0" fontId="309" fillId="0" borderId="220" xfId="8478" applyFont="1" applyBorder="1" applyAlignment="1">
      <alignment horizontal="center" vertical="center" wrapText="1"/>
    </xf>
    <xf numFmtId="184" fontId="309" fillId="0" borderId="220" xfId="8478" applyNumberFormat="1" applyFont="1" applyBorder="1" applyAlignment="1">
      <alignment horizontal="center" vertical="center" wrapText="1"/>
    </xf>
    <xf numFmtId="0" fontId="309" fillId="0" borderId="221" xfId="8478" applyFont="1" applyBorder="1" applyAlignment="1">
      <alignment horizontal="center" vertical="center" wrapText="1"/>
    </xf>
    <xf numFmtId="184" fontId="309" fillId="0" borderId="221" xfId="8478" applyNumberFormat="1" applyFont="1" applyBorder="1" applyAlignment="1">
      <alignment horizontal="center" vertical="center" wrapText="1"/>
    </xf>
    <xf numFmtId="0" fontId="310" fillId="0" borderId="202" xfId="8478" applyFont="1" applyBorder="1" applyAlignment="1">
      <alignment horizontal="justify" vertical="center" wrapText="1"/>
    </xf>
    <xf numFmtId="0" fontId="213" fillId="0" borderId="204" xfId="8478" applyFont="1" applyBorder="1" applyAlignment="1">
      <alignment horizontal="center" vertical="center"/>
    </xf>
    <xf numFmtId="178" fontId="213" fillId="37" borderId="222" xfId="8478" applyNumberFormat="1" applyFont="1" applyFill="1" applyBorder="1" applyAlignment="1">
      <alignment horizontal="center" vertical="center"/>
    </xf>
    <xf numFmtId="0" fontId="188" fillId="0" borderId="1" xfId="8478" applyBorder="1" applyAlignment="1">
      <alignment horizontal="center" vertical="center"/>
    </xf>
    <xf numFmtId="0" fontId="213" fillId="0" borderId="189" xfId="8478" applyFont="1" applyBorder="1" applyAlignment="1">
      <alignment horizontal="center" vertical="center"/>
    </xf>
    <xf numFmtId="178" fontId="213" fillId="37" borderId="223" xfId="8478" applyNumberFormat="1" applyFont="1" applyFill="1" applyBorder="1" applyAlignment="1">
      <alignment horizontal="center" vertical="center"/>
    </xf>
    <xf numFmtId="178" fontId="213" fillId="41" borderId="224" xfId="8478" applyNumberFormat="1" applyFont="1" applyFill="1" applyBorder="1" applyAlignment="1">
      <alignment horizontal="center" vertical="center"/>
    </xf>
    <xf numFmtId="0" fontId="210" fillId="0" borderId="225" xfId="8478" applyFont="1" applyBorder="1" applyAlignment="1">
      <alignment vertical="center" wrapText="1"/>
    </xf>
    <xf numFmtId="0" fontId="213" fillId="0" borderId="203" xfId="8478" applyFont="1" applyBorder="1">
      <alignment vertical="center"/>
    </xf>
    <xf numFmtId="0" fontId="213" fillId="0" borderId="203" xfId="8478" applyFont="1" applyBorder="1" applyAlignment="1">
      <alignment horizontal="center" vertical="center"/>
    </xf>
    <xf numFmtId="178" fontId="213" fillId="37" borderId="226" xfId="8478" applyNumberFormat="1" applyFont="1" applyFill="1" applyBorder="1" applyAlignment="1">
      <alignment horizontal="center" vertical="center"/>
    </xf>
    <xf numFmtId="178" fontId="213" fillId="41" borderId="215" xfId="8478" applyNumberFormat="1" applyFont="1" applyFill="1" applyBorder="1" applyAlignment="1">
      <alignment horizontal="center" vertical="center"/>
    </xf>
    <xf numFmtId="0" fontId="188" fillId="0" borderId="8" xfId="8478" applyBorder="1" applyAlignment="1">
      <alignment horizontal="center" vertical="center"/>
    </xf>
    <xf numFmtId="0" fontId="309" fillId="0" borderId="151" xfId="8478" applyFont="1" applyBorder="1" applyAlignment="1">
      <alignment horizontal="justify" vertical="center" wrapText="1"/>
    </xf>
    <xf numFmtId="0" fontId="309" fillId="0" borderId="184" xfId="8478" applyFont="1" applyBorder="1" applyAlignment="1">
      <alignment horizontal="justify" vertical="center" wrapText="1"/>
    </xf>
    <xf numFmtId="0" fontId="309" fillId="0" borderId="227" xfId="8478" applyFont="1" applyBorder="1" applyAlignment="1">
      <alignment horizontal="justify" vertical="center" wrapText="1"/>
    </xf>
    <xf numFmtId="0" fontId="309" fillId="0" borderId="227" xfId="8478" applyFont="1" applyBorder="1" applyAlignment="1">
      <alignment horizontal="center" vertical="center" wrapText="1"/>
    </xf>
    <xf numFmtId="184" fontId="309" fillId="37" borderId="228" xfId="8478" applyNumberFormat="1" applyFont="1" applyFill="1" applyBorder="1" applyAlignment="1">
      <alignment horizontal="center" vertical="center" wrapText="1"/>
    </xf>
    <xf numFmtId="0" fontId="213" fillId="0" borderId="229" xfId="8478" applyFont="1" applyBorder="1">
      <alignment vertical="center"/>
    </xf>
    <xf numFmtId="0" fontId="213" fillId="0" borderId="220" xfId="8478" applyFont="1" applyBorder="1">
      <alignment vertical="center"/>
    </xf>
    <xf numFmtId="0" fontId="213" fillId="0" borderId="220" xfId="8478" applyFont="1" applyBorder="1" applyAlignment="1">
      <alignment horizontal="center" vertical="center"/>
    </xf>
    <xf numFmtId="178" fontId="213" fillId="0" borderId="220" xfId="8478" applyNumberFormat="1" applyFont="1" applyBorder="1" applyAlignment="1">
      <alignment horizontal="center" vertical="center"/>
    </xf>
    <xf numFmtId="178" fontId="213" fillId="0" borderId="230" xfId="8478" applyNumberFormat="1" applyFont="1" applyBorder="1" applyAlignment="1">
      <alignment horizontal="center" vertical="center"/>
    </xf>
    <xf numFmtId="0" fontId="309" fillId="0" borderId="205" xfId="8478" applyFont="1" applyBorder="1" applyAlignment="1">
      <alignment horizontal="justify" vertical="center" wrapText="1"/>
    </xf>
    <xf numFmtId="0" fontId="309" fillId="0" borderId="231" xfId="8478" applyFont="1" applyBorder="1" applyAlignment="1">
      <alignment horizontal="justify" vertical="center" wrapText="1"/>
    </xf>
    <xf numFmtId="0" fontId="309" fillId="0" borderId="231" xfId="8478" applyFont="1" applyBorder="1" applyAlignment="1">
      <alignment horizontal="center" vertical="center" wrapText="1"/>
    </xf>
    <xf numFmtId="184" fontId="309" fillId="37" borderId="206" xfId="8478" applyNumberFormat="1" applyFont="1" applyFill="1" applyBorder="1" applyAlignment="1">
      <alignment horizontal="center" vertical="center" wrapText="1"/>
    </xf>
    <xf numFmtId="0" fontId="310" fillId="0" borderId="37" xfId="8478" applyFont="1" applyBorder="1" applyAlignment="1">
      <alignment horizontal="justify" vertical="center" wrapText="1"/>
    </xf>
    <xf numFmtId="0" fontId="213" fillId="0" borderId="0" xfId="8478" applyFont="1" applyAlignment="1">
      <alignment horizontal="center" vertical="center"/>
    </xf>
    <xf numFmtId="178" fontId="213" fillId="0" borderId="0" xfId="8478" applyNumberFormat="1" applyFont="1" applyAlignment="1">
      <alignment horizontal="center" vertical="center"/>
    </xf>
    <xf numFmtId="178" fontId="213" fillId="0" borderId="41" xfId="8478" applyNumberFormat="1" applyFont="1" applyBorder="1" applyAlignment="1">
      <alignment horizontal="center" vertical="center"/>
    </xf>
    <xf numFmtId="0" fontId="188" fillId="0" borderId="35" xfId="8478" applyBorder="1" applyAlignment="1">
      <alignment horizontal="center" vertical="center"/>
    </xf>
    <xf numFmtId="178" fontId="213" fillId="41" borderId="222" xfId="8478" applyNumberFormat="1" applyFont="1" applyFill="1" applyBorder="1" applyAlignment="1">
      <alignment horizontal="center" vertical="center"/>
    </xf>
    <xf numFmtId="178" fontId="213" fillId="41" borderId="223" xfId="8478" applyNumberFormat="1" applyFont="1" applyFill="1" applyBorder="1" applyAlignment="1">
      <alignment horizontal="center" vertical="center"/>
    </xf>
    <xf numFmtId="0" fontId="213" fillId="0" borderId="231" xfId="8478" applyFont="1" applyBorder="1" applyAlignment="1">
      <alignment horizontal="center" vertical="center"/>
    </xf>
    <xf numFmtId="178" fontId="213" fillId="37" borderId="232" xfId="8478" applyNumberFormat="1" applyFont="1" applyFill="1" applyBorder="1" applyAlignment="1">
      <alignment horizontal="center" vertical="center"/>
    </xf>
    <xf numFmtId="178" fontId="213" fillId="41" borderId="232" xfId="8478" applyNumberFormat="1" applyFont="1" applyFill="1" applyBorder="1" applyAlignment="1">
      <alignment horizontal="center" vertical="center"/>
    </xf>
    <xf numFmtId="0" fontId="240" fillId="0" borderId="0" xfId="8478" applyFont="1">
      <alignment vertical="center"/>
    </xf>
    <xf numFmtId="0" fontId="316" fillId="0" borderId="81" xfId="8501" applyFont="1" applyBorder="1" applyAlignment="1">
      <alignment horizontal="center" vertical="center" wrapText="1" shrinkToFit="1"/>
    </xf>
    <xf numFmtId="178" fontId="313" fillId="0" borderId="96" xfId="8502" applyNumberFormat="1" applyFont="1" applyBorder="1" applyAlignment="1">
      <alignment horizontal="right" vertical="center" shrinkToFit="1"/>
    </xf>
    <xf numFmtId="179" fontId="313" fillId="0" borderId="96" xfId="8481" applyNumberFormat="1" applyFont="1" applyBorder="1" applyAlignment="1">
      <alignment horizontal="right" vertical="center" shrinkToFit="1"/>
    </xf>
    <xf numFmtId="41" fontId="314" fillId="0" borderId="0" xfId="8481" applyFont="1" applyBorder="1" applyAlignment="1">
      <alignment vertical="center" shrinkToFit="1"/>
    </xf>
    <xf numFmtId="41" fontId="314" fillId="0" borderId="0" xfId="8481" applyFont="1" applyBorder="1" applyAlignment="1">
      <alignment horizontal="center" vertical="center"/>
    </xf>
    <xf numFmtId="0" fontId="317" fillId="0" borderId="0" xfId="8478" applyFont="1" applyAlignment="1">
      <alignment horizontal="left" vertical="center"/>
    </xf>
    <xf numFmtId="179" fontId="312" fillId="0" borderId="0" xfId="8481" applyNumberFormat="1" applyFont="1" applyBorder="1" applyAlignment="1">
      <alignment horizontal="right" vertical="center" shrinkToFit="1"/>
    </xf>
    <xf numFmtId="220" fontId="312" fillId="0" borderId="0" xfId="8503" applyNumberFormat="1" applyFont="1" applyBorder="1" applyAlignment="1">
      <alignment horizontal="right" vertical="center" shrinkToFit="1"/>
    </xf>
    <xf numFmtId="0" fontId="318" fillId="0" borderId="0" xfId="8478" applyFont="1" applyAlignment="1">
      <alignment horizontal="center" vertical="center"/>
    </xf>
    <xf numFmtId="177" fontId="317" fillId="0" borderId="0" xfId="8504" applyNumberFormat="1" applyFont="1" applyAlignment="1">
      <alignment horizontal="center" vertical="center" wrapText="1"/>
    </xf>
    <xf numFmtId="177" fontId="318" fillId="0" borderId="0" xfId="8504" applyNumberFormat="1" applyFont="1" applyAlignment="1">
      <alignment horizontal="right" vertical="center" wrapText="1"/>
    </xf>
    <xf numFmtId="0" fontId="317" fillId="0" borderId="0" xfId="8504" applyFont="1" applyAlignment="1">
      <alignment horizontal="center" vertical="center" wrapText="1"/>
    </xf>
    <xf numFmtId="0" fontId="317" fillId="0" borderId="0" xfId="8504" applyFont="1" applyAlignment="1">
      <alignment vertical="center" wrapText="1"/>
    </xf>
    <xf numFmtId="0" fontId="317" fillId="0" borderId="0" xfId="8481" applyNumberFormat="1" applyFont="1" applyFill="1" applyBorder="1" applyAlignment="1">
      <alignment horizontal="right" vertical="center" wrapText="1"/>
    </xf>
    <xf numFmtId="43" fontId="317" fillId="0" borderId="0" xfId="8504" applyNumberFormat="1" applyFont="1" applyAlignment="1">
      <alignment vertical="center" wrapText="1"/>
    </xf>
    <xf numFmtId="2" fontId="317" fillId="0" borderId="0" xfId="8504" applyNumberFormat="1" applyFont="1" applyAlignment="1">
      <alignment horizontal="center" vertical="center" wrapText="1"/>
    </xf>
    <xf numFmtId="0" fontId="317" fillId="0" borderId="73" xfId="8504" applyFont="1" applyBorder="1" applyAlignment="1">
      <alignment horizontal="center" vertical="center" wrapText="1"/>
    </xf>
    <xf numFmtId="0" fontId="317" fillId="0" borderId="12" xfId="8504" applyFont="1" applyBorder="1" applyAlignment="1">
      <alignment horizontal="center" vertical="center" wrapText="1"/>
    </xf>
    <xf numFmtId="0" fontId="317" fillId="0" borderId="72" xfId="8504" applyFont="1" applyBorder="1" applyAlignment="1">
      <alignment horizontal="center" vertical="center" wrapText="1"/>
    </xf>
    <xf numFmtId="0" fontId="317" fillId="0" borderId="82" xfId="8504" applyFont="1" applyBorder="1" applyAlignment="1">
      <alignment horizontal="center" vertical="center" wrapText="1"/>
    </xf>
    <xf numFmtId="0" fontId="289" fillId="0" borderId="0" xfId="8504" applyFont="1" applyAlignment="1">
      <alignment horizontal="right" vertical="center" wrapText="1"/>
    </xf>
    <xf numFmtId="0" fontId="203" fillId="0" borderId="0" xfId="8478" applyFont="1" applyAlignment="1">
      <alignment horizontal="center" vertical="center"/>
    </xf>
    <xf numFmtId="177" fontId="272" fillId="0" borderId="0" xfId="8504" applyNumberFormat="1" applyFont="1" applyAlignment="1">
      <alignment horizontal="center" vertical="center" wrapText="1"/>
    </xf>
    <xf numFmtId="177" fontId="272" fillId="0" borderId="0" xfId="8504" applyNumberFormat="1" applyFont="1" applyAlignment="1">
      <alignment horizontal="right" vertical="center" wrapText="1"/>
    </xf>
    <xf numFmtId="0" fontId="318" fillId="37" borderId="76" xfId="8504" applyFont="1" applyFill="1" applyBorder="1" applyAlignment="1">
      <alignment horizontal="center" vertical="center" wrapText="1"/>
    </xf>
    <xf numFmtId="0" fontId="318" fillId="37" borderId="4" xfId="8504" applyFont="1" applyFill="1" applyBorder="1" applyAlignment="1">
      <alignment horizontal="center" vertical="center" wrapText="1"/>
    </xf>
    <xf numFmtId="0" fontId="318" fillId="37" borderId="77" xfId="8504" applyFont="1" applyFill="1" applyBorder="1" applyAlignment="1">
      <alignment horizontal="center" vertical="center" wrapText="1"/>
    </xf>
    <xf numFmtId="195" fontId="318" fillId="37" borderId="83" xfId="8505" applyNumberFormat="1" applyFont="1" applyFill="1" applyBorder="1" applyAlignment="1">
      <alignment horizontal="right" vertical="center" wrapText="1"/>
    </xf>
    <xf numFmtId="183" fontId="318" fillId="37" borderId="6" xfId="8481" applyNumberFormat="1" applyFont="1" applyFill="1" applyBorder="1" applyAlignment="1">
      <alignment horizontal="center" vertical="center" wrapText="1"/>
    </xf>
    <xf numFmtId="183" fontId="318" fillId="37" borderId="77" xfId="8481" applyNumberFormat="1" applyFont="1" applyFill="1" applyBorder="1" applyAlignment="1">
      <alignment horizontal="center" vertical="center" wrapText="1"/>
    </xf>
    <xf numFmtId="189" fontId="318" fillId="37" borderId="4" xfId="8481" applyNumberFormat="1" applyFont="1" applyFill="1" applyBorder="1" applyAlignment="1">
      <alignment horizontal="center" vertical="center" wrapText="1"/>
    </xf>
    <xf numFmtId="189" fontId="318" fillId="37" borderId="4" xfId="8504" applyNumberFormat="1" applyFont="1" applyFill="1" applyBorder="1" applyAlignment="1">
      <alignment horizontal="center" vertical="center" wrapText="1"/>
    </xf>
    <xf numFmtId="184" fontId="318" fillId="37" borderId="119" xfId="8504" applyNumberFormat="1" applyFont="1" applyFill="1" applyBorder="1" applyAlignment="1">
      <alignment horizontal="center" vertical="center" wrapText="1"/>
    </xf>
    <xf numFmtId="185" fontId="318" fillId="37" borderId="4" xfId="8504" applyNumberFormat="1" applyFont="1" applyFill="1" applyBorder="1" applyAlignment="1">
      <alignment horizontal="center" vertical="center" wrapText="1"/>
    </xf>
    <xf numFmtId="4" fontId="318" fillId="37" borderId="77" xfId="8504" applyNumberFormat="1" applyFont="1" applyFill="1" applyBorder="1" applyAlignment="1">
      <alignment horizontal="center" vertical="center" wrapText="1"/>
    </xf>
    <xf numFmtId="0" fontId="318" fillId="37" borderId="6" xfId="8481" applyNumberFormat="1" applyFont="1" applyFill="1" applyBorder="1" applyAlignment="1">
      <alignment horizontal="center" vertical="center" shrinkToFit="1"/>
    </xf>
    <xf numFmtId="0" fontId="318" fillId="37" borderId="80" xfId="8491" applyNumberFormat="1" applyFont="1" applyFill="1" applyBorder="1" applyAlignment="1">
      <alignment horizontal="center" vertical="center" wrapText="1"/>
    </xf>
    <xf numFmtId="178" fontId="318" fillId="37" borderId="4" xfId="8481" applyNumberFormat="1" applyFont="1" applyFill="1" applyBorder="1" applyAlignment="1">
      <alignment horizontal="center" vertical="center" wrapText="1"/>
    </xf>
    <xf numFmtId="0" fontId="318" fillId="37" borderId="119" xfId="8481" applyNumberFormat="1" applyFont="1" applyFill="1" applyBorder="1" applyAlignment="1">
      <alignment horizontal="center" vertical="center" wrapText="1"/>
    </xf>
    <xf numFmtId="40" fontId="318" fillId="37" borderId="76" xfId="8506" applyNumberFormat="1" applyFont="1" applyFill="1" applyBorder="1" applyAlignment="1">
      <alignment horizontal="right" vertical="center" wrapText="1"/>
    </xf>
    <xf numFmtId="0" fontId="318" fillId="37" borderId="4" xfId="8481" applyNumberFormat="1" applyFont="1" applyFill="1" applyBorder="1" applyAlignment="1">
      <alignment horizontal="right" vertical="center" wrapText="1"/>
    </xf>
    <xf numFmtId="40" fontId="318" fillId="37" borderId="77" xfId="8481" applyNumberFormat="1" applyFont="1" applyFill="1" applyBorder="1" applyAlignment="1">
      <alignment horizontal="right" vertical="center" wrapText="1"/>
    </xf>
    <xf numFmtId="185" fontId="289" fillId="0" borderId="0" xfId="8504" applyNumberFormat="1" applyFont="1" applyAlignment="1">
      <alignment horizontal="right" vertical="center" wrapText="1"/>
    </xf>
    <xf numFmtId="185" fontId="289" fillId="0" borderId="0" xfId="8504" applyNumberFormat="1" applyFont="1" applyAlignment="1">
      <alignment horizontal="center" vertical="center" wrapText="1"/>
    </xf>
    <xf numFmtId="0" fontId="289" fillId="0" borderId="0" xfId="8504" applyFont="1" applyAlignment="1">
      <alignment horizontal="center" vertical="center" wrapText="1"/>
    </xf>
    <xf numFmtId="0" fontId="317" fillId="0" borderId="76" xfId="8504" applyFont="1" applyBorder="1" applyAlignment="1">
      <alignment horizontal="center" vertical="center" wrapText="1"/>
    </xf>
    <xf numFmtId="0" fontId="317" fillId="0" borderId="4" xfId="8504" applyFont="1" applyBorder="1" applyAlignment="1">
      <alignment horizontal="center" vertical="center" wrapText="1"/>
    </xf>
    <xf numFmtId="0" fontId="317" fillId="0" borderId="77" xfId="8504" applyFont="1" applyBorder="1" applyAlignment="1">
      <alignment horizontal="center" vertical="center" wrapText="1"/>
    </xf>
    <xf numFmtId="179" fontId="317" fillId="0" borderId="4" xfId="8506" applyNumberFormat="1" applyFont="1" applyFill="1" applyBorder="1" applyAlignment="1">
      <alignment horizontal="center" vertical="center" wrapText="1"/>
    </xf>
    <xf numFmtId="183" fontId="317" fillId="0" borderId="77" xfId="8504" applyNumberFormat="1" applyFont="1" applyBorder="1" applyAlignment="1">
      <alignment horizontal="center" vertical="center" wrapText="1"/>
    </xf>
    <xf numFmtId="189" fontId="317" fillId="0" borderId="4" xfId="8506" applyNumberFormat="1" applyFont="1" applyFill="1" applyBorder="1" applyAlignment="1">
      <alignment horizontal="center" vertical="center" wrapText="1"/>
    </xf>
    <xf numFmtId="189" fontId="317" fillId="0" borderId="4" xfId="8504" applyNumberFormat="1" applyFont="1" applyBorder="1" applyAlignment="1">
      <alignment horizontal="center" vertical="center" wrapText="1"/>
    </xf>
    <xf numFmtId="184" fontId="317" fillId="0" borderId="119" xfId="8504" applyNumberFormat="1" applyFont="1" applyBorder="1" applyAlignment="1">
      <alignment horizontal="center" vertical="center" wrapText="1"/>
    </xf>
    <xf numFmtId="185" fontId="317" fillId="0" borderId="4" xfId="8504" applyNumberFormat="1" applyFont="1" applyBorder="1" applyAlignment="1">
      <alignment horizontal="center" vertical="center" wrapText="1"/>
    </xf>
    <xf numFmtId="4" fontId="317" fillId="0" borderId="77" xfId="8504" applyNumberFormat="1" applyFont="1" applyBorder="1" applyAlignment="1">
      <alignment horizontal="center" vertical="center" wrapText="1"/>
    </xf>
    <xf numFmtId="0" fontId="317" fillId="0" borderId="6" xfId="8506" applyNumberFormat="1" applyFont="1" applyFill="1" applyBorder="1" applyAlignment="1">
      <alignment horizontal="center" vertical="center" shrinkToFit="1"/>
    </xf>
    <xf numFmtId="0" fontId="317" fillId="0" borderId="4" xfId="8506" applyNumberFormat="1" applyFont="1" applyFill="1" applyBorder="1" applyAlignment="1">
      <alignment horizontal="center" vertical="center" wrapText="1"/>
    </xf>
    <xf numFmtId="178" fontId="317" fillId="0" borderId="4" xfId="8506" applyNumberFormat="1" applyFont="1" applyFill="1" applyBorder="1" applyAlignment="1">
      <alignment horizontal="center" vertical="center" wrapText="1"/>
    </xf>
    <xf numFmtId="0" fontId="317" fillId="0" borderId="119" xfId="8506" applyNumberFormat="1" applyFont="1" applyFill="1" applyBorder="1" applyAlignment="1">
      <alignment horizontal="center" vertical="center" wrapText="1"/>
    </xf>
    <xf numFmtId="40" fontId="317" fillId="0" borderId="76" xfId="8506" applyNumberFormat="1" applyFont="1" applyFill="1" applyBorder="1" applyAlignment="1">
      <alignment horizontal="right" vertical="center" wrapText="1"/>
    </xf>
    <xf numFmtId="0" fontId="317" fillId="0" borderId="4" xfId="8506" applyNumberFormat="1" applyFont="1" applyFill="1" applyBorder="1" applyAlignment="1">
      <alignment horizontal="center" vertical="center" shrinkToFit="1"/>
    </xf>
    <xf numFmtId="40" fontId="317" fillId="0" borderId="4" xfId="8506" applyNumberFormat="1" applyFont="1" applyFill="1" applyBorder="1" applyAlignment="1">
      <alignment horizontal="right" vertical="center" wrapText="1"/>
    </xf>
    <xf numFmtId="40" fontId="317" fillId="0" borderId="77" xfId="8506" applyNumberFormat="1" applyFont="1" applyFill="1" applyBorder="1" applyAlignment="1">
      <alignment horizontal="right" vertical="center" wrapText="1"/>
    </xf>
    <xf numFmtId="342" fontId="321" fillId="0" borderId="39" xfId="8504" applyNumberFormat="1" applyFont="1" applyBorder="1" applyAlignment="1">
      <alignment horizontal="center" vertical="center" wrapText="1"/>
    </xf>
    <xf numFmtId="0" fontId="321" fillId="0" borderId="39" xfId="8504" applyFont="1" applyBorder="1" applyAlignment="1">
      <alignment horizontal="center" vertical="center" wrapText="1"/>
    </xf>
    <xf numFmtId="0" fontId="321" fillId="0" borderId="8" xfId="8481" applyNumberFormat="1" applyFont="1" applyFill="1" applyBorder="1" applyAlignment="1">
      <alignment horizontal="center" vertical="center" wrapText="1"/>
    </xf>
    <xf numFmtId="0" fontId="317" fillId="0" borderId="39" xfId="8478" applyFont="1" applyBorder="1">
      <alignment vertical="center"/>
    </xf>
    <xf numFmtId="0" fontId="321" fillId="0" borderId="89" xfId="8481" applyNumberFormat="1" applyFont="1" applyFill="1" applyBorder="1" applyAlignment="1">
      <alignment horizontal="center" vertical="center" wrapText="1"/>
    </xf>
    <xf numFmtId="0" fontId="317" fillId="0" borderId="8" xfId="8478" applyFont="1" applyBorder="1">
      <alignment vertical="center"/>
    </xf>
    <xf numFmtId="0" fontId="306" fillId="39" borderId="1" xfId="8497" quotePrefix="1" applyFont="1" applyFill="1" applyBorder="1" applyAlignment="1">
      <alignment horizontal="center" vertical="center" wrapText="1"/>
    </xf>
    <xf numFmtId="2" fontId="209" fillId="0" borderId="1" xfId="8472" applyNumberFormat="1" applyFont="1" applyBorder="1" applyAlignment="1">
      <alignment horizontal="center" vertical="center"/>
    </xf>
    <xf numFmtId="0" fontId="203" fillId="0" borderId="12" xfId="8469" applyFont="1" applyBorder="1" applyAlignment="1">
      <alignment horizontal="center" vertical="center"/>
    </xf>
    <xf numFmtId="0" fontId="2" fillId="0" borderId="0" xfId="8507">
      <alignment vertical="center"/>
    </xf>
    <xf numFmtId="41" fontId="2" fillId="0" borderId="0" xfId="8507" applyNumberFormat="1">
      <alignment vertical="center"/>
    </xf>
    <xf numFmtId="0" fontId="2" fillId="0" borderId="69" xfId="8507" applyBorder="1">
      <alignment vertical="center"/>
    </xf>
    <xf numFmtId="0" fontId="2" fillId="0" borderId="70" xfId="8507" applyBorder="1">
      <alignment vertical="center"/>
    </xf>
    <xf numFmtId="0" fontId="2" fillId="0" borderId="85" xfId="8507" applyBorder="1">
      <alignment vertical="center"/>
    </xf>
    <xf numFmtId="0" fontId="268" fillId="0" borderId="11" xfId="8507" applyFont="1" applyBorder="1" applyAlignment="1">
      <alignment horizontal="left" vertical="center" indent="1"/>
    </xf>
    <xf numFmtId="0" fontId="2" fillId="0" borderId="13" xfId="8507" applyBorder="1">
      <alignment vertical="center"/>
    </xf>
    <xf numFmtId="0" fontId="2" fillId="0" borderId="71" xfId="8507" applyBorder="1">
      <alignment vertical="center"/>
    </xf>
    <xf numFmtId="0" fontId="2" fillId="0" borderId="83" xfId="8507" applyBorder="1">
      <alignment vertical="center"/>
    </xf>
    <xf numFmtId="0" fontId="232" fillId="0" borderId="11" xfId="8507" applyFont="1" applyBorder="1" applyAlignment="1">
      <alignment horizontal="left" vertical="center" indent="2"/>
    </xf>
    <xf numFmtId="0" fontId="232" fillId="0" borderId="13" xfId="8507" applyFont="1" applyBorder="1" applyAlignment="1">
      <alignment horizontal="center" vertical="center" wrapText="1"/>
    </xf>
    <xf numFmtId="0" fontId="232" fillId="0" borderId="11" xfId="8507" applyFont="1" applyBorder="1" applyAlignment="1">
      <alignment horizontal="center" vertical="center"/>
    </xf>
    <xf numFmtId="358" fontId="232" fillId="0" borderId="11" xfId="8507" applyNumberFormat="1" applyFont="1" applyBorder="1" applyAlignment="1">
      <alignment horizontal="center" vertical="center"/>
    </xf>
    <xf numFmtId="358" fontId="232" fillId="0" borderId="73" xfId="8507" applyNumberFormat="1" applyFont="1" applyBorder="1" applyAlignment="1">
      <alignment horizontal="center" vertical="center"/>
    </xf>
    <xf numFmtId="0" fontId="2" fillId="0" borderId="12" xfId="8507" applyBorder="1">
      <alignment vertical="center"/>
    </xf>
    <xf numFmtId="0" fontId="232" fillId="0" borderId="12" xfId="8507" applyFont="1" applyBorder="1" applyAlignment="1">
      <alignment horizontal="center" vertical="center" wrapText="1"/>
    </xf>
    <xf numFmtId="0" fontId="268" fillId="0" borderId="68" xfId="8507" applyFont="1" applyBorder="1" applyAlignment="1">
      <alignment horizontal="left" vertical="center" indent="1"/>
    </xf>
    <xf numFmtId="0" fontId="232" fillId="0" borderId="69" xfId="8507" applyFont="1" applyBorder="1" applyAlignment="1">
      <alignment horizontal="center" vertical="center" wrapText="1"/>
    </xf>
    <xf numFmtId="0" fontId="2" fillId="0" borderId="72" xfId="8507" applyBorder="1">
      <alignment vertical="center"/>
    </xf>
    <xf numFmtId="0" fontId="2" fillId="0" borderId="117" xfId="8507" applyBorder="1">
      <alignment vertical="center"/>
    </xf>
    <xf numFmtId="358" fontId="232" fillId="0" borderId="0" xfId="8507" applyNumberFormat="1" applyFont="1" applyAlignment="1">
      <alignment horizontal="center" vertical="center"/>
    </xf>
    <xf numFmtId="0" fontId="232" fillId="0" borderId="0" xfId="8507" applyFont="1" applyAlignment="1">
      <alignment horizontal="left" vertical="center" indent="2"/>
    </xf>
    <xf numFmtId="0" fontId="232" fillId="0" borderId="0" xfId="8507" applyFont="1" applyAlignment="1">
      <alignment horizontal="center" vertical="center" wrapText="1"/>
    </xf>
    <xf numFmtId="0" fontId="232" fillId="0" borderId="0" xfId="8507" applyFont="1" applyAlignment="1">
      <alignment horizontal="center" vertical="center"/>
    </xf>
    <xf numFmtId="0" fontId="2" fillId="0" borderId="0" xfId="8508">
      <alignment vertical="center"/>
    </xf>
    <xf numFmtId="0" fontId="2" fillId="0" borderId="0" xfId="8508" applyAlignment="1">
      <alignment horizontal="center" vertical="center"/>
    </xf>
    <xf numFmtId="354" fontId="2" fillId="0" borderId="0" xfId="8508" applyNumberFormat="1" applyAlignment="1">
      <alignment horizontal="center" vertical="center"/>
    </xf>
    <xf numFmtId="373" fontId="313" fillId="0" borderId="89" xfId="8508" applyNumberFormat="1" applyFont="1" applyBorder="1">
      <alignment vertical="center"/>
    </xf>
    <xf numFmtId="373" fontId="313" fillId="0" borderId="8" xfId="8508" applyNumberFormat="1" applyFont="1" applyBorder="1">
      <alignment vertical="center"/>
    </xf>
    <xf numFmtId="0" fontId="314" fillId="0" borderId="39" xfId="8508" applyFont="1" applyBorder="1" applyAlignment="1">
      <alignment vertical="center" wrapText="1"/>
    </xf>
    <xf numFmtId="0" fontId="314" fillId="0" borderId="0" xfId="8508" applyFont="1" applyAlignment="1">
      <alignment vertical="center" wrapText="1"/>
    </xf>
    <xf numFmtId="0" fontId="315" fillId="0" borderId="0" xfId="8508" applyFont="1" applyAlignment="1">
      <alignment horizontal="center" vertical="center" wrapText="1"/>
    </xf>
    <xf numFmtId="0" fontId="314" fillId="0" borderId="0" xfId="8508" applyFont="1" applyAlignment="1">
      <alignment horizontal="center" vertical="center"/>
    </xf>
    <xf numFmtId="354" fontId="314" fillId="0" borderId="0" xfId="8508" applyNumberFormat="1" applyFont="1" applyAlignment="1">
      <alignment horizontal="center" vertical="center"/>
    </xf>
    <xf numFmtId="0" fontId="314" fillId="0" borderId="0" xfId="8508" applyFont="1">
      <alignment vertical="center"/>
    </xf>
    <xf numFmtId="354" fontId="314" fillId="0" borderId="0" xfId="8508" applyNumberFormat="1" applyFont="1" applyAlignment="1">
      <alignment horizontal="center" vertical="center" wrapText="1"/>
    </xf>
    <xf numFmtId="0" fontId="312" fillId="0" borderId="233" xfId="8508" applyFont="1" applyBorder="1" applyAlignment="1">
      <alignment horizontal="center" vertical="center" wrapText="1"/>
    </xf>
    <xf numFmtId="0" fontId="312" fillId="0" borderId="234" xfId="8508" applyFont="1" applyBorder="1" applyAlignment="1">
      <alignment horizontal="center" vertical="center" wrapText="1"/>
    </xf>
    <xf numFmtId="0" fontId="312" fillId="0" borderId="91" xfId="8508" applyFont="1" applyBorder="1" applyAlignment="1">
      <alignment horizontal="center" vertical="center" wrapText="1"/>
    </xf>
    <xf numFmtId="0" fontId="314" fillId="0" borderId="0" xfId="8508" applyFont="1" applyAlignment="1">
      <alignment horizontal="center" vertical="center" wrapText="1"/>
    </xf>
    <xf numFmtId="0" fontId="312" fillId="0" borderId="96" xfId="8508" applyFont="1" applyBorder="1" applyAlignment="1">
      <alignment horizontal="center" vertical="center" shrinkToFit="1"/>
    </xf>
    <xf numFmtId="0" fontId="312" fillId="0" borderId="96" xfId="8508" applyFont="1" applyBorder="1" applyAlignment="1">
      <alignment horizontal="center" vertical="center" wrapText="1" shrinkToFit="1"/>
    </xf>
    <xf numFmtId="0" fontId="316" fillId="0" borderId="96" xfId="8508" applyFont="1" applyBorder="1" applyAlignment="1">
      <alignment horizontal="center" vertical="center" wrapText="1" shrinkToFit="1"/>
    </xf>
    <xf numFmtId="0" fontId="316" fillId="0" borderId="97" xfId="8508" applyFont="1" applyBorder="1" applyAlignment="1">
      <alignment horizontal="center" vertical="center" shrinkToFit="1"/>
    </xf>
    <xf numFmtId="0" fontId="312" fillId="0" borderId="1" xfId="8508" applyFont="1" applyBorder="1" applyAlignment="1">
      <alignment horizontal="center" vertical="center" shrinkToFit="1"/>
    </xf>
    <xf numFmtId="0" fontId="312" fillId="0" borderId="1" xfId="8508" applyFont="1" applyBorder="1" applyAlignment="1">
      <alignment horizontal="center" vertical="center" wrapText="1" shrinkToFit="1"/>
    </xf>
    <xf numFmtId="0" fontId="316" fillId="0" borderId="1" xfId="8508" applyFont="1" applyBorder="1" applyAlignment="1">
      <alignment horizontal="center" vertical="center" shrinkToFit="1"/>
    </xf>
    <xf numFmtId="190" fontId="312" fillId="0" borderId="1" xfId="8508" applyNumberFormat="1" applyFont="1" applyBorder="1" applyAlignment="1">
      <alignment horizontal="right" vertical="center" shrinkToFit="1"/>
    </xf>
    <xf numFmtId="195" fontId="312" fillId="0" borderId="81" xfId="8508" applyNumberFormat="1" applyFont="1" applyBorder="1" applyAlignment="1">
      <alignment horizontal="right" vertical="center" shrinkToFit="1"/>
    </xf>
    <xf numFmtId="195" fontId="313" fillId="0" borderId="96" xfId="8508" applyNumberFormat="1" applyFont="1" applyBorder="1" applyAlignment="1">
      <alignment horizontal="right" vertical="center" shrinkToFit="1"/>
    </xf>
    <xf numFmtId="374" fontId="313" fillId="0" borderId="81" xfId="8508" applyNumberFormat="1" applyFont="1" applyBorder="1" applyAlignment="1">
      <alignment horizontal="right" vertical="center" shrinkToFit="1"/>
    </xf>
    <xf numFmtId="4" fontId="314" fillId="0" borderId="0" xfId="8508" applyNumberFormat="1" applyFont="1" applyAlignment="1">
      <alignment horizontal="center" vertical="center"/>
    </xf>
    <xf numFmtId="0" fontId="312" fillId="0" borderId="0" xfId="8508" applyFont="1" applyAlignment="1">
      <alignment horizontal="center" vertical="center" shrinkToFit="1"/>
    </xf>
    <xf numFmtId="0" fontId="312" fillId="0" borderId="0" xfId="8508" applyFont="1" applyAlignment="1">
      <alignment horizontal="center" vertical="center" wrapText="1" shrinkToFit="1"/>
    </xf>
    <xf numFmtId="190" fontId="312" fillId="0" borderId="0" xfId="8508" applyNumberFormat="1" applyFont="1" applyAlignment="1">
      <alignment horizontal="right" vertical="center" shrinkToFit="1"/>
    </xf>
    <xf numFmtId="374" fontId="312" fillId="0" borderId="0" xfId="8508" applyNumberFormat="1" applyFont="1" applyAlignment="1">
      <alignment horizontal="right" vertical="center" shrinkToFit="1"/>
    </xf>
    <xf numFmtId="195" fontId="312" fillId="0" borderId="0" xfId="8508" applyNumberFormat="1" applyFont="1" applyAlignment="1">
      <alignment horizontal="right" vertical="center" shrinkToFit="1"/>
    </xf>
    <xf numFmtId="374" fontId="313" fillId="0" borderId="0" xfId="8508" applyNumberFormat="1" applyFont="1" applyAlignment="1">
      <alignment horizontal="right" vertical="center" shrinkToFit="1"/>
    </xf>
    <xf numFmtId="40" fontId="319" fillId="0" borderId="0" xfId="8508" applyNumberFormat="1" applyFont="1" applyAlignment="1">
      <alignment horizontal="center" vertical="center" shrinkToFit="1"/>
    </xf>
    <xf numFmtId="0" fontId="319" fillId="0" borderId="0" xfId="8508" applyFont="1" applyAlignment="1">
      <alignment horizontal="center" vertical="center" wrapText="1" shrinkToFit="1"/>
    </xf>
    <xf numFmtId="180" fontId="319" fillId="0" borderId="0" xfId="8508" applyNumberFormat="1" applyFont="1" applyAlignment="1">
      <alignment horizontal="center" vertical="center" wrapText="1" shrinkToFit="1"/>
    </xf>
    <xf numFmtId="0" fontId="319" fillId="0" borderId="0" xfId="8508" applyFont="1" applyAlignment="1">
      <alignment horizontal="center" vertical="center" shrinkToFit="1"/>
    </xf>
    <xf numFmtId="0" fontId="272" fillId="0" borderId="13" xfId="8469" applyFont="1" applyBorder="1" applyAlignment="1">
      <alignment vertical="center"/>
    </xf>
    <xf numFmtId="41" fontId="203" fillId="0" borderId="13" xfId="8470" applyFont="1" applyFill="1" applyBorder="1" applyAlignment="1">
      <alignment horizontal="left" vertical="center" shrinkToFit="1"/>
    </xf>
    <xf numFmtId="358" fontId="232" fillId="0" borderId="13" xfId="8490" applyNumberFormat="1" applyFont="1" applyBorder="1" applyAlignment="1">
      <alignment horizontal="center" vertical="center"/>
    </xf>
    <xf numFmtId="41" fontId="270" fillId="0" borderId="13" xfId="8470" applyFont="1" applyFill="1" applyBorder="1" applyAlignment="1">
      <alignment horizontal="left" vertical="center"/>
    </xf>
    <xf numFmtId="0" fontId="1" fillId="0" borderId="0" xfId="8490" applyFont="1">
      <alignment vertical="center"/>
    </xf>
    <xf numFmtId="178" fontId="203" fillId="0" borderId="0" xfId="8469" applyNumberFormat="1" applyFont="1" applyAlignment="1">
      <alignment horizontal="center" vertical="center"/>
    </xf>
    <xf numFmtId="0" fontId="324" fillId="0" borderId="0" xfId="0" applyFont="1">
      <alignment vertical="center"/>
    </xf>
    <xf numFmtId="0" fontId="162" fillId="0" borderId="5" xfId="256" applyFont="1" applyBorder="1" applyAlignment="1">
      <alignment vertical="center"/>
    </xf>
    <xf numFmtId="0" fontId="163" fillId="0" borderId="80" xfId="256" applyFont="1" applyBorder="1" applyAlignment="1">
      <alignment vertical="center"/>
    </xf>
    <xf numFmtId="0" fontId="164" fillId="0" borderId="80" xfId="256" applyFont="1" applyBorder="1" applyAlignment="1">
      <alignment vertical="center"/>
    </xf>
    <xf numFmtId="0" fontId="183" fillId="0" borderId="80" xfId="256" applyFont="1" applyBorder="1" applyAlignment="1">
      <alignment vertical="center"/>
    </xf>
    <xf numFmtId="0" fontId="199" fillId="0" borderId="80" xfId="256" applyFont="1" applyBorder="1" applyAlignment="1">
      <alignment vertical="center"/>
    </xf>
    <xf numFmtId="0" fontId="164" fillId="0" borderId="122" xfId="256" applyFont="1" applyBorder="1" applyAlignment="1">
      <alignment vertical="center"/>
    </xf>
    <xf numFmtId="0" fontId="163" fillId="0" borderId="122" xfId="256" applyFont="1" applyBorder="1" applyAlignment="1">
      <alignment vertical="center"/>
    </xf>
    <xf numFmtId="0" fontId="164" fillId="0" borderId="90" xfId="256" applyFont="1" applyBorder="1" applyAlignment="1">
      <alignment vertical="center"/>
    </xf>
    <xf numFmtId="0" fontId="163" fillId="0" borderId="90" xfId="256" applyFont="1" applyBorder="1" applyAlignment="1">
      <alignment vertical="center"/>
    </xf>
    <xf numFmtId="0" fontId="183" fillId="0" borderId="122" xfId="256" applyFont="1" applyBorder="1" applyAlignment="1">
      <alignment vertical="center"/>
    </xf>
    <xf numFmtId="0" fontId="183" fillId="0" borderId="90" xfId="256" applyFont="1" applyBorder="1" applyAlignment="1">
      <alignment vertical="center"/>
    </xf>
    <xf numFmtId="0" fontId="199" fillId="0" borderId="122" xfId="256" applyFont="1" applyBorder="1" applyAlignment="1">
      <alignment vertical="center"/>
    </xf>
    <xf numFmtId="0" fontId="164" fillId="0" borderId="80" xfId="256" applyFont="1" applyBorder="1" applyAlignment="1">
      <alignment horizontal="center" vertical="center"/>
    </xf>
    <xf numFmtId="0" fontId="325" fillId="0" borderId="0" xfId="8508" applyFont="1" applyAlignment="1">
      <alignment horizontal="left" vertical="center"/>
    </xf>
    <xf numFmtId="188" fontId="189" fillId="0" borderId="0" xfId="8509" applyNumberFormat="1" applyFont="1" applyAlignment="1">
      <alignment horizontal="left" vertical="center"/>
    </xf>
    <xf numFmtId="188" fontId="326" fillId="0" borderId="0" xfId="8509" applyNumberFormat="1" applyFont="1" applyAlignment="1">
      <alignment horizontal="center" vertical="center"/>
    </xf>
    <xf numFmtId="188" fontId="326" fillId="0" borderId="0" xfId="8509" applyNumberFormat="1" applyFont="1" applyAlignment="1">
      <alignment vertical="center"/>
    </xf>
    <xf numFmtId="0" fontId="326" fillId="0" borderId="0" xfId="8483" applyFont="1" applyAlignment="1">
      <alignment horizontal="center" vertical="center"/>
    </xf>
    <xf numFmtId="0" fontId="233" fillId="0" borderId="0" xfId="8483" applyAlignment="1">
      <alignment vertical="center"/>
    </xf>
    <xf numFmtId="0" fontId="231" fillId="0" borderId="0" xfId="8510" applyFont="1" applyAlignment="1">
      <alignment horizontal="center" vertical="center"/>
    </xf>
    <xf numFmtId="41" fontId="231" fillId="0" borderId="0" xfId="8481" applyFont="1" applyFill="1" applyAlignment="1">
      <alignment horizontal="center" vertical="center"/>
    </xf>
    <xf numFmtId="188" fontId="326" fillId="0" borderId="1" xfId="8509" applyNumberFormat="1" applyFont="1" applyBorder="1" applyAlignment="1">
      <alignment horizontal="center" vertical="center"/>
    </xf>
    <xf numFmtId="188" fontId="326" fillId="0" borderId="1" xfId="8509" applyNumberFormat="1" applyFont="1" applyBorder="1" applyAlignment="1">
      <alignment vertical="center"/>
    </xf>
    <xf numFmtId="0" fontId="327" fillId="0" borderId="236" xfId="8493" applyFont="1" applyBorder="1" applyAlignment="1">
      <alignment horizontal="center" vertical="distributed"/>
    </xf>
    <xf numFmtId="188" fontId="326" fillId="0" borderId="30" xfId="8509" applyNumberFormat="1" applyFont="1" applyBorder="1" applyAlignment="1">
      <alignment horizontal="center" vertical="center"/>
    </xf>
    <xf numFmtId="188" fontId="326" fillId="0" borderId="30" xfId="8509" applyNumberFormat="1" applyFont="1" applyBorder="1" applyAlignment="1">
      <alignment vertical="center"/>
    </xf>
    <xf numFmtId="188" fontId="326" fillId="0" borderId="30" xfId="8483" applyNumberFormat="1" applyFont="1" applyBorder="1" applyAlignment="1">
      <alignment horizontal="center" vertical="center"/>
    </xf>
    <xf numFmtId="0" fontId="327" fillId="0" borderId="1" xfId="8493" applyFont="1" applyBorder="1" applyAlignment="1">
      <alignment horizontal="center" vertical="distributed"/>
    </xf>
    <xf numFmtId="188" fontId="326" fillId="0" borderId="1" xfId="8483" applyNumberFormat="1" applyFont="1" applyBorder="1" applyAlignment="1">
      <alignment horizontal="center" vertical="center"/>
    </xf>
    <xf numFmtId="186" fontId="326" fillId="0" borderId="1" xfId="8509" applyNumberFormat="1" applyFont="1" applyBorder="1" applyAlignment="1">
      <alignment horizontal="center" vertical="center"/>
    </xf>
    <xf numFmtId="41" fontId="233" fillId="0" borderId="0" xfId="8511" applyFont="1" applyAlignment="1">
      <alignment vertical="center"/>
    </xf>
    <xf numFmtId="0" fontId="327" fillId="0" borderId="237" xfId="8493" applyFont="1" applyBorder="1" applyAlignment="1">
      <alignment horizontal="center" vertical="distributed"/>
    </xf>
    <xf numFmtId="188" fontId="239" fillId="0" borderId="0" xfId="8509" applyNumberFormat="1" applyFont="1" applyAlignment="1">
      <alignment horizontal="center" vertical="center"/>
    </xf>
    <xf numFmtId="188" fontId="239" fillId="0" borderId="0" xfId="8509" applyNumberFormat="1" applyFont="1" applyAlignment="1">
      <alignment vertical="center"/>
    </xf>
    <xf numFmtId="188" fontId="326" fillId="0" borderId="1" xfId="8509" applyNumberFormat="1" applyFont="1" applyBorder="1" applyAlignment="1">
      <alignment horizontal="center" vertical="center" shrinkToFit="1"/>
    </xf>
    <xf numFmtId="0" fontId="326" fillId="0" borderId="1" xfId="8483" applyFont="1" applyBorder="1" applyAlignment="1">
      <alignment horizontal="center" vertical="center"/>
    </xf>
    <xf numFmtId="188" fontId="326" fillId="0" borderId="1" xfId="8509" applyNumberFormat="1" applyFont="1" applyFill="1" applyBorder="1" applyAlignment="1">
      <alignment horizontal="center" vertical="center"/>
    </xf>
    <xf numFmtId="188" fontId="326" fillId="0" borderId="1" xfId="8509" applyNumberFormat="1" applyFont="1" applyFill="1" applyBorder="1" applyAlignment="1">
      <alignment vertical="center"/>
    </xf>
    <xf numFmtId="188" fontId="233" fillId="0" borderId="0" xfId="8509" applyNumberFormat="1" applyFont="1" applyAlignment="1">
      <alignment horizontal="center" vertical="center"/>
    </xf>
    <xf numFmtId="188" fontId="233" fillId="0" borderId="0" xfId="8509" applyNumberFormat="1" applyFont="1" applyFill="1" applyAlignment="1">
      <alignment horizontal="center" vertical="center"/>
    </xf>
    <xf numFmtId="188" fontId="233" fillId="0" borderId="0" xfId="8509" applyNumberFormat="1" applyFont="1" applyFill="1" applyAlignment="1">
      <alignment vertical="center"/>
    </xf>
    <xf numFmtId="0" fontId="233" fillId="0" borderId="0" xfId="8483" applyAlignment="1">
      <alignment horizontal="center" vertical="center"/>
    </xf>
    <xf numFmtId="188" fontId="239" fillId="0" borderId="0" xfId="8509" applyNumberFormat="1" applyFont="1" applyFill="1" applyAlignment="1">
      <alignment horizontal="center" vertical="center"/>
    </xf>
    <xf numFmtId="188" fontId="239" fillId="0" borderId="0" xfId="8509" applyNumberFormat="1" applyFont="1" applyFill="1" applyAlignment="1">
      <alignment vertical="center"/>
    </xf>
    <xf numFmtId="188" fontId="328" fillId="0" borderId="1" xfId="8509" applyNumberFormat="1" applyFont="1" applyBorder="1" applyAlignment="1">
      <alignment horizontal="center" vertical="center"/>
    </xf>
    <xf numFmtId="41" fontId="328" fillId="0" borderId="1" xfId="8509" applyNumberFormat="1" applyFont="1" applyFill="1" applyBorder="1" applyAlignment="1">
      <alignment horizontal="center" vertical="center"/>
    </xf>
    <xf numFmtId="41" fontId="328" fillId="0" borderId="1" xfId="8509" applyNumberFormat="1" applyFont="1" applyFill="1" applyBorder="1" applyAlignment="1">
      <alignment vertical="center"/>
    </xf>
    <xf numFmtId="41" fontId="328" fillId="0" borderId="1" xfId="8509" applyNumberFormat="1" applyFont="1" applyBorder="1" applyAlignment="1">
      <alignment horizontal="center" vertical="center"/>
    </xf>
    <xf numFmtId="0" fontId="328" fillId="0" borderId="1" xfId="8483" applyFont="1" applyBorder="1" applyAlignment="1">
      <alignment horizontal="center" vertical="center"/>
    </xf>
    <xf numFmtId="41" fontId="328" fillId="0" borderId="1" xfId="8509" applyNumberFormat="1" applyFont="1" applyBorder="1" applyAlignment="1">
      <alignment vertical="center"/>
    </xf>
    <xf numFmtId="188" fontId="328" fillId="0" borderId="1" xfId="8509" applyNumberFormat="1" applyFont="1" applyBorder="1" applyAlignment="1">
      <alignment vertical="center"/>
    </xf>
    <xf numFmtId="0" fontId="269" fillId="0" borderId="1" xfId="8483" applyFont="1" applyBorder="1" applyAlignment="1">
      <alignment horizontal="center" vertical="center"/>
    </xf>
    <xf numFmtId="188" fontId="329" fillId="0" borderId="0" xfId="8509" applyNumberFormat="1" applyFont="1" applyAlignment="1">
      <alignment horizontal="center" vertical="center"/>
    </xf>
    <xf numFmtId="188" fontId="233" fillId="0" borderId="0" xfId="8509" applyNumberFormat="1" applyFont="1" applyAlignment="1">
      <alignment vertical="center"/>
    </xf>
    <xf numFmtId="0" fontId="204" fillId="0" borderId="13" xfId="8512" applyFont="1" applyBorder="1" applyAlignment="1">
      <alignment horizontal="center" vertical="center"/>
    </xf>
    <xf numFmtId="354" fontId="230" fillId="0" borderId="13" xfId="8512" applyNumberFormat="1" applyFont="1" applyBorder="1" applyAlignment="1">
      <alignment horizontal="center" vertical="center"/>
    </xf>
    <xf numFmtId="0" fontId="230" fillId="0" borderId="13" xfId="8512" applyFont="1" applyBorder="1" applyAlignment="1">
      <alignment horizontal="center" vertical="center"/>
    </xf>
    <xf numFmtId="41" fontId="230" fillId="0" borderId="13" xfId="8511" applyFont="1" applyFill="1" applyBorder="1" applyAlignment="1">
      <alignment horizontal="center" vertical="center"/>
    </xf>
    <xf numFmtId="0" fontId="230" fillId="0" borderId="11" xfId="8512" applyFont="1" applyBorder="1" applyAlignment="1">
      <alignment horizontal="center" vertical="center"/>
    </xf>
    <xf numFmtId="41" fontId="230" fillId="0" borderId="11" xfId="8511" applyFont="1" applyFill="1" applyBorder="1" applyAlignment="1">
      <alignment horizontal="center" vertical="center"/>
    </xf>
    <xf numFmtId="41" fontId="230" fillId="0" borderId="71" xfId="8511" applyFont="1" applyFill="1" applyBorder="1" applyAlignment="1">
      <alignment horizontal="center" vertical="center"/>
    </xf>
    <xf numFmtId="0" fontId="199" fillId="0" borderId="13" xfId="256" applyFont="1" applyBorder="1" applyAlignment="1">
      <alignment horizontal="center" vertical="center"/>
    </xf>
    <xf numFmtId="0" fontId="163" fillId="0" borderId="80" xfId="256" applyFont="1" applyBorder="1" applyAlignment="1">
      <alignment horizontal="center" vertical="center"/>
    </xf>
    <xf numFmtId="0" fontId="199" fillId="0" borderId="13" xfId="256" applyFont="1" applyBorder="1" applyAlignment="1">
      <alignment vertical="center"/>
    </xf>
    <xf numFmtId="0" fontId="53" fillId="0" borderId="83" xfId="256" applyFont="1" applyBorder="1" applyAlignment="1">
      <alignment vertical="center"/>
    </xf>
    <xf numFmtId="0" fontId="199" fillId="0" borderId="90" xfId="256" applyFont="1" applyBorder="1" applyAlignment="1">
      <alignment vertical="center"/>
    </xf>
    <xf numFmtId="41" fontId="77" fillId="0" borderId="13" xfId="256" applyNumberFormat="1" applyFont="1" applyBorder="1" applyAlignment="1">
      <alignment vertical="center"/>
    </xf>
    <xf numFmtId="0" fontId="268" fillId="0" borderId="13" xfId="8507" applyFont="1" applyBorder="1" applyAlignment="1">
      <alignment horizontal="left" vertical="center" indent="1"/>
    </xf>
    <xf numFmtId="0" fontId="2" fillId="0" borderId="4" xfId="8507" applyBorder="1">
      <alignment vertical="center"/>
    </xf>
    <xf numFmtId="0" fontId="2" fillId="0" borderId="119" xfId="8507" applyBorder="1">
      <alignment vertical="center"/>
    </xf>
    <xf numFmtId="2" fontId="232" fillId="0" borderId="83" xfId="8507" applyNumberFormat="1" applyFont="1" applyBorder="1" applyAlignment="1">
      <alignment horizontal="center" vertical="center"/>
    </xf>
    <xf numFmtId="0" fontId="268" fillId="0" borderId="83" xfId="8507" applyFont="1" applyBorder="1" applyAlignment="1">
      <alignment horizontal="left" vertical="center" indent="1"/>
    </xf>
    <xf numFmtId="0" fontId="230" fillId="0" borderId="83" xfId="8512" applyFont="1" applyBorder="1" applyAlignment="1">
      <alignment horizontal="center" vertical="center"/>
    </xf>
    <xf numFmtId="41" fontId="230" fillId="0" borderId="83" xfId="8511" applyFont="1" applyFill="1" applyBorder="1" applyAlignment="1">
      <alignment horizontal="center" vertical="center"/>
    </xf>
    <xf numFmtId="190" fontId="203" fillId="0" borderId="73" xfId="8470" applyNumberFormat="1" applyFont="1" applyFill="1" applyBorder="1" applyAlignment="1">
      <alignment horizontal="center" vertical="center"/>
    </xf>
    <xf numFmtId="190" fontId="203" fillId="0" borderId="72" xfId="8470" applyNumberFormat="1" applyFont="1" applyFill="1" applyBorder="1" applyAlignment="1">
      <alignment horizontal="center" vertical="center"/>
    </xf>
    <xf numFmtId="0" fontId="2" fillId="0" borderId="76" xfId="8507" applyBorder="1">
      <alignment vertical="center"/>
    </xf>
    <xf numFmtId="0" fontId="2" fillId="0" borderId="77" xfId="8507" applyBorder="1">
      <alignment vertical="center"/>
    </xf>
    <xf numFmtId="0" fontId="2" fillId="0" borderId="11" xfId="8507" applyBorder="1">
      <alignment vertical="center"/>
    </xf>
    <xf numFmtId="41" fontId="232" fillId="0" borderId="11" xfId="8491" applyFont="1" applyBorder="1" applyAlignment="1">
      <alignment vertical="center"/>
    </xf>
    <xf numFmtId="41" fontId="232" fillId="0" borderId="71" xfId="8491" applyFont="1" applyBorder="1" applyAlignment="1">
      <alignment vertical="center"/>
    </xf>
    <xf numFmtId="41" fontId="230" fillId="0" borderId="71" xfId="8511" applyFont="1" applyFill="1" applyBorder="1" applyAlignment="1">
      <alignment horizontal="right" vertical="center"/>
    </xf>
    <xf numFmtId="41" fontId="230" fillId="0" borderId="11" xfId="8511" applyFont="1" applyFill="1" applyBorder="1" applyAlignment="1">
      <alignment horizontal="right" vertical="center"/>
    </xf>
    <xf numFmtId="41" fontId="230" fillId="0" borderId="73" xfId="8511" applyFont="1" applyFill="1" applyBorder="1" applyAlignment="1">
      <alignment horizontal="right" vertical="center"/>
    </xf>
    <xf numFmtId="41" fontId="230" fillId="0" borderId="72" xfId="8511" applyFont="1" applyFill="1" applyBorder="1" applyAlignment="1">
      <alignment horizontal="center" vertical="center"/>
    </xf>
    <xf numFmtId="190" fontId="203" fillId="0" borderId="68" xfId="8470" applyNumberFormat="1" applyFont="1" applyFill="1" applyBorder="1" applyAlignment="1">
      <alignment horizontal="centerContinuous" vertical="center"/>
    </xf>
    <xf numFmtId="190" fontId="203" fillId="0" borderId="70" xfId="8470" applyNumberFormat="1" applyFont="1" applyFill="1" applyBorder="1" applyAlignment="1">
      <alignment horizontal="centerContinuous" vertical="center"/>
    </xf>
    <xf numFmtId="41" fontId="232" fillId="0" borderId="72" xfId="8491" applyFont="1" applyBorder="1" applyAlignment="1">
      <alignment vertical="center"/>
    </xf>
    <xf numFmtId="41" fontId="230" fillId="0" borderId="72" xfId="8511" applyFont="1" applyFill="1" applyBorder="1" applyAlignment="1">
      <alignment horizontal="right" vertical="center"/>
    </xf>
    <xf numFmtId="41" fontId="230" fillId="0" borderId="11" xfId="8481" applyFont="1" applyFill="1" applyBorder="1" applyAlignment="1">
      <alignment horizontal="center" vertical="center"/>
    </xf>
    <xf numFmtId="0" fontId="268" fillId="0" borderId="76" xfId="8507" applyFont="1" applyBorder="1">
      <alignment vertical="center"/>
    </xf>
    <xf numFmtId="0" fontId="2" fillId="0" borderId="121" xfId="8507" applyBorder="1">
      <alignment vertical="center"/>
    </xf>
    <xf numFmtId="0" fontId="2" fillId="0" borderId="123" xfId="8507" applyBorder="1">
      <alignment vertical="center"/>
    </xf>
    <xf numFmtId="0" fontId="230" fillId="0" borderId="123" xfId="8512" applyFont="1" applyBorder="1"/>
    <xf numFmtId="41" fontId="230" fillId="0" borderId="123" xfId="8511" applyFont="1" applyFill="1" applyBorder="1" applyAlignment="1">
      <alignment horizontal="center" vertical="center"/>
    </xf>
    <xf numFmtId="0" fontId="230" fillId="0" borderId="12" xfId="8512" applyFont="1" applyBorder="1" applyAlignment="1">
      <alignment horizontal="center" vertical="center"/>
    </xf>
    <xf numFmtId="0" fontId="230" fillId="0" borderId="117" xfId="8512" applyFont="1" applyBorder="1" applyAlignment="1">
      <alignment horizontal="center" vertical="center"/>
    </xf>
    <xf numFmtId="0" fontId="230" fillId="0" borderId="118" xfId="8512" applyFont="1" applyBorder="1"/>
    <xf numFmtId="0" fontId="268" fillId="0" borderId="76" xfId="8507" applyFont="1" applyBorder="1" applyAlignment="1">
      <alignment horizontal="left" vertical="center" indent="1"/>
    </xf>
    <xf numFmtId="0" fontId="232" fillId="0" borderId="4" xfId="8507" applyFont="1" applyBorder="1" applyAlignment="1">
      <alignment horizontal="center" vertical="center" wrapText="1"/>
    </xf>
    <xf numFmtId="2" fontId="232" fillId="0" borderId="119" xfId="8507" applyNumberFormat="1" applyFont="1" applyBorder="1" applyAlignment="1">
      <alignment horizontal="center" vertical="center"/>
    </xf>
    <xf numFmtId="41" fontId="232" fillId="0" borderId="76" xfId="8491" applyFont="1" applyBorder="1" applyAlignment="1">
      <alignment vertical="center"/>
    </xf>
    <xf numFmtId="41" fontId="232" fillId="0" borderId="77" xfId="8491" applyFont="1" applyBorder="1" applyAlignment="1">
      <alignment vertical="center"/>
    </xf>
    <xf numFmtId="2" fontId="232" fillId="0" borderId="117" xfId="8507" applyNumberFormat="1" applyFont="1" applyBorder="1" applyAlignment="1">
      <alignment horizontal="center" vertical="center"/>
    </xf>
    <xf numFmtId="41" fontId="232" fillId="0" borderId="73" xfId="8491" applyFont="1" applyBorder="1" applyAlignment="1">
      <alignment vertical="center"/>
    </xf>
    <xf numFmtId="0" fontId="2" fillId="0" borderId="118" xfId="8507" applyBorder="1">
      <alignment vertical="center"/>
    </xf>
    <xf numFmtId="2" fontId="232" fillId="0" borderId="85" xfId="8507" applyNumberFormat="1" applyFont="1" applyBorder="1" applyAlignment="1">
      <alignment horizontal="center" vertical="center"/>
    </xf>
    <xf numFmtId="41" fontId="232" fillId="0" borderId="68" xfId="8491" applyFont="1" applyBorder="1" applyAlignment="1">
      <alignment vertical="center"/>
    </xf>
    <xf numFmtId="41" fontId="232" fillId="0" borderId="70" xfId="8491" applyFont="1" applyBorder="1" applyAlignment="1">
      <alignment vertical="center"/>
    </xf>
    <xf numFmtId="0" fontId="2" fillId="0" borderId="84" xfId="8507" applyBorder="1">
      <alignment vertical="center"/>
    </xf>
    <xf numFmtId="0" fontId="2" fillId="0" borderId="73" xfId="8507" applyBorder="1">
      <alignment vertical="center"/>
    </xf>
    <xf numFmtId="0" fontId="2" fillId="0" borderId="68" xfId="8507" applyBorder="1">
      <alignment vertical="center"/>
    </xf>
    <xf numFmtId="0" fontId="331" fillId="0" borderId="13" xfId="8512" applyFont="1" applyBorder="1" applyAlignment="1">
      <alignment horizontal="center" vertical="center"/>
    </xf>
    <xf numFmtId="0" fontId="77" fillId="0" borderId="4" xfId="256" applyFont="1" applyBorder="1" applyAlignment="1">
      <alignment vertical="center"/>
    </xf>
    <xf numFmtId="0" fontId="77" fillId="0" borderId="4" xfId="256" applyFont="1" applyBorder="1" applyAlignment="1">
      <alignment horizontal="center" vertical="center"/>
    </xf>
    <xf numFmtId="41" fontId="77" fillId="0" borderId="4" xfId="256" applyNumberFormat="1" applyFont="1" applyBorder="1" applyAlignment="1">
      <alignment vertical="center"/>
    </xf>
    <xf numFmtId="0" fontId="77" fillId="0" borderId="77" xfId="256" applyFont="1" applyBorder="1" applyAlignment="1">
      <alignment vertical="center"/>
    </xf>
    <xf numFmtId="0" fontId="53" fillId="0" borderId="4" xfId="256" applyFont="1" applyBorder="1" applyAlignment="1">
      <alignment horizontal="center" vertical="center"/>
    </xf>
    <xf numFmtId="41" fontId="53" fillId="0" borderId="4" xfId="256" applyNumberFormat="1" applyFont="1" applyBorder="1" applyAlignment="1">
      <alignment horizontal="center" vertical="center"/>
    </xf>
    <xf numFmtId="0" fontId="53" fillId="0" borderId="77" xfId="256" applyFont="1" applyBorder="1" applyAlignment="1">
      <alignment horizontal="center" vertical="center"/>
    </xf>
    <xf numFmtId="0" fontId="162" fillId="0" borderId="140" xfId="256" applyFont="1" applyBorder="1" applyAlignment="1">
      <alignment vertical="center"/>
    </xf>
    <xf numFmtId="0" fontId="53" fillId="0" borderId="79" xfId="256" applyFont="1" applyBorder="1" applyAlignment="1">
      <alignment horizontal="center" vertical="center"/>
    </xf>
    <xf numFmtId="41" fontId="53" fillId="0" borderId="79" xfId="256" applyNumberFormat="1" applyFont="1" applyBorder="1" applyAlignment="1">
      <alignment horizontal="center" vertical="center"/>
    </xf>
    <xf numFmtId="0" fontId="53" fillId="0" borderId="107" xfId="256" applyFont="1" applyBorder="1" applyAlignment="1">
      <alignment horizontal="center" vertical="center"/>
    </xf>
    <xf numFmtId="41" fontId="77" fillId="0" borderId="4" xfId="256" applyNumberFormat="1" applyFont="1" applyBorder="1" applyAlignment="1">
      <alignment horizontal="center" vertical="center"/>
    </xf>
    <xf numFmtId="0" fontId="110" fillId="0" borderId="0" xfId="0" applyFont="1" applyAlignment="1">
      <alignment horizontal="center" vertical="center"/>
    </xf>
    <xf numFmtId="0" fontId="110" fillId="0" borderId="0" xfId="0" applyFont="1" applyAlignment="1">
      <alignment horizontal="center" vertical="center" wrapText="1"/>
    </xf>
    <xf numFmtId="0" fontId="53" fillId="0" borderId="76" xfId="256" applyFont="1" applyBorder="1" applyAlignment="1">
      <alignment vertical="center" wrapText="1"/>
    </xf>
    <xf numFmtId="0" fontId="186" fillId="4" borderId="13" xfId="256" applyFont="1" applyFill="1" applyBorder="1" applyAlignment="1">
      <alignment horizontal="center" vertical="center"/>
    </xf>
    <xf numFmtId="2" fontId="163" fillId="0" borderId="13" xfId="256" applyNumberFormat="1" applyFont="1" applyBorder="1" applyAlignment="1">
      <alignment horizontal="right" vertical="center"/>
    </xf>
    <xf numFmtId="2" fontId="164" fillId="0" borderId="13" xfId="256" applyNumberFormat="1" applyFont="1" applyBorder="1" applyAlignment="1">
      <alignment horizontal="right" vertical="center"/>
    </xf>
    <xf numFmtId="0" fontId="163" fillId="0" borderId="71" xfId="256" applyFont="1" applyBorder="1" applyAlignment="1">
      <alignment horizontal="center" vertical="center"/>
    </xf>
    <xf numFmtId="0" fontId="197" fillId="0" borderId="234" xfId="256" applyFont="1" applyBorder="1" applyAlignment="1">
      <alignment vertical="center"/>
    </xf>
    <xf numFmtId="0" fontId="183" fillId="0" borderId="234" xfId="256" applyFont="1" applyBorder="1" applyAlignment="1">
      <alignment horizontal="center" vertical="center"/>
    </xf>
    <xf numFmtId="41" fontId="163" fillId="0" borderId="234" xfId="256" applyNumberFormat="1" applyFont="1" applyBorder="1" applyAlignment="1">
      <alignment vertical="center"/>
    </xf>
    <xf numFmtId="41" fontId="164" fillId="0" borderId="234" xfId="256" applyNumberFormat="1" applyFont="1" applyBorder="1" applyAlignment="1">
      <alignment vertical="center"/>
    </xf>
    <xf numFmtId="0" fontId="197" fillId="0" borderId="112" xfId="256" applyFont="1" applyBorder="1" applyAlignment="1">
      <alignment vertical="center"/>
    </xf>
    <xf numFmtId="0" fontId="183" fillId="0" borderId="112" xfId="256" applyFont="1" applyBorder="1" applyAlignment="1">
      <alignment horizontal="center" vertical="center"/>
    </xf>
    <xf numFmtId="41" fontId="163" fillId="0" borderId="112" xfId="256" applyNumberFormat="1" applyFont="1" applyBorder="1" applyAlignment="1">
      <alignment vertical="center"/>
    </xf>
    <xf numFmtId="177" fontId="183" fillId="0" borderId="137" xfId="256" applyNumberFormat="1" applyFont="1" applyBorder="1" applyAlignment="1">
      <alignment horizontal="right" vertical="center"/>
    </xf>
    <xf numFmtId="177" fontId="183" fillId="0" borderId="13" xfId="256" applyNumberFormat="1" applyFont="1" applyBorder="1" applyAlignment="1">
      <alignment horizontal="right" vertical="center"/>
    </xf>
    <xf numFmtId="182" fontId="199" fillId="0" borderId="13" xfId="256" applyNumberFormat="1" applyFont="1" applyBorder="1" applyAlignment="1">
      <alignment horizontal="right" vertical="center"/>
    </xf>
    <xf numFmtId="0" fontId="77" fillId="0" borderId="110" xfId="256" applyFont="1" applyBorder="1" applyAlignment="1">
      <alignment vertical="center"/>
    </xf>
    <xf numFmtId="0" fontId="174" fillId="0" borderId="71" xfId="256" applyFont="1" applyBorder="1" applyAlignment="1">
      <alignment horizontal="center" vertical="center"/>
    </xf>
    <xf numFmtId="0" fontId="202" fillId="0" borderId="71" xfId="256" applyFont="1" applyBorder="1" applyAlignment="1">
      <alignment horizontal="center" vertical="center"/>
    </xf>
    <xf numFmtId="0" fontId="266" fillId="0" borderId="0" xfId="0" applyFont="1" applyAlignment="1">
      <alignment horizontal="left" vertical="center"/>
    </xf>
    <xf numFmtId="0" fontId="333" fillId="0" borderId="0" xfId="0" applyFont="1">
      <alignment vertical="center"/>
    </xf>
    <xf numFmtId="0" fontId="266" fillId="0" borderId="239" xfId="0" applyFont="1" applyBorder="1" applyAlignment="1">
      <alignment horizontal="center" vertical="center" wrapText="1"/>
    </xf>
    <xf numFmtId="0" fontId="266" fillId="0" borderId="240" xfId="0" applyFont="1" applyBorder="1" applyAlignment="1">
      <alignment horizontal="center" vertical="center" wrapText="1"/>
    </xf>
    <xf numFmtId="0" fontId="266" fillId="0" borderId="241" xfId="0" applyFont="1" applyBorder="1" applyAlignment="1">
      <alignment horizontal="center" vertical="center" wrapText="1"/>
    </xf>
    <xf numFmtId="0" fontId="333" fillId="0" borderId="152" xfId="0" applyFont="1" applyBorder="1" applyAlignment="1">
      <alignment horizontal="center" vertical="center" wrapText="1"/>
    </xf>
    <xf numFmtId="0" fontId="333" fillId="0" borderId="244" xfId="0" applyFont="1" applyBorder="1" applyAlignment="1">
      <alignment horizontal="center" vertical="center" wrapText="1"/>
    </xf>
    <xf numFmtId="0" fontId="333" fillId="0" borderId="245" xfId="0" applyFont="1" applyBorder="1" applyAlignment="1">
      <alignment horizontal="center" vertical="center" wrapText="1"/>
    </xf>
    <xf numFmtId="0" fontId="333" fillId="0" borderId="246" xfId="0" applyFont="1" applyBorder="1" applyAlignment="1">
      <alignment horizontal="center" vertical="center" wrapText="1"/>
    </xf>
    <xf numFmtId="0" fontId="333" fillId="0" borderId="0" xfId="0" applyFont="1" applyAlignment="1">
      <alignment horizontal="center" vertical="center"/>
    </xf>
    <xf numFmtId="0" fontId="333" fillId="0" borderId="248" xfId="0" applyFont="1" applyBorder="1" applyAlignment="1">
      <alignment horizontal="center" vertical="center" wrapText="1"/>
    </xf>
    <xf numFmtId="0" fontId="333" fillId="0" borderId="249" xfId="0" applyFont="1" applyBorder="1" applyAlignment="1">
      <alignment horizontal="center" vertical="center" wrapText="1"/>
    </xf>
    <xf numFmtId="0" fontId="333" fillId="0" borderId="225" xfId="0" applyFont="1" applyBorder="1" applyAlignment="1">
      <alignment horizontal="center" vertical="center" wrapText="1"/>
    </xf>
    <xf numFmtId="0" fontId="333" fillId="0" borderId="249" xfId="0" applyFont="1" applyBorder="1" applyAlignment="1">
      <alignment vertical="center" wrapText="1"/>
    </xf>
    <xf numFmtId="47" fontId="333" fillId="0" borderId="152" xfId="0" applyNumberFormat="1" applyFont="1" applyBorder="1" applyAlignment="1">
      <alignment horizontal="center" vertical="center" wrapText="1"/>
    </xf>
    <xf numFmtId="0" fontId="333" fillId="0" borderId="250" xfId="0" applyFont="1" applyBorder="1" applyAlignment="1">
      <alignment vertical="center" wrapText="1"/>
    </xf>
    <xf numFmtId="0" fontId="266" fillId="0" borderId="264" xfId="0" applyFont="1" applyBorder="1" applyAlignment="1">
      <alignment horizontal="center" vertical="center" wrapText="1"/>
    </xf>
    <xf numFmtId="0" fontId="266" fillId="0" borderId="259" xfId="0" applyFont="1" applyBorder="1" applyAlignment="1">
      <alignment horizontal="center" vertical="center" wrapText="1"/>
    </xf>
    <xf numFmtId="0" fontId="333" fillId="0" borderId="150" xfId="0" applyFont="1" applyBorder="1" applyAlignment="1">
      <alignment horizontal="center" vertical="center" wrapText="1"/>
    </xf>
    <xf numFmtId="0" fontId="333" fillId="0" borderId="257" xfId="0" applyFont="1" applyBorder="1" applyAlignment="1">
      <alignment horizontal="center" vertical="center" wrapText="1"/>
    </xf>
    <xf numFmtId="0" fontId="266" fillId="0" borderId="266" xfId="0" applyFont="1" applyBorder="1" applyAlignment="1">
      <alignment horizontal="center" vertical="center" wrapText="1"/>
    </xf>
    <xf numFmtId="0" fontId="266" fillId="0" borderId="269" xfId="0" applyFont="1" applyBorder="1" applyAlignment="1">
      <alignment horizontal="center" vertical="center" wrapText="1"/>
    </xf>
    <xf numFmtId="0" fontId="266" fillId="0" borderId="267" xfId="0" applyFont="1" applyBorder="1" applyAlignment="1">
      <alignment horizontal="center" vertical="center" wrapText="1"/>
    </xf>
    <xf numFmtId="0" fontId="266" fillId="0" borderId="270" xfId="0" applyFont="1" applyBorder="1" applyAlignment="1">
      <alignment horizontal="center" vertical="center" wrapText="1"/>
    </xf>
    <xf numFmtId="0" fontId="266" fillId="0" borderId="245" xfId="0" applyFont="1" applyBorder="1" applyAlignment="1">
      <alignment horizontal="center" vertical="center" wrapText="1"/>
    </xf>
    <xf numFmtId="3" fontId="266" fillId="0" borderId="245" xfId="0" applyNumberFormat="1" applyFont="1" applyBorder="1" applyAlignment="1">
      <alignment horizontal="center" vertical="center" wrapText="1"/>
    </xf>
    <xf numFmtId="0" fontId="266" fillId="0" borderId="246" xfId="0" applyFont="1" applyBorder="1" applyAlignment="1">
      <alignment horizontal="center" vertical="center" wrapText="1"/>
    </xf>
    <xf numFmtId="0" fontId="266" fillId="0" borderId="150" xfId="0" applyFont="1" applyBorder="1" applyAlignment="1">
      <alignment horizontal="center" vertical="center" wrapText="1"/>
    </xf>
    <xf numFmtId="0" fontId="333" fillId="0" borderId="150" xfId="0" applyFont="1" applyBorder="1" applyAlignment="1">
      <alignment vertical="center" wrapText="1"/>
    </xf>
    <xf numFmtId="0" fontId="266" fillId="0" borderId="151" xfId="0" applyFont="1" applyBorder="1" applyAlignment="1">
      <alignment horizontal="center" vertical="center" wrapText="1"/>
    </xf>
    <xf numFmtId="0" fontId="333" fillId="0" borderId="267" xfId="0" applyFont="1" applyBorder="1" applyAlignment="1">
      <alignment vertical="center" wrapText="1"/>
    </xf>
    <xf numFmtId="0" fontId="266" fillId="0" borderId="253" xfId="0" applyFont="1" applyBorder="1" applyAlignment="1">
      <alignment horizontal="center" vertical="center" wrapText="1"/>
    </xf>
    <xf numFmtId="0" fontId="333" fillId="0" borderId="253" xfId="0" applyFont="1" applyBorder="1" applyAlignment="1">
      <alignment vertical="center" wrapText="1"/>
    </xf>
    <xf numFmtId="0" fontId="333" fillId="0" borderId="270" xfId="0" applyFont="1" applyBorder="1" applyAlignment="1">
      <alignment vertical="center" wrapText="1"/>
    </xf>
    <xf numFmtId="0" fontId="266" fillId="0" borderId="280" xfId="0" applyFont="1" applyBorder="1" applyAlignment="1">
      <alignment horizontal="center" vertical="center" wrapText="1"/>
    </xf>
    <xf numFmtId="0" fontId="266" fillId="0" borderId="283" xfId="0" applyFont="1" applyBorder="1" applyAlignment="1">
      <alignment horizontal="center" vertical="center" wrapText="1"/>
    </xf>
    <xf numFmtId="0" fontId="266" fillId="0" borderId="284" xfId="0" applyFont="1" applyBorder="1" applyAlignment="1">
      <alignment horizontal="center" vertical="center" wrapText="1"/>
    </xf>
    <xf numFmtId="0" fontId="333" fillId="0" borderId="285" xfId="0" applyFont="1" applyBorder="1" applyAlignment="1">
      <alignment vertical="center" wrapText="1"/>
    </xf>
    <xf numFmtId="0" fontId="333" fillId="0" borderId="290" xfId="0" applyFont="1" applyBorder="1" applyAlignment="1">
      <alignment horizontal="center" vertical="center" wrapText="1"/>
    </xf>
    <xf numFmtId="0" fontId="333" fillId="0" borderId="0" xfId="0" applyFont="1" applyAlignment="1">
      <alignment horizontal="right" vertical="center"/>
    </xf>
    <xf numFmtId="0" fontId="333" fillId="0" borderId="0" xfId="0" applyFont="1" applyAlignment="1">
      <alignment horizontal="left" vertical="center"/>
    </xf>
    <xf numFmtId="0" fontId="266" fillId="0" borderId="249" xfId="0" applyFont="1" applyBorder="1" applyAlignment="1">
      <alignment horizontal="center" vertical="center" wrapText="1"/>
    </xf>
    <xf numFmtId="0" fontId="333" fillId="0" borderId="260" xfId="0" applyFont="1" applyBorder="1" applyAlignment="1">
      <alignment vertical="center" wrapText="1"/>
    </xf>
    <xf numFmtId="0" fontId="333" fillId="0" borderId="151" xfId="0" applyFont="1" applyBorder="1" applyAlignment="1">
      <alignment horizontal="center" vertical="center" wrapText="1"/>
    </xf>
    <xf numFmtId="0" fontId="333" fillId="0" borderId="295" xfId="0" applyFont="1" applyBorder="1" applyAlignment="1">
      <alignment horizontal="center" vertical="center" wrapText="1"/>
    </xf>
    <xf numFmtId="0" fontId="333" fillId="0" borderId="266" xfId="0" applyFont="1" applyBorder="1" applyAlignment="1">
      <alignment horizontal="center" vertical="center" wrapText="1"/>
    </xf>
    <xf numFmtId="0" fontId="333" fillId="0" borderId="269" xfId="0" applyFont="1" applyBorder="1" applyAlignment="1">
      <alignment horizontal="center" vertical="center" wrapText="1"/>
    </xf>
    <xf numFmtId="0" fontId="333" fillId="0" borderId="253" xfId="0" applyFont="1" applyBorder="1" applyAlignment="1">
      <alignment horizontal="center" vertical="center" wrapText="1"/>
    </xf>
    <xf numFmtId="0" fontId="333" fillId="0" borderId="267" xfId="0" applyFont="1" applyBorder="1" applyAlignment="1">
      <alignment horizontal="center" vertical="center" wrapText="1"/>
    </xf>
    <xf numFmtId="0" fontId="333" fillId="0" borderId="265" xfId="0" applyFont="1" applyBorder="1" applyAlignment="1">
      <alignment horizontal="center" vertical="center" wrapText="1"/>
    </xf>
    <xf numFmtId="0" fontId="333" fillId="37" borderId="242" xfId="0" applyFont="1" applyFill="1" applyBorder="1" applyAlignment="1">
      <alignment horizontal="center" vertical="center" wrapText="1"/>
    </xf>
    <xf numFmtId="0" fontId="333" fillId="37" borderId="243" xfId="0" applyFont="1" applyFill="1" applyBorder="1" applyAlignment="1">
      <alignment horizontal="center" vertical="center" wrapText="1"/>
    </xf>
    <xf numFmtId="0" fontId="333" fillId="37" borderId="251" xfId="0" applyFont="1" applyFill="1" applyBorder="1" applyAlignment="1">
      <alignment horizontal="center" vertical="center" wrapText="1"/>
    </xf>
    <xf numFmtId="0" fontId="333" fillId="37" borderId="225" xfId="0" applyFont="1" applyFill="1" applyBorder="1" applyAlignment="1">
      <alignment horizontal="center" vertical="center" wrapText="1"/>
    </xf>
    <xf numFmtId="0" fontId="333" fillId="37" borderId="151" xfId="0" applyFont="1" applyFill="1" applyBorder="1" applyAlignment="1">
      <alignment horizontal="center" vertical="center" wrapText="1"/>
    </xf>
    <xf numFmtId="0" fontId="333" fillId="37" borderId="152" xfId="0" applyFont="1" applyFill="1" applyBorder="1" applyAlignment="1">
      <alignment horizontal="center" vertical="center" wrapText="1"/>
    </xf>
    <xf numFmtId="0" fontId="333" fillId="37" borderId="244" xfId="0" applyFont="1" applyFill="1" applyBorder="1" applyAlignment="1">
      <alignment horizontal="center" vertical="center" wrapText="1"/>
    </xf>
    <xf numFmtId="0" fontId="333" fillId="37" borderId="245" xfId="0" applyFont="1" applyFill="1" applyBorder="1" applyAlignment="1">
      <alignment horizontal="center" vertical="center" wrapText="1"/>
    </xf>
    <xf numFmtId="0" fontId="333" fillId="37" borderId="246" xfId="0" applyFont="1" applyFill="1" applyBorder="1" applyAlignment="1">
      <alignment horizontal="center" vertical="center" wrapText="1"/>
    </xf>
    <xf numFmtId="47" fontId="333" fillId="37" borderId="242" xfId="0" applyNumberFormat="1" applyFont="1" applyFill="1" applyBorder="1" applyAlignment="1">
      <alignment horizontal="center" vertical="center" wrapText="1"/>
    </xf>
    <xf numFmtId="47" fontId="333" fillId="37" borderId="152" xfId="0" applyNumberFormat="1" applyFont="1" applyFill="1" applyBorder="1" applyAlignment="1">
      <alignment horizontal="center" vertical="center" wrapText="1"/>
    </xf>
    <xf numFmtId="3" fontId="266" fillId="37" borderId="0" xfId="0" applyNumberFormat="1" applyFont="1" applyFill="1" applyAlignment="1">
      <alignment horizontal="center" vertical="center"/>
    </xf>
    <xf numFmtId="0" fontId="266" fillId="37" borderId="0" xfId="0" applyFont="1" applyFill="1">
      <alignment vertical="center"/>
    </xf>
    <xf numFmtId="0" fontId="333" fillId="37" borderId="288" xfId="0" applyFont="1" applyFill="1" applyBorder="1" applyAlignment="1">
      <alignment horizontal="center" vertical="center" wrapText="1"/>
    </xf>
    <xf numFmtId="0" fontId="333" fillId="37" borderId="289" xfId="0" applyFont="1" applyFill="1" applyBorder="1" applyAlignment="1">
      <alignment horizontal="center" vertical="center" wrapText="1"/>
    </xf>
    <xf numFmtId="0" fontId="333" fillId="0" borderId="275" xfId="0" applyFont="1" applyBorder="1" applyAlignment="1">
      <alignment horizontal="center" vertical="center" wrapText="1"/>
    </xf>
    <xf numFmtId="0" fontId="333" fillId="0" borderId="299" xfId="0" applyFont="1" applyBorder="1" applyAlignment="1">
      <alignment horizontal="center" vertical="center" wrapText="1"/>
    </xf>
    <xf numFmtId="0" fontId="333" fillId="0" borderId="303" xfId="0" applyFont="1" applyBorder="1" applyAlignment="1">
      <alignment horizontal="center" vertical="center" wrapText="1"/>
    </xf>
    <xf numFmtId="3" fontId="266" fillId="0" borderId="303" xfId="0" applyNumberFormat="1" applyFont="1" applyBorder="1" applyAlignment="1">
      <alignment horizontal="right" vertical="center" wrapText="1"/>
    </xf>
    <xf numFmtId="0" fontId="335" fillId="0" borderId="305" xfId="0" applyFont="1" applyBorder="1" applyAlignment="1">
      <alignment horizontal="center" vertical="center" wrapText="1"/>
    </xf>
    <xf numFmtId="0" fontId="333" fillId="0" borderId="276" xfId="0" applyFont="1" applyBorder="1" applyAlignment="1">
      <alignment horizontal="center" vertical="center" wrapText="1"/>
    </xf>
    <xf numFmtId="3" fontId="266" fillId="0" borderId="276" xfId="0" applyNumberFormat="1" applyFont="1" applyBorder="1" applyAlignment="1">
      <alignment horizontal="right" vertical="center" wrapText="1"/>
    </xf>
    <xf numFmtId="3" fontId="333" fillId="0" borderId="307" xfId="0" applyNumberFormat="1" applyFont="1" applyBorder="1" applyAlignment="1">
      <alignment horizontal="center" vertical="center" wrapText="1"/>
    </xf>
    <xf numFmtId="0" fontId="266" fillId="0" borderId="276" xfId="0" applyFont="1" applyBorder="1" applyAlignment="1">
      <alignment horizontal="center" vertical="center" wrapText="1"/>
    </xf>
    <xf numFmtId="3" fontId="336" fillId="37" borderId="276" xfId="0" applyNumberFormat="1" applyFont="1" applyFill="1" applyBorder="1" applyAlignment="1">
      <alignment horizontal="right" vertical="center" wrapText="1"/>
    </xf>
    <xf numFmtId="0" fontId="333" fillId="0" borderId="308" xfId="0" applyFont="1" applyBorder="1" applyAlignment="1">
      <alignment horizontal="center" vertical="center" wrapText="1"/>
    </xf>
    <xf numFmtId="3" fontId="333" fillId="0" borderId="276" xfId="0" applyNumberFormat="1" applyFont="1" applyBorder="1" applyAlignment="1">
      <alignment horizontal="right" vertical="center" wrapText="1"/>
    </xf>
    <xf numFmtId="0" fontId="333" fillId="0" borderId="276" xfId="0" applyFont="1" applyBorder="1" applyAlignment="1">
      <alignment horizontal="right" vertical="center" wrapText="1"/>
    </xf>
    <xf numFmtId="0" fontId="333" fillId="0" borderId="257" xfId="0" applyFont="1" applyBorder="1" applyAlignment="1">
      <alignment horizontal="right" vertical="center" wrapText="1"/>
    </xf>
    <xf numFmtId="0" fontId="266" fillId="0" borderId="276" xfId="0" applyFont="1" applyBorder="1" applyAlignment="1">
      <alignment horizontal="right" vertical="center" wrapText="1"/>
    </xf>
    <xf numFmtId="0" fontId="333" fillId="0" borderId="307" xfId="0" applyFont="1" applyBorder="1" applyAlignment="1">
      <alignment horizontal="center" vertical="center" wrapText="1"/>
    </xf>
    <xf numFmtId="0" fontId="333" fillId="0" borderId="221" xfId="0" applyFont="1" applyBorder="1" applyAlignment="1">
      <alignment horizontal="center" vertical="center" wrapText="1"/>
    </xf>
    <xf numFmtId="3" fontId="335" fillId="37" borderId="276" xfId="0" applyNumberFormat="1" applyFont="1" applyFill="1" applyBorder="1" applyAlignment="1">
      <alignment horizontal="right" vertical="center" wrapText="1"/>
    </xf>
    <xf numFmtId="0" fontId="333" fillId="0" borderId="309" xfId="0" applyFont="1" applyBorder="1" applyAlignment="1">
      <alignment horizontal="center" vertical="center" wrapText="1"/>
    </xf>
    <xf numFmtId="0" fontId="333" fillId="0" borderId="225" xfId="0" applyFont="1" applyBorder="1" applyAlignment="1">
      <alignment vertical="center" wrapText="1"/>
    </xf>
    <xf numFmtId="3" fontId="266" fillId="0" borderId="257" xfId="0" applyNumberFormat="1" applyFont="1" applyBorder="1" applyAlignment="1">
      <alignment horizontal="right" vertical="center" wrapText="1"/>
    </xf>
    <xf numFmtId="0" fontId="333" fillId="0" borderId="310" xfId="0" applyFont="1" applyBorder="1" applyAlignment="1">
      <alignment horizontal="center" vertical="center" wrapText="1"/>
    </xf>
    <xf numFmtId="0" fontId="333" fillId="0" borderId="258" xfId="0" applyFont="1" applyBorder="1" applyAlignment="1">
      <alignment horizontal="center" vertical="center" wrapText="1"/>
    </xf>
    <xf numFmtId="3" fontId="266" fillId="0" borderId="258" xfId="0" applyNumberFormat="1" applyFont="1" applyBorder="1" applyAlignment="1">
      <alignment horizontal="right" vertical="center" wrapText="1"/>
    </xf>
    <xf numFmtId="0" fontId="333" fillId="0" borderId="273" xfId="0" applyFont="1" applyBorder="1" applyAlignment="1">
      <alignment horizontal="center" vertical="center" wrapText="1"/>
    </xf>
    <xf numFmtId="0" fontId="333" fillId="0" borderId="247" xfId="0" applyFont="1" applyBorder="1" applyAlignment="1">
      <alignment horizontal="center" vertical="center" wrapText="1"/>
    </xf>
    <xf numFmtId="0" fontId="333" fillId="0" borderId="298" xfId="0" applyFont="1" applyBorder="1" applyAlignment="1">
      <alignment horizontal="center" vertical="center" wrapText="1"/>
    </xf>
    <xf numFmtId="3" fontId="266" fillId="0" borderId="221" xfId="0" applyNumberFormat="1" applyFont="1" applyBorder="1" applyAlignment="1">
      <alignment horizontal="right" vertical="center" wrapText="1"/>
    </xf>
    <xf numFmtId="3" fontId="336" fillId="37" borderId="0" xfId="0" applyNumberFormat="1" applyFont="1" applyFill="1" applyAlignment="1">
      <alignment horizontal="right" vertical="center" wrapText="1"/>
    </xf>
    <xf numFmtId="3" fontId="333" fillId="0" borderId="0" xfId="0" applyNumberFormat="1" applyFont="1" applyAlignment="1">
      <alignment horizontal="right" vertical="center" wrapText="1"/>
    </xf>
    <xf numFmtId="0" fontId="333" fillId="0" borderId="221" xfId="0" applyFont="1" applyBorder="1" applyAlignment="1">
      <alignment horizontal="right" vertical="center" wrapText="1"/>
    </xf>
    <xf numFmtId="3" fontId="336" fillId="37" borderId="221" xfId="0" applyNumberFormat="1" applyFont="1" applyFill="1" applyBorder="1" applyAlignment="1">
      <alignment horizontal="right" vertical="center" wrapText="1"/>
    </xf>
    <xf numFmtId="3" fontId="335" fillId="37" borderId="221" xfId="0" applyNumberFormat="1" applyFont="1" applyFill="1" applyBorder="1" applyAlignment="1">
      <alignment horizontal="right" vertical="center" wrapText="1"/>
    </xf>
    <xf numFmtId="3" fontId="333" fillId="0" borderId="221" xfId="0" applyNumberFormat="1" applyFont="1" applyBorder="1" applyAlignment="1">
      <alignment horizontal="right" vertical="center" wrapText="1"/>
    </xf>
    <xf numFmtId="3" fontId="266" fillId="0" borderId="0" xfId="0" applyNumberFormat="1" applyFont="1" applyAlignment="1">
      <alignment horizontal="right" vertical="center" wrapText="1"/>
    </xf>
    <xf numFmtId="3" fontId="266" fillId="0" borderId="306" xfId="0" applyNumberFormat="1" applyFont="1" applyBorder="1" applyAlignment="1">
      <alignment horizontal="right" vertical="center" wrapText="1"/>
    </xf>
    <xf numFmtId="3" fontId="266" fillId="0" borderId="272" xfId="0" applyNumberFormat="1" applyFont="1" applyBorder="1" applyAlignment="1">
      <alignment horizontal="right" vertical="center" wrapText="1"/>
    </xf>
    <xf numFmtId="3" fontId="266" fillId="37" borderId="0" xfId="0" applyNumberFormat="1" applyFont="1" applyFill="1" applyAlignment="1">
      <alignment horizontal="right" vertical="center" wrapText="1"/>
    </xf>
    <xf numFmtId="3" fontId="266" fillId="0" borderId="0" xfId="0" applyNumberFormat="1" applyFont="1" applyAlignment="1">
      <alignment horizontal="center" vertical="center" wrapText="1"/>
    </xf>
    <xf numFmtId="3" fontId="266" fillId="0" borderId="306" xfId="0" applyNumberFormat="1" applyFont="1" applyBorder="1" applyAlignment="1">
      <alignment horizontal="center" vertical="center" wrapText="1"/>
    </xf>
    <xf numFmtId="3" fontId="266" fillId="37" borderId="221" xfId="0" applyNumberFormat="1" applyFont="1" applyFill="1" applyBorder="1" applyAlignment="1">
      <alignment horizontal="right" vertical="center" wrapText="1"/>
    </xf>
    <xf numFmtId="0" fontId="333" fillId="37" borderId="276" xfId="0" applyFont="1" applyFill="1" applyBorder="1" applyAlignment="1">
      <alignment horizontal="center" vertical="center" wrapText="1"/>
    </xf>
    <xf numFmtId="0" fontId="333" fillId="37" borderId="276" xfId="0" applyFont="1" applyFill="1" applyBorder="1" applyAlignment="1">
      <alignment horizontal="right" vertical="center" wrapText="1"/>
    </xf>
    <xf numFmtId="3" fontId="266" fillId="37" borderId="276" xfId="0" applyNumberFormat="1" applyFont="1" applyFill="1" applyBorder="1" applyAlignment="1">
      <alignment horizontal="right" vertical="center" wrapText="1"/>
    </xf>
    <xf numFmtId="3" fontId="333" fillId="37" borderId="187" xfId="0" applyNumberFormat="1" applyFont="1" applyFill="1" applyBorder="1" applyAlignment="1">
      <alignment horizontal="center" vertical="center" wrapText="1"/>
    </xf>
    <xf numFmtId="3" fontId="333" fillId="37" borderId="257" xfId="0" applyNumberFormat="1" applyFont="1" applyFill="1" applyBorder="1" applyAlignment="1">
      <alignment horizontal="center" vertical="center" wrapText="1"/>
    </xf>
    <xf numFmtId="0" fontId="333" fillId="37" borderId="257" xfId="0" applyFont="1" applyFill="1" applyBorder="1" applyAlignment="1">
      <alignment horizontal="center" vertical="center" wrapText="1"/>
    </xf>
    <xf numFmtId="0" fontId="333" fillId="37" borderId="257" xfId="0" applyFont="1" applyFill="1" applyBorder="1" applyAlignment="1">
      <alignment horizontal="right" vertical="center" wrapText="1"/>
    </xf>
    <xf numFmtId="3" fontId="266" fillId="37" borderId="257" xfId="0" applyNumberFormat="1" applyFont="1" applyFill="1" applyBorder="1" applyAlignment="1">
      <alignment horizontal="right" vertical="center" wrapText="1"/>
    </xf>
    <xf numFmtId="3" fontId="333" fillId="0" borderId="0" xfId="0" applyNumberFormat="1" applyFont="1" applyAlignment="1">
      <alignment horizontal="center" vertical="center"/>
    </xf>
    <xf numFmtId="0" fontId="336" fillId="37" borderId="0" xfId="0" applyFont="1" applyFill="1" applyAlignment="1">
      <alignment horizontal="center" vertical="center"/>
    </xf>
    <xf numFmtId="3" fontId="333" fillId="0" borderId="0" xfId="0" applyNumberFormat="1" applyFont="1" applyAlignment="1">
      <alignment horizontal="center" vertical="center" wrapText="1"/>
    </xf>
    <xf numFmtId="3" fontId="266" fillId="0" borderId="302" xfId="0" applyNumberFormat="1" applyFont="1" applyBorder="1" applyAlignment="1">
      <alignment horizontal="center" vertical="center" wrapText="1"/>
    </xf>
    <xf numFmtId="3" fontId="266" fillId="0" borderId="221" xfId="0" applyNumberFormat="1" applyFont="1" applyBorder="1" applyAlignment="1">
      <alignment horizontal="center" vertical="center" wrapText="1"/>
    </xf>
    <xf numFmtId="3" fontId="336" fillId="37" borderId="0" xfId="0" applyNumberFormat="1" applyFont="1" applyFill="1" applyAlignment="1">
      <alignment horizontal="center" vertical="center" wrapText="1"/>
    </xf>
    <xf numFmtId="3" fontId="336" fillId="37" borderId="221" xfId="0" applyNumberFormat="1" applyFont="1" applyFill="1" applyBorder="1" applyAlignment="1">
      <alignment horizontal="center" vertical="center" wrapText="1"/>
    </xf>
    <xf numFmtId="3" fontId="335" fillId="37" borderId="221" xfId="0" applyNumberFormat="1" applyFont="1" applyFill="1" applyBorder="1" applyAlignment="1">
      <alignment horizontal="center" vertical="center" wrapText="1"/>
    </xf>
    <xf numFmtId="3" fontId="333" fillId="0" borderId="221" xfId="0" applyNumberFormat="1" applyFont="1" applyBorder="1" applyAlignment="1">
      <alignment horizontal="center" vertical="center" wrapText="1"/>
    </xf>
    <xf numFmtId="3" fontId="266" fillId="37" borderId="0" xfId="0" applyNumberFormat="1" applyFont="1" applyFill="1" applyAlignment="1">
      <alignment horizontal="center" vertical="center" wrapText="1"/>
    </xf>
    <xf numFmtId="3" fontId="266" fillId="37" borderId="221" xfId="0" applyNumberFormat="1" applyFont="1" applyFill="1" applyBorder="1" applyAlignment="1">
      <alignment horizontal="center" vertical="center" wrapText="1"/>
    </xf>
    <xf numFmtId="3" fontId="266" fillId="0" borderId="272" xfId="0" applyNumberFormat="1" applyFont="1" applyBorder="1" applyAlignment="1">
      <alignment horizontal="center" vertical="center" wrapText="1"/>
    </xf>
    <xf numFmtId="0" fontId="237" fillId="0" borderId="1" xfId="8492" applyFont="1" applyBorder="1" applyAlignment="1">
      <alignment horizontal="center" vertical="center"/>
    </xf>
    <xf numFmtId="3" fontId="230" fillId="0" borderId="1" xfId="8492" applyNumberFormat="1" applyFont="1" applyBorder="1" applyAlignment="1">
      <alignment horizontal="center" vertical="center"/>
    </xf>
    <xf numFmtId="2" fontId="285" fillId="0" borderId="0" xfId="8469" applyNumberFormat="1" applyFont="1" applyAlignment="1">
      <alignment horizontal="left" vertical="center" indent="1"/>
    </xf>
    <xf numFmtId="2" fontId="286" fillId="0" borderId="0" xfId="8469" applyNumberFormat="1" applyFont="1" applyAlignment="1">
      <alignment horizontal="center" vertical="center"/>
    </xf>
    <xf numFmtId="0" fontId="203" fillId="0" borderId="0" xfId="8469" applyFont="1"/>
    <xf numFmtId="0" fontId="337" fillId="0" borderId="239" xfId="0" applyFont="1" applyBorder="1" applyAlignment="1">
      <alignment horizontal="center" vertical="center" wrapText="1"/>
    </xf>
    <xf numFmtId="0" fontId="337" fillId="0" borderId="240" xfId="0" applyFont="1" applyBorder="1" applyAlignment="1">
      <alignment horizontal="center" vertical="center" wrapText="1"/>
    </xf>
    <xf numFmtId="0" fontId="337" fillId="0" borderId="241" xfId="0" applyFont="1" applyBorder="1" applyAlignment="1">
      <alignment horizontal="center" vertical="center" wrapText="1"/>
    </xf>
    <xf numFmtId="0" fontId="338" fillId="0" borderId="311" xfId="0" applyFont="1" applyBorder="1" applyAlignment="1">
      <alignment horizontal="center" vertical="center" wrapText="1"/>
    </xf>
    <xf numFmtId="0" fontId="338" fillId="0" borderId="242" xfId="0" applyFont="1" applyBorder="1" applyAlignment="1">
      <alignment horizontal="justify" vertical="center" wrapText="1"/>
    </xf>
    <xf numFmtId="3" fontId="338" fillId="0" borderId="242" xfId="0" applyNumberFormat="1" applyFont="1" applyBorder="1" applyAlignment="1">
      <alignment horizontal="right" vertical="center" wrapText="1"/>
    </xf>
    <xf numFmtId="0" fontId="338" fillId="0" borderId="243" xfId="0" applyFont="1" applyBorder="1" applyAlignment="1">
      <alignment horizontal="justify" vertical="center" wrapText="1"/>
    </xf>
    <xf numFmtId="0" fontId="338" fillId="0" borderId="312" xfId="0" applyFont="1" applyBorder="1" applyAlignment="1">
      <alignment horizontal="left" vertical="center" wrapText="1"/>
    </xf>
    <xf numFmtId="0" fontId="338" fillId="0" borderId="152" xfId="0" applyFont="1" applyBorder="1" applyAlignment="1">
      <alignment horizontal="right" vertical="center" wrapText="1"/>
    </xf>
    <xf numFmtId="3" fontId="338" fillId="0" borderId="152" xfId="0" applyNumberFormat="1" applyFont="1" applyBorder="1" applyAlignment="1">
      <alignment horizontal="right" vertical="center" wrapText="1"/>
    </xf>
    <xf numFmtId="0" fontId="338" fillId="0" borderId="244" xfId="0" applyFont="1" applyBorder="1" applyAlignment="1">
      <alignment horizontal="justify" vertical="center" wrapText="1"/>
    </xf>
    <xf numFmtId="0" fontId="338" fillId="0" borderId="293" xfId="0" applyFont="1" applyBorder="1" applyAlignment="1">
      <alignment horizontal="justify" vertical="center" wrapText="1"/>
    </xf>
    <xf numFmtId="0" fontId="338" fillId="0" borderId="253" xfId="0" applyFont="1" applyBorder="1" applyAlignment="1">
      <alignment horizontal="justify" vertical="center" wrapText="1"/>
    </xf>
    <xf numFmtId="0" fontId="338" fillId="0" borderId="152" xfId="0" applyFont="1" applyBorder="1" applyAlignment="1">
      <alignment horizontal="center" vertical="center" wrapText="1"/>
    </xf>
    <xf numFmtId="0" fontId="338" fillId="0" borderId="294" xfId="0" applyFont="1" applyBorder="1" applyAlignment="1">
      <alignment horizontal="justify" vertical="center" wrapText="1"/>
    </xf>
    <xf numFmtId="0" fontId="338" fillId="0" borderId="151" xfId="0" applyFont="1" applyBorder="1" applyAlignment="1">
      <alignment horizontal="center" vertical="center" wrapText="1"/>
    </xf>
    <xf numFmtId="0" fontId="338" fillId="0" borderId="225" xfId="0" applyFont="1" applyBorder="1" applyAlignment="1">
      <alignment horizontal="center" vertical="center" wrapText="1"/>
    </xf>
    <xf numFmtId="0" fontId="338" fillId="0" borderId="313" xfId="0" applyFont="1" applyBorder="1" applyAlignment="1">
      <alignment horizontal="left" vertical="center" wrapText="1"/>
    </xf>
    <xf numFmtId="0" fontId="338" fillId="0" borderId="245" xfId="0" applyFont="1" applyBorder="1" applyAlignment="1">
      <alignment horizontal="center" vertical="center" wrapText="1"/>
    </xf>
    <xf numFmtId="3" fontId="338" fillId="0" borderId="245" xfId="0" applyNumberFormat="1" applyFont="1" applyBorder="1" applyAlignment="1">
      <alignment horizontal="right" vertical="center" wrapText="1"/>
    </xf>
    <xf numFmtId="0" fontId="338" fillId="0" borderId="246" xfId="0" applyFont="1" applyBorder="1" applyAlignment="1">
      <alignment horizontal="justify" vertical="center" wrapText="1"/>
    </xf>
    <xf numFmtId="0" fontId="245" fillId="0" borderId="0" xfId="8483" applyFont="1" applyAlignment="1">
      <alignment vertical="center"/>
    </xf>
    <xf numFmtId="3" fontId="245" fillId="0" borderId="0" xfId="8483" applyNumberFormat="1" applyFont="1" applyAlignment="1">
      <alignment vertical="center"/>
    </xf>
    <xf numFmtId="177" fontId="245" fillId="0" borderId="0" xfId="8483" applyNumberFormat="1" applyFont="1" applyAlignment="1">
      <alignment vertical="center"/>
    </xf>
    <xf numFmtId="0" fontId="339" fillId="0" borderId="0" xfId="8483" applyFont="1" applyAlignment="1">
      <alignment vertical="center"/>
    </xf>
    <xf numFmtId="0" fontId="340" fillId="0" borderId="0" xfId="8483" applyFont="1" applyAlignment="1">
      <alignment vertical="center"/>
    </xf>
    <xf numFmtId="0" fontId="340" fillId="0" borderId="0" xfId="8483" applyFont="1" applyAlignment="1">
      <alignment horizontal="center" vertical="center"/>
    </xf>
    <xf numFmtId="0" fontId="245" fillId="0" borderId="0" xfId="8513" applyFont="1"/>
    <xf numFmtId="0" fontId="245" fillId="0" borderId="0" xfId="8513" applyFont="1" applyAlignment="1">
      <alignment vertical="center"/>
    </xf>
    <xf numFmtId="0" fontId="245" fillId="0" borderId="0" xfId="8513" applyFont="1" applyAlignment="1">
      <alignment horizontal="center" vertical="center"/>
    </xf>
    <xf numFmtId="0" fontId="245" fillId="0" borderId="0" xfId="8513" applyFont="1" applyAlignment="1">
      <alignment horizontal="center"/>
    </xf>
    <xf numFmtId="0" fontId="339" fillId="0" borderId="0" xfId="8513" quotePrefix="1" applyFont="1" applyAlignment="1">
      <alignment horizontal="left" vertical="center"/>
    </xf>
    <xf numFmtId="188" fontId="339" fillId="0" borderId="0" xfId="8513" applyNumberFormat="1" applyFont="1" applyAlignment="1">
      <alignment vertical="center"/>
    </xf>
    <xf numFmtId="188" fontId="245" fillId="0" borderId="0" xfId="8513" applyNumberFormat="1" applyFont="1" applyAlignment="1">
      <alignment horizontal="center"/>
    </xf>
    <xf numFmtId="0" fontId="341" fillId="0" borderId="0" xfId="8513" applyFont="1" applyAlignment="1">
      <alignment horizontal="center" vertical="center"/>
    </xf>
    <xf numFmtId="188" fontId="342" fillId="0" borderId="0" xfId="8513" applyNumberFormat="1" applyFont="1" applyAlignment="1">
      <alignment vertical="center"/>
    </xf>
    <xf numFmtId="0" fontId="245" fillId="0" borderId="0" xfId="8513" quotePrefix="1" applyFont="1" applyAlignment="1">
      <alignment vertical="center"/>
    </xf>
    <xf numFmtId="0" fontId="245" fillId="0" borderId="1" xfId="8513" applyFont="1" applyBorder="1" applyAlignment="1">
      <alignment horizontal="center" vertical="center"/>
    </xf>
    <xf numFmtId="188" fontId="245" fillId="0" borderId="1" xfId="8514" applyFont="1" applyBorder="1" applyAlignment="1">
      <alignment horizontal="center" vertical="center"/>
    </xf>
    <xf numFmtId="188" fontId="245" fillId="0" borderId="1" xfId="8514" applyFont="1" applyFill="1" applyBorder="1" applyAlignment="1">
      <alignment horizontal="center" vertical="center"/>
    </xf>
    <xf numFmtId="187" fontId="245" fillId="0" borderId="0" xfId="8513" applyNumberFormat="1" applyFont="1" applyAlignment="1">
      <alignment vertical="center"/>
    </xf>
    <xf numFmtId="188" fontId="245" fillId="0" borderId="0" xfId="8514" applyFont="1" applyAlignment="1">
      <alignment vertical="center"/>
    </xf>
    <xf numFmtId="0" fontId="339" fillId="0" borderId="0" xfId="8513" applyFont="1" applyAlignment="1">
      <alignment horizontal="center" vertical="center"/>
    </xf>
    <xf numFmtId="0" fontId="245" fillId="0" borderId="0" xfId="8513" applyFont="1" applyAlignment="1">
      <alignment horizontal="left" vertical="center"/>
    </xf>
    <xf numFmtId="188" fontId="245" fillId="0" borderId="0" xfId="8513" applyNumberFormat="1" applyFont="1" applyAlignment="1">
      <alignment vertical="center"/>
    </xf>
    <xf numFmtId="188" fontId="339" fillId="0" borderId="0" xfId="8513" applyNumberFormat="1" applyFont="1"/>
    <xf numFmtId="0" fontId="343" fillId="40" borderId="0" xfId="8489" applyFont="1" applyFill="1">
      <alignment vertical="center"/>
    </xf>
    <xf numFmtId="41" fontId="174" fillId="0" borderId="0" xfId="0" applyNumberFormat="1" applyFont="1" applyAlignment="1">
      <alignment horizontal="center" vertical="center"/>
    </xf>
    <xf numFmtId="0" fontId="160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/>
    </xf>
    <xf numFmtId="0" fontId="230" fillId="0" borderId="0" xfId="8492" quotePrefix="1" applyFont="1">
      <alignment vertical="center"/>
    </xf>
    <xf numFmtId="187" fontId="230" fillId="0" borderId="0" xfId="8492" applyNumberFormat="1" applyFont="1" applyAlignment="1">
      <alignment vertical="center" shrinkToFit="1"/>
    </xf>
    <xf numFmtId="178" fontId="282" fillId="0" borderId="0" xfId="8469" applyNumberFormat="1" applyFont="1" applyAlignment="1">
      <alignment horizontal="center" vertical="center" wrapText="1"/>
    </xf>
    <xf numFmtId="0" fontId="77" fillId="0" borderId="76" xfId="256" applyFont="1" applyBorder="1" applyAlignment="1">
      <alignment vertical="center" wrapText="1"/>
    </xf>
    <xf numFmtId="0" fontId="158" fillId="39" borderId="1" xfId="0" applyFont="1" applyFill="1" applyBorder="1" applyAlignment="1">
      <alignment horizontal="center" vertical="center"/>
    </xf>
    <xf numFmtId="41" fontId="158" fillId="39" borderId="1" xfId="0" applyNumberFormat="1" applyFont="1" applyFill="1" applyBorder="1" applyAlignment="1">
      <alignment horizontal="center" vertical="center"/>
    </xf>
    <xf numFmtId="41" fontId="158" fillId="0" borderId="1" xfId="0" applyNumberFormat="1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176" fontId="159" fillId="0" borderId="1" xfId="0" applyNumberFormat="1" applyFont="1" applyBorder="1">
      <alignment vertical="center"/>
    </xf>
    <xf numFmtId="41" fontId="159" fillId="0" borderId="1" xfId="0" applyNumberFormat="1" applyFont="1" applyBorder="1" applyAlignment="1">
      <alignment horizontal="center" vertical="center"/>
    </xf>
    <xf numFmtId="9" fontId="159" fillId="0" borderId="1" xfId="1321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 shrinkToFit="1"/>
    </xf>
    <xf numFmtId="0" fontId="159" fillId="0" borderId="1" xfId="0" applyFont="1" applyBorder="1" applyAlignment="1">
      <alignment horizontal="right" vertical="center"/>
    </xf>
    <xf numFmtId="41" fontId="158" fillId="0" borderId="1" xfId="0" applyNumberFormat="1" applyFont="1" applyBorder="1" applyAlignment="1">
      <alignment horizontal="center" vertical="center" shrinkToFit="1"/>
    </xf>
    <xf numFmtId="187" fontId="158" fillId="0" borderId="1" xfId="0" applyNumberFormat="1" applyFont="1" applyBorder="1" applyAlignment="1">
      <alignment horizontal="center" vertical="center"/>
    </xf>
    <xf numFmtId="41" fontId="51" fillId="0" borderId="0" xfId="0" applyNumberFormat="1" applyFont="1">
      <alignment vertical="center"/>
    </xf>
    <xf numFmtId="0" fontId="89" fillId="0" borderId="0" xfId="0" applyFont="1" applyAlignment="1">
      <alignment horizontal="center" vertical="center"/>
    </xf>
    <xf numFmtId="41" fontId="89" fillId="0" borderId="0" xfId="1" applyFont="1">
      <alignment vertical="center"/>
    </xf>
    <xf numFmtId="10" fontId="89" fillId="0" borderId="0" xfId="1321" applyNumberFormat="1" applyFont="1">
      <alignment vertical="center"/>
    </xf>
    <xf numFmtId="179" fontId="89" fillId="0" borderId="0" xfId="1" applyNumberFormat="1" applyFont="1">
      <alignment vertical="center"/>
    </xf>
    <xf numFmtId="41" fontId="53" fillId="0" borderId="79" xfId="256" applyNumberFormat="1" applyFont="1" applyBorder="1" applyAlignment="1">
      <alignment vertical="center"/>
    </xf>
    <xf numFmtId="0" fontId="58" fillId="0" borderId="0" xfId="0" applyFont="1">
      <alignment vertical="center"/>
    </xf>
    <xf numFmtId="0" fontId="344" fillId="0" borderId="0" xfId="0" applyFont="1">
      <alignment vertical="center"/>
    </xf>
    <xf numFmtId="41" fontId="214" fillId="0" borderId="29" xfId="8488" applyNumberFormat="1" applyFont="1" applyBorder="1" applyAlignment="1">
      <alignment horizontal="center" vertical="center" wrapText="1"/>
    </xf>
    <xf numFmtId="1" fontId="214" fillId="0" borderId="2" xfId="8488" applyNumberFormat="1" applyFont="1" applyBorder="1" applyAlignment="1">
      <alignment horizontal="center" vertical="center"/>
    </xf>
    <xf numFmtId="0" fontId="214" fillId="0" borderId="0" xfId="8488" quotePrefix="1" applyFont="1" applyAlignment="1">
      <alignment horizontal="left" vertical="center"/>
    </xf>
    <xf numFmtId="0" fontId="136" fillId="0" borderId="65" xfId="256" applyFont="1" applyBorder="1" applyAlignment="1">
      <alignment vertical="center"/>
    </xf>
    <xf numFmtId="0" fontId="160" fillId="0" borderId="0" xfId="0" applyFont="1" applyAlignment="1">
      <alignment horizontal="center" vertical="center" wrapText="1"/>
    </xf>
    <xf numFmtId="41" fontId="219" fillId="0" borderId="0" xfId="0" applyNumberFormat="1" applyFont="1" applyAlignment="1">
      <alignment horizontal="center" vertical="center"/>
    </xf>
    <xf numFmtId="0" fontId="175" fillId="0" borderId="11" xfId="256" applyFont="1" applyBorder="1" applyAlignment="1">
      <alignment horizontal="center" vertical="center"/>
    </xf>
    <xf numFmtId="0" fontId="183" fillId="0" borderId="0" xfId="256" applyFont="1" applyAlignment="1">
      <alignment vertical="center"/>
    </xf>
    <xf numFmtId="0" fontId="182" fillId="0" borderId="0" xfId="256" applyFont="1" applyAlignment="1">
      <alignment vertical="center"/>
    </xf>
    <xf numFmtId="0" fontId="346" fillId="0" borderId="71" xfId="256" applyFont="1" applyBorder="1" applyAlignment="1">
      <alignment horizontal="center" vertical="center"/>
    </xf>
    <xf numFmtId="0" fontId="346" fillId="0" borderId="72" xfId="256" applyFont="1" applyBorder="1" applyAlignment="1">
      <alignment horizontal="center" vertical="center"/>
    </xf>
    <xf numFmtId="9" fontId="164" fillId="0" borderId="0" xfId="256" applyNumberFormat="1" applyFont="1" applyAlignment="1">
      <alignment vertical="center"/>
    </xf>
    <xf numFmtId="0" fontId="258" fillId="40" borderId="0" xfId="8489" applyFont="1" applyFill="1" applyAlignment="1">
      <alignment horizontal="center" vertical="center"/>
    </xf>
    <xf numFmtId="0" fontId="252" fillId="40" borderId="0" xfId="8489" applyFont="1" applyFill="1" applyAlignment="1">
      <alignment horizontal="left" vertical="center"/>
    </xf>
    <xf numFmtId="0" fontId="253" fillId="40" borderId="0" xfId="8489" applyFont="1" applyFill="1" applyAlignment="1">
      <alignment horizontal="center" vertical="center"/>
    </xf>
    <xf numFmtId="0" fontId="254" fillId="40" borderId="0" xfId="8489" applyFont="1" applyFill="1" applyAlignment="1">
      <alignment horizontal="center" vertical="center" shrinkToFit="1"/>
    </xf>
    <xf numFmtId="0" fontId="238" fillId="40" borderId="0" xfId="8489" applyFont="1" applyFill="1" applyAlignment="1">
      <alignment horizontal="center" vertical="center"/>
    </xf>
    <xf numFmtId="0" fontId="256" fillId="40" borderId="0" xfId="8489" applyFont="1" applyFill="1" applyAlignment="1">
      <alignment horizontal="center" vertical="center"/>
    </xf>
    <xf numFmtId="0" fontId="238" fillId="40" borderId="0" xfId="8489" applyFont="1" applyFill="1" applyAlignment="1">
      <alignment horizontal="right" vertical="center"/>
    </xf>
    <xf numFmtId="357" fontId="238" fillId="40" borderId="0" xfId="8489" applyNumberFormat="1" applyFont="1" applyFill="1" applyAlignment="1">
      <alignment horizontal="right" vertical="center"/>
    </xf>
    <xf numFmtId="0" fontId="253" fillId="40" borderId="1" xfId="8489" applyFont="1" applyFill="1" applyBorder="1" applyAlignment="1">
      <alignment horizontal="center" vertical="center"/>
    </xf>
    <xf numFmtId="0" fontId="259" fillId="40" borderId="37" xfId="8489" applyFont="1" applyFill="1" applyBorder="1" applyAlignment="1">
      <alignment horizontal="center" vertical="center" shrinkToFit="1"/>
    </xf>
    <xf numFmtId="0" fontId="259" fillId="40" borderId="0" xfId="8489" applyFont="1" applyFill="1" applyAlignment="1">
      <alignment horizontal="center" vertical="center" shrinkToFit="1"/>
    </xf>
    <xf numFmtId="0" fontId="259" fillId="40" borderId="41" xfId="8489" applyFont="1" applyFill="1" applyBorder="1" applyAlignment="1">
      <alignment horizontal="center" vertical="center" shrinkToFit="1"/>
    </xf>
    <xf numFmtId="0" fontId="253" fillId="40" borderId="1" xfId="8489" applyFont="1" applyFill="1" applyBorder="1">
      <alignment vertical="center"/>
    </xf>
    <xf numFmtId="0" fontId="227" fillId="40" borderId="3" xfId="8489" applyFont="1" applyFill="1" applyBorder="1" applyAlignment="1">
      <alignment horizontal="center" vertical="center" wrapText="1"/>
    </xf>
    <xf numFmtId="0" fontId="227" fillId="40" borderId="44" xfId="8489" applyFont="1" applyFill="1" applyBorder="1" applyAlignment="1">
      <alignment horizontal="center" vertical="center"/>
    </xf>
    <xf numFmtId="0" fontId="227" fillId="40" borderId="37" xfId="8489" applyFont="1" applyFill="1" applyBorder="1" applyAlignment="1">
      <alignment horizontal="center" vertical="center"/>
    </xf>
    <xf numFmtId="0" fontId="227" fillId="40" borderId="41" xfId="8489" applyFont="1" applyFill="1" applyBorder="1" applyAlignment="1">
      <alignment horizontal="center" vertical="center"/>
    </xf>
    <xf numFmtId="0" fontId="227" fillId="40" borderId="128" xfId="8489" applyFont="1" applyFill="1" applyBorder="1" applyAlignment="1">
      <alignment horizontal="center" vertical="center"/>
    </xf>
    <xf numFmtId="0" fontId="227" fillId="40" borderId="2" xfId="8489" applyFont="1" applyFill="1" applyBorder="1" applyAlignment="1">
      <alignment horizontal="center" vertical="center"/>
    </xf>
    <xf numFmtId="0" fontId="159" fillId="0" borderId="1" xfId="0" applyFont="1" applyBorder="1" applyAlignment="1">
      <alignment horizontal="distributed" vertical="center" wrapText="1"/>
    </xf>
    <xf numFmtId="0" fontId="158" fillId="0" borderId="1" xfId="0" applyFont="1" applyBorder="1" applyAlignment="1">
      <alignment horizontal="left" vertical="center"/>
    </xf>
    <xf numFmtId="0" fontId="161" fillId="39" borderId="89" xfId="0" applyFont="1" applyFill="1" applyBorder="1" applyAlignment="1">
      <alignment horizontal="left" vertical="center"/>
    </xf>
    <xf numFmtId="0" fontId="161" fillId="39" borderId="8" xfId="0" applyFont="1" applyFill="1" applyBorder="1" applyAlignment="1">
      <alignment horizontal="left" vertical="center"/>
    </xf>
    <xf numFmtId="0" fontId="161" fillId="39" borderId="39" xfId="0" applyFont="1" applyFill="1" applyBorder="1" applyAlignment="1">
      <alignment horizontal="left" vertical="center"/>
    </xf>
    <xf numFmtId="0" fontId="323" fillId="0" borderId="0" xfId="0" applyFont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41" fontId="53" fillId="8" borderId="69" xfId="256" applyNumberFormat="1" applyFont="1" applyFill="1" applyBorder="1" applyAlignment="1">
      <alignment horizontal="center" vertical="center"/>
    </xf>
    <xf numFmtId="0" fontId="53" fillId="8" borderId="70" xfId="256" applyFont="1" applyFill="1" applyBorder="1" applyAlignment="1">
      <alignment horizontal="center" vertical="center"/>
    </xf>
    <xf numFmtId="0" fontId="53" fillId="8" borderId="87" xfId="256" applyFont="1" applyFill="1" applyBorder="1" applyAlignment="1">
      <alignment horizontal="center" vertical="center"/>
    </xf>
    <xf numFmtId="0" fontId="53" fillId="8" borderId="68" xfId="256" applyFont="1" applyFill="1" applyBorder="1" applyAlignment="1">
      <alignment horizontal="center" vertical="center"/>
    </xf>
    <xf numFmtId="0" fontId="53" fillId="8" borderId="88" xfId="256" applyFont="1" applyFill="1" applyBorder="1" applyAlignment="1">
      <alignment horizontal="center" vertical="center"/>
    </xf>
    <xf numFmtId="0" fontId="53" fillId="8" borderId="69" xfId="256" applyFont="1" applyFill="1" applyBorder="1" applyAlignment="1">
      <alignment horizontal="center" vertical="center"/>
    </xf>
    <xf numFmtId="0" fontId="53" fillId="8" borderId="64" xfId="256" applyFont="1" applyFill="1" applyBorder="1" applyAlignment="1">
      <alignment horizontal="center" vertical="center"/>
    </xf>
    <xf numFmtId="0" fontId="53" fillId="8" borderId="69" xfId="256" applyFont="1" applyFill="1" applyBorder="1" applyAlignment="1">
      <alignment horizontal="center" vertical="center" wrapText="1"/>
    </xf>
    <xf numFmtId="0" fontId="174" fillId="0" borderId="91" xfId="256" applyFont="1" applyBorder="1" applyAlignment="1">
      <alignment horizontal="center" vertical="center" wrapText="1"/>
    </xf>
    <xf numFmtId="0" fontId="174" fillId="0" borderId="0" xfId="256" applyFont="1" applyAlignment="1">
      <alignment horizontal="center" vertical="center" wrapText="1"/>
    </xf>
    <xf numFmtId="0" fontId="174" fillId="0" borderId="108" xfId="256" applyFont="1" applyBorder="1" applyAlignment="1">
      <alignment horizontal="center" vertical="center" wrapText="1"/>
    </xf>
    <xf numFmtId="0" fontId="174" fillId="0" borderId="109" xfId="256" applyFont="1" applyBorder="1" applyAlignment="1">
      <alignment horizontal="center" vertical="center" wrapText="1"/>
    </xf>
    <xf numFmtId="0" fontId="77" fillId="0" borderId="1" xfId="256" applyFont="1" applyBorder="1" applyAlignment="1">
      <alignment horizontal="left" vertical="center"/>
    </xf>
    <xf numFmtId="0" fontId="53" fillId="0" borderId="1" xfId="256" applyFont="1" applyBorder="1" applyAlignment="1">
      <alignment horizontal="center" vertical="center"/>
    </xf>
    <xf numFmtId="184" fontId="53" fillId="0" borderId="1" xfId="256" applyNumberFormat="1" applyFont="1" applyBorder="1" applyAlignment="1">
      <alignment horizontal="center" vertical="center"/>
    </xf>
    <xf numFmtId="0" fontId="53" fillId="0" borderId="1" xfId="256" applyFont="1" applyBorder="1" applyAlignment="1">
      <alignment horizontal="left" vertical="center"/>
    </xf>
    <xf numFmtId="0" fontId="77" fillId="39" borderId="1" xfId="256" applyFont="1" applyFill="1" applyBorder="1" applyAlignment="1">
      <alignment horizontal="left" vertical="center"/>
    </xf>
    <xf numFmtId="185" fontId="77" fillId="34" borderId="0" xfId="256" applyNumberFormat="1" applyFont="1" applyFill="1" applyAlignment="1">
      <alignment horizontal="right" vertical="center"/>
    </xf>
    <xf numFmtId="0" fontId="53" fillId="0" borderId="35" xfId="256" applyFont="1" applyBorder="1" applyAlignment="1">
      <alignment horizontal="center" vertical="center"/>
    </xf>
    <xf numFmtId="189" fontId="77" fillId="34" borderId="0" xfId="256" applyNumberFormat="1" applyFont="1" applyFill="1" applyAlignment="1">
      <alignment horizontal="right" vertical="center"/>
    </xf>
    <xf numFmtId="0" fontId="182" fillId="0" borderId="1" xfId="256" applyFont="1" applyBorder="1" applyAlignment="1">
      <alignment horizontal="left" vertical="center"/>
    </xf>
    <xf numFmtId="184" fontId="197" fillId="35" borderId="1" xfId="256" applyNumberFormat="1" applyFont="1" applyFill="1" applyBorder="1" applyAlignment="1">
      <alignment horizontal="center" vertical="center"/>
    </xf>
    <xf numFmtId="184" fontId="77" fillId="36" borderId="1" xfId="256" applyNumberFormat="1" applyFont="1" applyFill="1" applyBorder="1" applyAlignment="1">
      <alignment horizontal="center" vertical="center"/>
    </xf>
    <xf numFmtId="184" fontId="182" fillId="36" borderId="1" xfId="256" applyNumberFormat="1" applyFont="1" applyFill="1" applyBorder="1" applyAlignment="1">
      <alignment horizontal="center" vertical="center"/>
    </xf>
    <xf numFmtId="184" fontId="53" fillId="36" borderId="1" xfId="256" applyNumberFormat="1" applyFont="1" applyFill="1" applyBorder="1" applyAlignment="1">
      <alignment horizontal="center" vertical="center"/>
    </xf>
    <xf numFmtId="0" fontId="164" fillId="8" borderId="68" xfId="256" applyFont="1" applyFill="1" applyBorder="1" applyAlignment="1">
      <alignment horizontal="center" vertical="center"/>
    </xf>
    <xf numFmtId="0" fontId="164" fillId="8" borderId="73" xfId="256" applyFont="1" applyFill="1" applyBorder="1" applyAlignment="1">
      <alignment horizontal="center" vertical="center"/>
    </xf>
    <xf numFmtId="0" fontId="164" fillId="8" borderId="69" xfId="256" applyFont="1" applyFill="1" applyBorder="1" applyAlignment="1">
      <alignment horizontal="center" vertical="center" wrapText="1"/>
    </xf>
    <xf numFmtId="0" fontId="53" fillId="8" borderId="12" xfId="256" applyFont="1" applyFill="1" applyBorder="1" applyAlignment="1">
      <alignment horizontal="center" vertical="center"/>
    </xf>
    <xf numFmtId="186" fontId="164" fillId="8" borderId="69" xfId="256" applyNumberFormat="1" applyFont="1" applyFill="1" applyBorder="1" applyAlignment="1">
      <alignment horizontal="center" vertical="center"/>
    </xf>
    <xf numFmtId="186" fontId="164" fillId="8" borderId="12" xfId="256" applyNumberFormat="1" applyFont="1" applyFill="1" applyBorder="1" applyAlignment="1">
      <alignment horizontal="center" vertical="center"/>
    </xf>
    <xf numFmtId="186" fontId="164" fillId="8" borderId="85" xfId="256" applyNumberFormat="1" applyFont="1" applyFill="1" applyBorder="1" applyAlignment="1">
      <alignment horizontal="center" vertical="center"/>
    </xf>
    <xf numFmtId="186" fontId="164" fillId="8" borderId="86" xfId="256" applyNumberFormat="1" applyFont="1" applyFill="1" applyBorder="1" applyAlignment="1">
      <alignment horizontal="center" vertical="center"/>
    </xf>
    <xf numFmtId="186" fontId="164" fillId="8" borderId="92" xfId="256" applyNumberFormat="1" applyFont="1" applyFill="1" applyBorder="1" applyAlignment="1">
      <alignment horizontal="center" vertical="center"/>
    </xf>
    <xf numFmtId="0" fontId="164" fillId="0" borderId="68" xfId="256" applyFont="1" applyBorder="1" applyAlignment="1">
      <alignment horizontal="center" vertical="center"/>
    </xf>
    <xf numFmtId="0" fontId="164" fillId="0" borderId="88" xfId="256" applyFont="1" applyBorder="1" applyAlignment="1">
      <alignment horizontal="center" vertical="center"/>
    </xf>
    <xf numFmtId="0" fontId="164" fillId="0" borderId="69" xfId="256" applyFont="1" applyBorder="1" applyAlignment="1">
      <alignment horizontal="center" vertical="center" wrapText="1"/>
    </xf>
    <xf numFmtId="0" fontId="53" fillId="0" borderId="64" xfId="256" applyFont="1" applyBorder="1" applyAlignment="1">
      <alignment horizontal="center" vertical="center"/>
    </xf>
    <xf numFmtId="186" fontId="164" fillId="0" borderId="69" xfId="256" applyNumberFormat="1" applyFont="1" applyBorder="1" applyAlignment="1">
      <alignment horizontal="center" vertical="center"/>
    </xf>
    <xf numFmtId="186" fontId="164" fillId="0" borderId="64" xfId="256" applyNumberFormat="1" applyFont="1" applyBorder="1" applyAlignment="1">
      <alignment horizontal="center" vertical="center"/>
    </xf>
    <xf numFmtId="186" fontId="164" fillId="0" borderId="85" xfId="256" applyNumberFormat="1" applyFont="1" applyBorder="1" applyAlignment="1">
      <alignment horizontal="center" vertical="center"/>
    </xf>
    <xf numFmtId="186" fontId="164" fillId="0" borderId="92" xfId="256" applyNumberFormat="1" applyFont="1" applyBorder="1" applyAlignment="1">
      <alignment horizontal="center" vertical="center"/>
    </xf>
    <xf numFmtId="186" fontId="164" fillId="0" borderId="70" xfId="256" applyNumberFormat="1" applyFont="1" applyBorder="1" applyAlignment="1">
      <alignment horizontal="center" vertical="center"/>
    </xf>
    <xf numFmtId="186" fontId="164" fillId="0" borderId="87" xfId="256" applyNumberFormat="1" applyFont="1" applyBorder="1" applyAlignment="1">
      <alignment horizontal="center" vertical="center"/>
    </xf>
    <xf numFmtId="0" fontId="175" fillId="0" borderId="96" xfId="256" applyFont="1" applyBorder="1" applyAlignment="1">
      <alignment horizontal="center" vertical="center"/>
    </xf>
    <xf numFmtId="0" fontId="175" fillId="0" borderId="97" xfId="256" applyFont="1" applyBorder="1" applyAlignment="1">
      <alignment horizontal="center" vertical="center"/>
    </xf>
    <xf numFmtId="0" fontId="175" fillId="0" borderId="4" xfId="256" applyFont="1" applyBorder="1" applyAlignment="1">
      <alignment horizontal="center" vertical="center"/>
    </xf>
    <xf numFmtId="0" fontId="175" fillId="0" borderId="77" xfId="256" applyFont="1" applyBorder="1" applyAlignment="1">
      <alignment horizontal="center" vertical="center"/>
    </xf>
    <xf numFmtId="0" fontId="174" fillId="0" borderId="13" xfId="256" applyFont="1" applyBorder="1" applyAlignment="1">
      <alignment horizontal="center" vertical="center"/>
    </xf>
    <xf numFmtId="177" fontId="174" fillId="0" borderId="13" xfId="256" applyNumberFormat="1" applyFont="1" applyBorder="1" applyAlignment="1">
      <alignment horizontal="center" vertical="center"/>
    </xf>
    <xf numFmtId="177" fontId="174" fillId="0" borderId="71" xfId="256" applyNumberFormat="1" applyFont="1" applyBorder="1" applyAlignment="1">
      <alignment horizontal="center" vertical="center"/>
    </xf>
    <xf numFmtId="0" fontId="175" fillId="0" borderId="13" xfId="256" applyFont="1" applyBorder="1" applyAlignment="1">
      <alignment horizontal="center" vertical="center"/>
    </xf>
    <xf numFmtId="177" fontId="175" fillId="0" borderId="13" xfId="256" applyNumberFormat="1" applyFont="1" applyBorder="1" applyAlignment="1">
      <alignment horizontal="center" vertical="center"/>
    </xf>
    <xf numFmtId="177" fontId="175" fillId="0" borderId="71" xfId="256" applyNumberFormat="1" applyFont="1" applyBorder="1" applyAlignment="1">
      <alignment horizontal="center" vertical="center"/>
    </xf>
    <xf numFmtId="0" fontId="163" fillId="0" borderId="122" xfId="256" applyFont="1" applyBorder="1" applyAlignment="1">
      <alignment horizontal="left" vertical="center"/>
    </xf>
    <xf numFmtId="0" fontId="163" fillId="0" borderId="90" xfId="256" applyFont="1" applyBorder="1" applyAlignment="1">
      <alignment horizontal="left" vertical="center"/>
    </xf>
    <xf numFmtId="0" fontId="163" fillId="0" borderId="80" xfId="256" applyFont="1" applyBorder="1" applyAlignment="1">
      <alignment horizontal="left" vertical="center"/>
    </xf>
    <xf numFmtId="0" fontId="77" fillId="0" borderId="120" xfId="256" applyFont="1" applyBorder="1" applyAlignment="1">
      <alignment horizontal="left" vertical="center"/>
    </xf>
    <xf numFmtId="0" fontId="77" fillId="0" borderId="14" xfId="256" applyFont="1" applyBorder="1" applyAlignment="1">
      <alignment horizontal="left" vertical="center"/>
    </xf>
    <xf numFmtId="0" fontId="77" fillId="0" borderId="6" xfId="256" applyFont="1" applyBorder="1" applyAlignment="1">
      <alignment horizontal="left" vertical="center"/>
    </xf>
    <xf numFmtId="0" fontId="53" fillId="8" borderId="3" xfId="256" applyFont="1" applyFill="1" applyBorder="1" applyAlignment="1">
      <alignment horizontal="center" vertical="center"/>
    </xf>
    <xf numFmtId="0" fontId="53" fillId="8" borderId="40" xfId="256" applyFont="1" applyFill="1" applyBorder="1" applyAlignment="1">
      <alignment horizontal="center" vertical="center"/>
    </xf>
    <xf numFmtId="0" fontId="53" fillId="8" borderId="155" xfId="256" applyFont="1" applyFill="1" applyBorder="1" applyAlignment="1">
      <alignment horizontal="center" vertical="center"/>
    </xf>
    <xf numFmtId="0" fontId="53" fillId="8" borderId="132" xfId="256" applyFont="1" applyFill="1" applyBorder="1" applyAlignment="1">
      <alignment horizontal="center" vertical="center"/>
    </xf>
    <xf numFmtId="0" fontId="53" fillId="8" borderId="109" xfId="256" applyFont="1" applyFill="1" applyBorder="1" applyAlignment="1">
      <alignment horizontal="center" vertical="center"/>
    </xf>
    <xf numFmtId="0" fontId="53" fillId="8" borderId="181" xfId="256" applyFont="1" applyFill="1" applyBorder="1" applyAlignment="1">
      <alignment horizontal="center" vertical="center"/>
    </xf>
    <xf numFmtId="0" fontId="312" fillId="0" borderId="86" xfId="8508" applyFont="1" applyBorder="1" applyAlignment="1">
      <alignment horizontal="center" vertical="center"/>
    </xf>
    <xf numFmtId="0" fontId="312" fillId="0" borderId="92" xfId="8508" applyFont="1" applyBorder="1" applyAlignment="1">
      <alignment horizontal="center" vertical="center"/>
    </xf>
    <xf numFmtId="0" fontId="312" fillId="0" borderId="84" xfId="8508" applyFont="1" applyBorder="1" applyAlignment="1">
      <alignment horizontal="center" vertical="center"/>
    </xf>
    <xf numFmtId="0" fontId="312" fillId="0" borderId="30" xfId="8508" applyFont="1" applyBorder="1" applyAlignment="1">
      <alignment horizontal="center" vertical="center" wrapText="1"/>
    </xf>
    <xf numFmtId="0" fontId="312" fillId="0" borderId="19" xfId="8508" applyFont="1" applyBorder="1" applyAlignment="1">
      <alignment horizontal="center" vertical="center"/>
    </xf>
    <xf numFmtId="0" fontId="312" fillId="0" borderId="29" xfId="8508" applyFont="1" applyBorder="1" applyAlignment="1">
      <alignment horizontal="center" vertical="center"/>
    </xf>
    <xf numFmtId="0" fontId="312" fillId="0" borderId="11" xfId="8501" applyFont="1" applyBorder="1" applyAlignment="1">
      <alignment horizontal="center" vertical="center"/>
    </xf>
    <xf numFmtId="0" fontId="312" fillId="0" borderId="73" xfId="8501" applyFont="1" applyBorder="1" applyAlignment="1">
      <alignment horizontal="center" vertical="center"/>
    </xf>
    <xf numFmtId="0" fontId="312" fillId="0" borderId="13" xfId="8501" applyFont="1" applyBorder="1" applyAlignment="1">
      <alignment horizontal="center" vertical="center"/>
    </xf>
    <xf numFmtId="0" fontId="312" fillId="0" borderId="12" xfId="8501" applyFont="1" applyBorder="1" applyAlignment="1">
      <alignment horizontal="center" vertical="center"/>
    </xf>
    <xf numFmtId="0" fontId="312" fillId="0" borderId="13" xfId="8508" applyFont="1" applyBorder="1" applyAlignment="1">
      <alignment horizontal="center" vertical="center"/>
    </xf>
    <xf numFmtId="0" fontId="312" fillId="0" borderId="12" xfId="8508" applyFont="1" applyBorder="1" applyAlignment="1">
      <alignment horizontal="center" vertical="center"/>
    </xf>
    <xf numFmtId="0" fontId="312" fillId="0" borderId="71" xfId="8508" applyFont="1" applyBorder="1" applyAlignment="1">
      <alignment horizontal="center" vertical="center"/>
    </xf>
    <xf numFmtId="0" fontId="312" fillId="0" borderId="72" xfId="8508" applyFont="1" applyBorder="1" applyAlignment="1">
      <alignment horizontal="center" vertical="center"/>
    </xf>
    <xf numFmtId="0" fontId="314" fillId="0" borderId="0" xfId="8508" applyFont="1" applyAlignment="1">
      <alignment horizontal="center" vertical="center" wrapText="1"/>
    </xf>
    <xf numFmtId="0" fontId="314" fillId="0" borderId="0" xfId="8508" applyFont="1" applyAlignment="1">
      <alignment horizontal="center" vertical="center"/>
    </xf>
    <xf numFmtId="354" fontId="314" fillId="0" borderId="0" xfId="8508" applyNumberFormat="1" applyFont="1" applyAlignment="1">
      <alignment horizontal="center" vertical="center" wrapText="1"/>
    </xf>
    <xf numFmtId="0" fontId="312" fillId="0" borderId="11" xfId="8508" applyFont="1" applyBorder="1" applyAlignment="1">
      <alignment horizontal="center" vertical="center" wrapText="1"/>
    </xf>
    <xf numFmtId="0" fontId="312" fillId="0" borderId="73" xfId="8508" applyFont="1" applyBorder="1" applyAlignment="1">
      <alignment horizontal="center" vertical="center" wrapText="1"/>
    </xf>
    <xf numFmtId="0" fontId="312" fillId="0" borderId="13" xfId="8508" applyFont="1" applyBorder="1" applyAlignment="1">
      <alignment horizontal="center" vertical="center" wrapText="1"/>
    </xf>
    <xf numFmtId="0" fontId="312" fillId="0" borderId="12" xfId="8508" applyFont="1" applyBorder="1" applyAlignment="1">
      <alignment horizontal="center" vertical="center" wrapText="1"/>
    </xf>
    <xf numFmtId="0" fontId="312" fillId="0" borderId="122" xfId="8508" applyFont="1" applyBorder="1" applyAlignment="1">
      <alignment horizontal="center" vertical="center" wrapText="1"/>
    </xf>
    <xf numFmtId="0" fontId="312" fillId="0" borderId="90" xfId="8508" applyFont="1" applyBorder="1" applyAlignment="1">
      <alignment horizontal="center" vertical="center" wrapText="1"/>
    </xf>
    <xf numFmtId="0" fontId="312" fillId="0" borderId="80" xfId="8508" applyFont="1" applyBorder="1" applyAlignment="1">
      <alignment horizontal="center" vertical="center" wrapText="1"/>
    </xf>
    <xf numFmtId="0" fontId="312" fillId="0" borderId="112" xfId="8508" applyFont="1" applyBorder="1" applyAlignment="1">
      <alignment horizontal="center" vertical="center" wrapText="1"/>
    </xf>
    <xf numFmtId="0" fontId="312" fillId="0" borderId="71" xfId="8508" applyFont="1" applyBorder="1" applyAlignment="1">
      <alignment horizontal="center" vertical="center" wrapText="1"/>
    </xf>
    <xf numFmtId="0" fontId="312" fillId="0" borderId="110" xfId="8508" applyFont="1" applyBorder="1" applyAlignment="1">
      <alignment horizontal="center" vertical="center" wrapText="1"/>
    </xf>
    <xf numFmtId="183" fontId="319" fillId="0" borderId="0" xfId="8481" applyNumberFormat="1" applyFont="1" applyFill="1" applyBorder="1" applyAlignment="1">
      <alignment horizontal="center" vertical="center" shrinkToFit="1"/>
    </xf>
    <xf numFmtId="0" fontId="317" fillId="0" borderId="68" xfId="8504" applyFont="1" applyBorder="1" applyAlignment="1">
      <alignment horizontal="center" vertical="center" wrapText="1"/>
    </xf>
    <xf numFmtId="0" fontId="317" fillId="0" borderId="69" xfId="8504" applyFont="1" applyBorder="1" applyAlignment="1">
      <alignment horizontal="center" vertical="center" wrapText="1"/>
    </xf>
    <xf numFmtId="0" fontId="317" fillId="0" borderId="70" xfId="8504" applyFont="1" applyBorder="1" applyAlignment="1">
      <alignment horizontal="center" vertical="center" wrapText="1"/>
    </xf>
    <xf numFmtId="0" fontId="317" fillId="0" borderId="11" xfId="8504" applyFont="1" applyBorder="1" applyAlignment="1">
      <alignment horizontal="center" vertical="center" wrapText="1"/>
    </xf>
    <xf numFmtId="0" fontId="317" fillId="0" borderId="13" xfId="8504" applyFont="1" applyBorder="1" applyAlignment="1">
      <alignment horizontal="center" vertical="center" wrapText="1"/>
    </xf>
    <xf numFmtId="0" fontId="317" fillId="0" borderId="71" xfId="8504" applyFont="1" applyBorder="1" applyAlignment="1">
      <alignment horizontal="center" vertical="center" wrapText="1"/>
    </xf>
    <xf numFmtId="0" fontId="312" fillId="0" borderId="1" xfId="8508" applyFont="1" applyBorder="1" applyAlignment="1">
      <alignment horizontal="center" vertical="center" wrapText="1"/>
    </xf>
    <xf numFmtId="0" fontId="312" fillId="0" borderId="1" xfId="8508" applyFont="1" applyBorder="1" applyAlignment="1">
      <alignment horizontal="center" vertical="center"/>
    </xf>
    <xf numFmtId="0" fontId="317" fillId="0" borderId="154" xfId="8504" applyFont="1" applyBorder="1" applyAlignment="1">
      <alignment horizontal="center" vertical="center" wrapText="1"/>
    </xf>
    <xf numFmtId="0" fontId="317" fillId="0" borderId="235" xfId="8504" applyFont="1" applyBorder="1" applyAlignment="1">
      <alignment horizontal="center" vertical="center" wrapText="1"/>
    </xf>
    <xf numFmtId="0" fontId="317" fillId="0" borderId="138" xfId="8504" applyFont="1" applyBorder="1" applyAlignment="1">
      <alignment horizontal="center" vertical="center" wrapText="1"/>
    </xf>
    <xf numFmtId="0" fontId="317" fillId="0" borderId="111" xfId="8504" applyFont="1" applyBorder="1" applyAlignment="1">
      <alignment horizontal="center" vertical="center" wrapText="1"/>
    </xf>
    <xf numFmtId="0" fontId="317" fillId="0" borderId="233" xfId="8504" applyFont="1" applyBorder="1" applyAlignment="1">
      <alignment horizontal="center" vertical="center" wrapText="1"/>
    </xf>
    <xf numFmtId="0" fontId="317" fillId="0" borderId="173" xfId="8504" applyFont="1" applyBorder="1" applyAlignment="1">
      <alignment horizontal="center" vertical="center" wrapText="1"/>
    </xf>
    <xf numFmtId="0" fontId="317" fillId="0" borderId="83" xfId="8504" applyFont="1" applyBorder="1" applyAlignment="1">
      <alignment horizontal="center" vertical="center" wrapText="1"/>
    </xf>
    <xf numFmtId="0" fontId="317" fillId="0" borderId="90" xfId="8504" applyFont="1" applyBorder="1" applyAlignment="1">
      <alignment horizontal="center" vertical="center" wrapText="1"/>
    </xf>
    <xf numFmtId="0" fontId="317" fillId="0" borderId="123" xfId="8504" applyFont="1" applyBorder="1" applyAlignment="1">
      <alignment horizontal="center" vertical="center" wrapText="1"/>
    </xf>
    <xf numFmtId="0" fontId="317" fillId="0" borderId="110" xfId="8504" applyFont="1" applyBorder="1" applyAlignment="1">
      <alignment horizontal="center" vertical="center" wrapText="1"/>
    </xf>
    <xf numFmtId="0" fontId="317" fillId="0" borderId="72" xfId="8504" applyFont="1" applyBorder="1" applyAlignment="1">
      <alignment horizontal="center" vertical="center" wrapText="1"/>
    </xf>
    <xf numFmtId="0" fontId="317" fillId="0" borderId="80" xfId="8504" applyFont="1" applyBorder="1" applyAlignment="1">
      <alignment horizontal="center" vertical="center" wrapText="1"/>
    </xf>
    <xf numFmtId="178" fontId="313" fillId="0" borderId="57" xfId="8503" applyNumberFormat="1" applyFont="1" applyBorder="1" applyAlignment="1">
      <alignment horizontal="center" vertical="center" shrinkToFit="1"/>
    </xf>
    <xf numFmtId="178" fontId="313" fillId="0" borderId="175" xfId="8503" applyNumberFormat="1" applyFont="1" applyBorder="1" applyAlignment="1">
      <alignment horizontal="center" vertical="center" shrinkToFit="1"/>
    </xf>
    <xf numFmtId="374" fontId="313" fillId="0" borderId="8" xfId="8508" applyNumberFormat="1" applyFont="1" applyBorder="1" applyAlignment="1">
      <alignment horizontal="center" vertical="center" shrinkToFit="1"/>
    </xf>
    <xf numFmtId="374" fontId="313" fillId="0" borderId="39" xfId="8508" applyNumberFormat="1" applyFont="1" applyBorder="1" applyAlignment="1">
      <alignment horizontal="center" vertical="center" shrinkToFit="1"/>
    </xf>
    <xf numFmtId="0" fontId="317" fillId="0" borderId="86" xfId="8504" applyFont="1" applyBorder="1" applyAlignment="1">
      <alignment horizontal="center" vertical="center" wrapText="1"/>
    </xf>
    <xf numFmtId="0" fontId="317" fillId="0" borderId="92" xfId="8504" applyFont="1" applyBorder="1" applyAlignment="1">
      <alignment horizontal="center" vertical="center" wrapText="1"/>
    </xf>
    <xf numFmtId="0" fontId="317" fillId="0" borderId="84" xfId="8504" applyFont="1" applyBorder="1" applyAlignment="1">
      <alignment horizontal="center" vertical="center" wrapText="1"/>
    </xf>
    <xf numFmtId="0" fontId="181" fillId="0" borderId="68" xfId="8478" applyFont="1" applyBorder="1" applyAlignment="1">
      <alignment horizontal="center" vertical="center"/>
    </xf>
    <xf numFmtId="0" fontId="181" fillId="0" borderId="69" xfId="8478" applyFont="1" applyBorder="1" applyAlignment="1">
      <alignment horizontal="center" vertical="center"/>
    </xf>
    <xf numFmtId="0" fontId="181" fillId="0" borderId="73" xfId="8478" applyFont="1" applyBorder="1" applyAlignment="1">
      <alignment horizontal="center" vertical="center"/>
    </xf>
    <xf numFmtId="0" fontId="181" fillId="0" borderId="12" xfId="8478" applyFont="1" applyBorder="1" applyAlignment="1">
      <alignment horizontal="center" vertical="center"/>
    </xf>
    <xf numFmtId="0" fontId="322" fillId="0" borderId="69" xfId="8508" applyFont="1" applyBorder="1" applyAlignment="1">
      <alignment horizontal="center" vertical="center" wrapText="1"/>
    </xf>
    <xf numFmtId="0" fontId="322" fillId="0" borderId="12" xfId="8508" applyFont="1" applyBorder="1" applyAlignment="1">
      <alignment horizontal="center" vertical="center" wrapText="1"/>
    </xf>
    <xf numFmtId="0" fontId="181" fillId="0" borderId="70" xfId="8478" applyFont="1" applyBorder="1" applyAlignment="1">
      <alignment horizontal="center" vertical="center"/>
    </xf>
    <xf numFmtId="0" fontId="181" fillId="0" borderId="72" xfId="8478" applyFont="1" applyBorder="1" applyAlignment="1">
      <alignment horizontal="center" vertical="center"/>
    </xf>
    <xf numFmtId="0" fontId="321" fillId="0" borderId="89" xfId="8478" applyFont="1" applyBorder="1" applyAlignment="1">
      <alignment horizontal="center" vertical="center"/>
    </xf>
    <xf numFmtId="0" fontId="321" fillId="0" borderId="8" xfId="8478" applyFont="1" applyBorder="1" applyAlignment="1">
      <alignment horizontal="center" vertical="center"/>
    </xf>
    <xf numFmtId="0" fontId="317" fillId="0" borderId="73" xfId="8504" applyFont="1" applyBorder="1" applyAlignment="1">
      <alignment horizontal="center" vertical="center" wrapText="1"/>
    </xf>
    <xf numFmtId="0" fontId="317" fillId="0" borderId="12" xfId="8504" applyFont="1" applyBorder="1" applyAlignment="1">
      <alignment horizontal="center" vertical="center" wrapText="1"/>
    </xf>
    <xf numFmtId="0" fontId="322" fillId="0" borderId="68" xfId="8508" applyFont="1" applyBorder="1" applyAlignment="1">
      <alignment horizontal="center" vertical="center"/>
    </xf>
    <xf numFmtId="0" fontId="322" fillId="0" borderId="69" xfId="8508" applyFont="1" applyBorder="1" applyAlignment="1">
      <alignment horizontal="center" vertical="center"/>
    </xf>
    <xf numFmtId="182" fontId="181" fillId="0" borderId="69" xfId="8478" applyNumberFormat="1" applyFont="1" applyBorder="1" applyAlignment="1">
      <alignment horizontal="center" vertical="center"/>
    </xf>
    <xf numFmtId="177" fontId="181" fillId="0" borderId="69" xfId="8478" applyNumberFormat="1" applyFont="1" applyBorder="1" applyAlignment="1">
      <alignment horizontal="center" vertical="center"/>
    </xf>
    <xf numFmtId="0" fontId="322" fillId="0" borderId="73" xfId="8508" applyFont="1" applyBorder="1" applyAlignment="1">
      <alignment horizontal="center" vertical="center"/>
    </xf>
    <xf numFmtId="0" fontId="322" fillId="0" borderId="12" xfId="8508" applyFont="1" applyBorder="1" applyAlignment="1">
      <alignment horizontal="center" vertical="center"/>
    </xf>
    <xf numFmtId="182" fontId="181" fillId="0" borderId="12" xfId="8478" applyNumberFormat="1" applyFont="1" applyBorder="1" applyAlignment="1">
      <alignment horizontal="center" vertical="center"/>
    </xf>
    <xf numFmtId="41" fontId="181" fillId="0" borderId="12" xfId="8478" applyNumberFormat="1" applyFont="1" applyBorder="1" applyAlignment="1">
      <alignment horizontal="center" vertical="center"/>
    </xf>
    <xf numFmtId="0" fontId="181" fillId="0" borderId="117" xfId="8478" applyFont="1" applyBorder="1" applyAlignment="1">
      <alignment horizontal="center" vertical="center"/>
    </xf>
    <xf numFmtId="0" fontId="181" fillId="0" borderId="118" xfId="8478" applyFont="1" applyBorder="1" applyAlignment="1">
      <alignment horizontal="center" vertical="center"/>
    </xf>
    <xf numFmtId="0" fontId="232" fillId="0" borderId="111" xfId="8507" applyFont="1" applyBorder="1" applyAlignment="1">
      <alignment horizontal="left" vertical="center" indent="2"/>
    </xf>
    <xf numFmtId="0" fontId="232" fillId="0" borderId="76" xfId="8507" applyFont="1" applyBorder="1" applyAlignment="1">
      <alignment horizontal="left" vertical="center" indent="2"/>
    </xf>
    <xf numFmtId="0" fontId="203" fillId="0" borderId="84" xfId="8469" applyFont="1" applyBorder="1" applyAlignment="1">
      <alignment horizontal="center" vertical="center"/>
    </xf>
    <xf numFmtId="0" fontId="203" fillId="0" borderId="118" xfId="8469" applyFont="1" applyBorder="1" applyAlignment="1">
      <alignment horizontal="center" vertical="center"/>
    </xf>
    <xf numFmtId="0" fontId="203" fillId="0" borderId="68" xfId="8469" applyFont="1" applyBorder="1" applyAlignment="1">
      <alignment horizontal="center" vertical="center"/>
    </xf>
    <xf numFmtId="0" fontId="203" fillId="0" borderId="73" xfId="8469" applyFont="1" applyBorder="1" applyAlignment="1">
      <alignment horizontal="center" vertical="center"/>
    </xf>
    <xf numFmtId="0" fontId="203" fillId="0" borderId="69" xfId="8469" applyFont="1" applyBorder="1" applyAlignment="1">
      <alignment horizontal="center" vertical="center"/>
    </xf>
    <xf numFmtId="0" fontId="203" fillId="0" borderId="12" xfId="8469" applyFont="1" applyBorder="1" applyAlignment="1">
      <alignment horizontal="center" vertical="center"/>
    </xf>
    <xf numFmtId="41" fontId="203" fillId="0" borderId="69" xfId="8470" applyFont="1" applyFill="1" applyBorder="1" applyAlignment="1">
      <alignment horizontal="center" vertical="center"/>
    </xf>
    <xf numFmtId="41" fontId="203" fillId="0" borderId="12" xfId="8470" applyFont="1" applyFill="1" applyBorder="1" applyAlignment="1">
      <alignment horizontal="center" vertical="center"/>
    </xf>
    <xf numFmtId="41" fontId="203" fillId="0" borderId="85" xfId="8470" applyFont="1" applyFill="1" applyBorder="1" applyAlignment="1">
      <alignment horizontal="center" vertical="center"/>
    </xf>
    <xf numFmtId="41" fontId="203" fillId="0" borderId="117" xfId="8470" applyFont="1" applyFill="1" applyBorder="1" applyAlignment="1">
      <alignment horizontal="center" vertical="center"/>
    </xf>
    <xf numFmtId="190" fontId="203" fillId="0" borderId="68" xfId="8470" applyNumberFormat="1" applyFont="1" applyFill="1" applyBorder="1" applyAlignment="1">
      <alignment horizontal="center" vertical="center"/>
    </xf>
    <xf numFmtId="190" fontId="203" fillId="0" borderId="70" xfId="8470" applyNumberFormat="1" applyFont="1" applyFill="1" applyBorder="1" applyAlignment="1">
      <alignment horizontal="center" vertical="center"/>
    </xf>
    <xf numFmtId="0" fontId="240" fillId="44" borderId="1" xfId="8469" applyFont="1" applyFill="1" applyBorder="1" applyAlignment="1">
      <alignment horizontal="center" vertical="center"/>
    </xf>
    <xf numFmtId="0" fontId="240" fillId="44" borderId="1" xfId="8469" applyFont="1" applyFill="1" applyBorder="1" applyAlignment="1">
      <alignment horizontal="center" vertical="center" wrapText="1"/>
    </xf>
    <xf numFmtId="0" fontId="240" fillId="44" borderId="30" xfId="8469" applyFont="1" applyFill="1" applyBorder="1" applyAlignment="1">
      <alignment horizontal="center" vertical="center" wrapText="1"/>
    </xf>
    <xf numFmtId="0" fontId="240" fillId="44" borderId="19" xfId="8469" applyFont="1" applyFill="1" applyBorder="1" applyAlignment="1">
      <alignment horizontal="center" vertical="center"/>
    </xf>
    <xf numFmtId="0" fontId="240" fillId="44" borderId="29" xfId="8469" applyFont="1" applyFill="1" applyBorder="1" applyAlignment="1">
      <alignment horizontal="center" vertical="center"/>
    </xf>
    <xf numFmtId="0" fontId="240" fillId="0" borderId="1" xfId="8469" applyFont="1" applyBorder="1" applyAlignment="1">
      <alignment horizontal="left" vertical="center"/>
    </xf>
    <xf numFmtId="0" fontId="240" fillId="39" borderId="1" xfId="8469" applyFont="1" applyFill="1" applyBorder="1" applyAlignment="1">
      <alignment horizontal="left" vertical="center"/>
    </xf>
    <xf numFmtId="0" fontId="308" fillId="0" borderId="89" xfId="8478" applyFont="1" applyBorder="1" applyAlignment="1">
      <alignment horizontal="justify" vertical="center" wrapText="1"/>
    </xf>
    <xf numFmtId="0" fontId="308" fillId="0" borderId="8" xfId="8478" applyFont="1" applyBorder="1" applyAlignment="1">
      <alignment horizontal="justify" vertical="center" wrapText="1"/>
    </xf>
    <xf numFmtId="0" fontId="59" fillId="0" borderId="39" xfId="8478" applyFont="1" applyBorder="1" applyAlignment="1">
      <alignment horizontal="center" vertical="center" wrapText="1"/>
    </xf>
    <xf numFmtId="0" fontId="59" fillId="0" borderId="1" xfId="8478" applyFont="1" applyBorder="1" applyAlignment="1">
      <alignment horizontal="center" vertical="center" wrapText="1"/>
    </xf>
    <xf numFmtId="0" fontId="308" fillId="0" borderId="221" xfId="8478" applyFont="1" applyBorder="1" applyAlignment="1">
      <alignment horizontal="justify" vertical="center" wrapText="1"/>
    </xf>
    <xf numFmtId="0" fontId="203" fillId="0" borderId="33" xfId="8469" applyFont="1" applyBorder="1" applyAlignment="1">
      <alignment horizontal="center" vertical="center"/>
    </xf>
    <xf numFmtId="0" fontId="203" fillId="0" borderId="113" xfId="8469" applyFont="1" applyBorder="1" applyAlignment="1">
      <alignment horizontal="center" vertical="center"/>
    </xf>
    <xf numFmtId="41" fontId="203" fillId="0" borderId="70" xfId="8470" applyFont="1" applyFill="1" applyBorder="1" applyAlignment="1">
      <alignment horizontal="center" vertical="center"/>
    </xf>
    <xf numFmtId="41" fontId="203" fillId="0" borderId="72" xfId="8470" applyFont="1" applyFill="1" applyBorder="1" applyAlignment="1">
      <alignment horizontal="center" vertical="center"/>
    </xf>
    <xf numFmtId="190" fontId="203" fillId="0" borderId="74" xfId="8470" applyNumberFormat="1" applyFont="1" applyFill="1" applyBorder="1" applyAlignment="1">
      <alignment horizontal="center" vertical="center"/>
    </xf>
    <xf numFmtId="190" fontId="203" fillId="0" borderId="69" xfId="8470" applyNumberFormat="1" applyFont="1" applyFill="1" applyBorder="1" applyAlignment="1">
      <alignment horizontal="center" vertical="center"/>
    </xf>
    <xf numFmtId="0" fontId="229" fillId="0" borderId="1" xfId="8492" applyFont="1" applyBorder="1" applyAlignment="1">
      <alignment horizontal="center" vertical="center"/>
    </xf>
    <xf numFmtId="183" fontId="229" fillId="0" borderId="1" xfId="8492" applyNumberFormat="1" applyFont="1" applyBorder="1" applyAlignment="1">
      <alignment horizontal="center" vertical="center"/>
    </xf>
    <xf numFmtId="0" fontId="204" fillId="0" borderId="1" xfId="8492" applyFont="1" applyBorder="1" applyAlignment="1">
      <alignment horizontal="center" vertical="center"/>
    </xf>
    <xf numFmtId="0" fontId="274" fillId="0" borderId="0" xfId="8492" applyFont="1" applyAlignment="1">
      <alignment horizontal="center" vertical="center"/>
    </xf>
    <xf numFmtId="0" fontId="230" fillId="0" borderId="1" xfId="8492" applyFont="1" applyBorder="1" applyAlignment="1">
      <alignment horizontal="center" vertical="center"/>
    </xf>
    <xf numFmtId="177" fontId="230" fillId="0" borderId="1" xfId="8492" applyNumberFormat="1" applyFont="1" applyBorder="1" applyAlignment="1">
      <alignment horizontal="right" vertical="center" shrinkToFit="1"/>
    </xf>
    <xf numFmtId="177" fontId="230" fillId="0" borderId="89" xfId="8492" applyNumberFormat="1" applyFont="1" applyBorder="1" applyAlignment="1">
      <alignment horizontal="right" vertical="center" shrinkToFit="1"/>
    </xf>
    <xf numFmtId="177" fontId="230" fillId="0" borderId="8" xfId="8492" applyNumberFormat="1" applyFont="1" applyBorder="1" applyAlignment="1">
      <alignment horizontal="right" vertical="center" shrinkToFit="1"/>
    </xf>
    <xf numFmtId="177" fontId="230" fillId="0" borderId="39" xfId="8492" applyNumberFormat="1" applyFont="1" applyBorder="1" applyAlignment="1">
      <alignment horizontal="right" vertical="center" shrinkToFit="1"/>
    </xf>
    <xf numFmtId="0" fontId="230" fillId="0" borderId="89" xfId="8492" applyFont="1" applyBorder="1" applyAlignment="1">
      <alignment horizontal="center" vertical="center"/>
    </xf>
    <xf numFmtId="0" fontId="230" fillId="0" borderId="8" xfId="8492" applyFont="1" applyBorder="1" applyAlignment="1">
      <alignment horizontal="center" vertical="center"/>
    </xf>
    <xf numFmtId="0" fontId="230" fillId="0" borderId="39" xfId="8492" applyFont="1" applyBorder="1" applyAlignment="1">
      <alignment horizontal="center" vertical="center"/>
    </xf>
    <xf numFmtId="177" fontId="229" fillId="0" borderId="1" xfId="8492" applyNumberFormat="1" applyFont="1" applyBorder="1" applyAlignment="1">
      <alignment vertical="center" shrinkToFit="1"/>
    </xf>
    <xf numFmtId="0" fontId="229" fillId="0" borderId="0" xfId="8492" applyFont="1" applyAlignment="1">
      <alignment horizontal="center" vertical="center"/>
    </xf>
    <xf numFmtId="183" fontId="229" fillId="0" borderId="0" xfId="8492" applyNumberFormat="1" applyFont="1" applyAlignment="1">
      <alignment horizontal="center" vertical="center"/>
    </xf>
    <xf numFmtId="0" fontId="230" fillId="0" borderId="0" xfId="8492" applyFont="1" applyAlignment="1">
      <alignment horizontal="center" vertical="center"/>
    </xf>
    <xf numFmtId="179" fontId="230" fillId="0" borderId="0" xfId="8492" applyNumberFormat="1" applyFont="1">
      <alignment vertical="center"/>
    </xf>
    <xf numFmtId="179" fontId="229" fillId="0" borderId="0" xfId="8492" applyNumberFormat="1" applyFont="1">
      <alignment vertical="center"/>
    </xf>
    <xf numFmtId="0" fontId="204" fillId="0" borderId="0" xfId="8492" applyFont="1" applyAlignment="1">
      <alignment horizontal="center" vertical="center"/>
    </xf>
    <xf numFmtId="0" fontId="230" fillId="0" borderId="0" xfId="8492" applyFont="1" applyAlignment="1">
      <alignment horizontal="center" vertical="center" wrapText="1"/>
    </xf>
    <xf numFmtId="179" fontId="230" fillId="0" borderId="0" xfId="8492" applyNumberFormat="1" applyFont="1" applyAlignment="1">
      <alignment horizontal="center" vertical="center"/>
    </xf>
    <xf numFmtId="0" fontId="204" fillId="0" borderId="0" xfId="8492" applyFont="1" applyAlignment="1">
      <alignment horizontal="center" vertical="center" wrapText="1"/>
    </xf>
    <xf numFmtId="0" fontId="215" fillId="40" borderId="1" xfId="8483" applyFont="1" applyFill="1" applyBorder="1" applyAlignment="1">
      <alignment horizontal="center" vertical="center"/>
    </xf>
    <xf numFmtId="185" fontId="215" fillId="40" borderId="1" xfId="8483" applyNumberFormat="1" applyFont="1" applyFill="1" applyBorder="1" applyAlignment="1">
      <alignment horizontal="center" vertical="center"/>
    </xf>
    <xf numFmtId="185" fontId="215" fillId="0" borderId="1" xfId="8483" applyNumberFormat="1" applyFont="1" applyBorder="1" applyAlignment="1">
      <alignment horizontal="center" vertical="center"/>
    </xf>
    <xf numFmtId="0" fontId="215" fillId="40" borderId="0" xfId="8483" applyFont="1" applyFill="1" applyAlignment="1">
      <alignment vertical="center"/>
    </xf>
    <xf numFmtId="0" fontId="280" fillId="0" borderId="0" xfId="8469" applyFont="1" applyAlignment="1">
      <alignment horizontal="left" vertical="center"/>
    </xf>
    <xf numFmtId="0" fontId="215" fillId="40" borderId="0" xfId="8483" applyFont="1" applyFill="1" applyAlignment="1">
      <alignment horizontal="left" vertical="center"/>
    </xf>
    <xf numFmtId="0" fontId="271" fillId="0" borderId="85" xfId="8493" applyFont="1" applyBorder="1" applyAlignment="1">
      <alignment horizontal="center" vertical="center"/>
    </xf>
    <xf numFmtId="0" fontId="271" fillId="0" borderId="74" xfId="8493" applyFont="1" applyBorder="1" applyAlignment="1">
      <alignment horizontal="center" vertical="center"/>
    </xf>
    <xf numFmtId="0" fontId="271" fillId="0" borderId="69" xfId="8493" applyFont="1" applyBorder="1" applyAlignment="1">
      <alignment horizontal="center" vertical="center"/>
    </xf>
    <xf numFmtId="0" fontId="271" fillId="0" borderId="154" xfId="8493" applyFont="1" applyBorder="1" applyAlignment="1">
      <alignment horizontal="center" vertical="center"/>
    </xf>
    <xf numFmtId="0" fontId="271" fillId="0" borderId="138" xfId="8493" applyFont="1" applyBorder="1" applyAlignment="1">
      <alignment horizontal="center" vertical="center"/>
    </xf>
    <xf numFmtId="0" fontId="215" fillId="0" borderId="1" xfId="8483" applyFont="1" applyBorder="1" applyAlignment="1">
      <alignment horizontal="center" vertical="center"/>
    </xf>
    <xf numFmtId="0" fontId="271" fillId="0" borderId="3" xfId="8493" applyFont="1" applyBorder="1" applyAlignment="1">
      <alignment horizontal="center" vertical="center"/>
    </xf>
    <xf numFmtId="0" fontId="271" fillId="0" borderId="155" xfId="8493" applyFont="1" applyBorder="1" applyAlignment="1">
      <alignment horizontal="center" vertical="center"/>
    </xf>
    <xf numFmtId="0" fontId="271" fillId="0" borderId="128" xfId="8493" applyFont="1" applyBorder="1" applyAlignment="1">
      <alignment horizontal="center" vertical="center"/>
    </xf>
    <xf numFmtId="0" fontId="271" fillId="0" borderId="158" xfId="8493" applyFont="1" applyBorder="1" applyAlignment="1">
      <alignment horizontal="center" vertical="center"/>
    </xf>
    <xf numFmtId="0" fontId="271" fillId="0" borderId="131" xfId="8493" applyFont="1" applyBorder="1" applyAlignment="1">
      <alignment horizontal="center" vertical="center"/>
    </xf>
    <xf numFmtId="0" fontId="271" fillId="0" borderId="137" xfId="8493" applyFont="1" applyBorder="1" applyAlignment="1">
      <alignment horizontal="center" vertical="center"/>
    </xf>
    <xf numFmtId="360" fontId="271" fillId="0" borderId="1" xfId="8469" applyNumberFormat="1" applyFont="1" applyBorder="1" applyAlignment="1">
      <alignment horizontal="center" vertical="center"/>
    </xf>
    <xf numFmtId="0" fontId="271" fillId="0" borderId="112" xfId="8493" applyFont="1" applyBorder="1" applyAlignment="1">
      <alignment horizontal="center" vertical="center"/>
    </xf>
    <xf numFmtId="0" fontId="271" fillId="0" borderId="4" xfId="8493" applyFont="1" applyBorder="1" applyAlignment="1">
      <alignment horizontal="center" vertical="center"/>
    </xf>
    <xf numFmtId="14" fontId="288" fillId="0" borderId="110" xfId="8493" quotePrefix="1" applyNumberFormat="1" applyFont="1" applyBorder="1" applyAlignment="1">
      <alignment horizontal="center" vertical="center" wrapText="1"/>
    </xf>
    <xf numFmtId="14" fontId="288" fillId="0" borderId="77" xfId="8493" quotePrefix="1" applyNumberFormat="1" applyFont="1" applyBorder="1" applyAlignment="1">
      <alignment horizontal="center" vertical="center"/>
    </xf>
    <xf numFmtId="0" fontId="271" fillId="0" borderId="162" xfId="8493" applyFont="1" applyBorder="1" applyAlignment="1">
      <alignment horizontal="center" vertical="center"/>
    </xf>
    <xf numFmtId="0" fontId="271" fillId="0" borderId="116" xfId="8493" applyFont="1" applyBorder="1" applyAlignment="1">
      <alignment horizontal="center" vertical="center"/>
    </xf>
    <xf numFmtId="0" fontId="271" fillId="0" borderId="120" xfId="8493" applyFont="1" applyBorder="1" applyAlignment="1">
      <alignment horizontal="center" vertical="center"/>
    </xf>
    <xf numFmtId="0" fontId="271" fillId="0" borderId="6" xfId="8493" applyFont="1" applyBorder="1" applyAlignment="1">
      <alignment horizontal="center" vertical="center"/>
    </xf>
    <xf numFmtId="0" fontId="286" fillId="0" borderId="3" xfId="8493" applyFont="1" applyBorder="1" applyAlignment="1">
      <alignment horizontal="center" vertical="center" textRotation="255" wrapText="1"/>
    </xf>
    <xf numFmtId="0" fontId="286" fillId="0" borderId="37" xfId="8493" applyFont="1" applyBorder="1" applyAlignment="1">
      <alignment horizontal="center" vertical="center" textRotation="255" wrapText="1"/>
    </xf>
    <xf numFmtId="0" fontId="286" fillId="0" borderId="120" xfId="8493" applyFont="1" applyBorder="1" applyAlignment="1">
      <alignment horizontal="center" vertical="center" textRotation="255" wrapText="1"/>
    </xf>
    <xf numFmtId="0" fontId="271" fillId="0" borderId="37" xfId="8493" applyFont="1" applyBorder="1" applyAlignment="1">
      <alignment horizontal="center" vertical="center"/>
    </xf>
    <xf numFmtId="0" fontId="271" fillId="0" borderId="159" xfId="8493" applyFont="1" applyBorder="1" applyAlignment="1">
      <alignment horizontal="center" vertical="center"/>
    </xf>
    <xf numFmtId="0" fontId="271" fillId="0" borderId="41" xfId="8469" applyFont="1" applyBorder="1" applyAlignment="1">
      <alignment horizontal="center" vertical="center" wrapText="1"/>
    </xf>
    <xf numFmtId="0" fontId="271" fillId="0" borderId="1" xfId="8469" applyFont="1" applyBorder="1" applyAlignment="1">
      <alignment horizontal="center" vertical="center" wrapText="1"/>
    </xf>
    <xf numFmtId="185" fontId="271" fillId="0" borderId="98" xfId="8493" applyNumberFormat="1" applyFont="1" applyBorder="1" applyAlignment="1">
      <alignment horizontal="center" vertical="center"/>
    </xf>
    <xf numFmtId="185" fontId="271" fillId="0" borderId="141" xfId="8493" applyNumberFormat="1" applyFont="1" applyBorder="1" applyAlignment="1">
      <alignment horizontal="center" vertical="center"/>
    </xf>
    <xf numFmtId="185" fontId="271" fillId="0" borderId="82" xfId="8493" applyNumberFormat="1" applyFont="1" applyBorder="1" applyAlignment="1">
      <alignment horizontal="center" vertical="center"/>
    </xf>
    <xf numFmtId="0" fontId="271" fillId="0" borderId="30" xfId="8469" applyFont="1" applyBorder="1" applyAlignment="1">
      <alignment horizontal="center" vertical="center"/>
    </xf>
    <xf numFmtId="0" fontId="271" fillId="0" borderId="19" xfId="8469" applyFont="1" applyBorder="1" applyAlignment="1">
      <alignment horizontal="center" vertical="center"/>
    </xf>
    <xf numFmtId="0" fontId="271" fillId="0" borderId="29" xfId="8469" applyFont="1" applyBorder="1" applyAlignment="1">
      <alignment horizontal="center" vertical="center"/>
    </xf>
    <xf numFmtId="41" fontId="282" fillId="0" borderId="0" xfId="8470" applyFont="1" applyFill="1" applyBorder="1" applyAlignment="1">
      <alignment horizontal="center" vertical="center"/>
    </xf>
    <xf numFmtId="0" fontId="203" fillId="40" borderId="163" xfId="8476" applyFont="1" applyFill="1" applyBorder="1" applyAlignment="1">
      <alignment horizontal="left" vertical="center" wrapText="1"/>
    </xf>
    <xf numFmtId="0" fontId="203" fillId="40" borderId="164" xfId="8476" applyFont="1" applyFill="1" applyBorder="1" applyAlignment="1">
      <alignment horizontal="left" vertical="center"/>
    </xf>
    <xf numFmtId="0" fontId="203" fillId="40" borderId="165" xfId="8476" applyFont="1" applyFill="1" applyBorder="1" applyAlignment="1">
      <alignment horizontal="left" vertical="center"/>
    </xf>
    <xf numFmtId="0" fontId="203" fillId="40" borderId="166" xfId="8476" applyFont="1" applyFill="1" applyBorder="1" applyAlignment="1">
      <alignment horizontal="left" vertical="center"/>
    </xf>
    <xf numFmtId="0" fontId="203" fillId="40" borderId="85" xfId="8476" applyFont="1" applyFill="1" applyBorder="1" applyAlignment="1">
      <alignment horizontal="center" vertical="center"/>
    </xf>
    <xf numFmtId="0" fontId="203" fillId="40" borderId="92" xfId="8476" applyFont="1" applyFill="1" applyBorder="1" applyAlignment="1">
      <alignment horizontal="center" vertical="center"/>
    </xf>
    <xf numFmtId="0" fontId="203" fillId="40" borderId="74" xfId="8476" applyFont="1" applyFill="1" applyBorder="1" applyAlignment="1">
      <alignment horizontal="center" vertical="center"/>
    </xf>
    <xf numFmtId="0" fontId="203" fillId="40" borderId="84" xfId="8476" applyFont="1" applyFill="1" applyBorder="1" applyAlignment="1">
      <alignment horizontal="center" vertical="center"/>
    </xf>
    <xf numFmtId="0" fontId="203" fillId="40" borderId="12" xfId="8476" applyFont="1" applyFill="1" applyBorder="1" applyAlignment="1">
      <alignment horizontal="center" vertical="center"/>
    </xf>
    <xf numFmtId="0" fontId="203" fillId="40" borderId="117" xfId="8476" applyFont="1" applyFill="1" applyBorder="1" applyAlignment="1">
      <alignment horizontal="center" vertical="center"/>
    </xf>
    <xf numFmtId="0" fontId="203" fillId="40" borderId="82" xfId="8476" applyFont="1" applyFill="1" applyBorder="1" applyAlignment="1">
      <alignment horizontal="center" vertical="center"/>
    </xf>
    <xf numFmtId="0" fontId="203" fillId="40" borderId="118" xfId="8476" applyFont="1" applyFill="1" applyBorder="1" applyAlignment="1">
      <alignment horizontal="center" vertical="center"/>
    </xf>
    <xf numFmtId="177" fontId="203" fillId="40" borderId="117" xfId="8476" applyNumberFormat="1" applyFont="1" applyFill="1" applyBorder="1" applyAlignment="1">
      <alignment horizontal="center" vertical="center"/>
    </xf>
    <xf numFmtId="177" fontId="203" fillId="40" borderId="82" xfId="8476" applyNumberFormat="1" applyFont="1" applyFill="1" applyBorder="1" applyAlignment="1">
      <alignment horizontal="center" vertical="center"/>
    </xf>
    <xf numFmtId="184" fontId="203" fillId="40" borderId="117" xfId="8476" applyNumberFormat="1" applyFont="1" applyFill="1" applyBorder="1" applyAlignment="1">
      <alignment horizontal="center" vertical="center"/>
    </xf>
    <xf numFmtId="184" fontId="203" fillId="40" borderId="82" xfId="8476" applyNumberFormat="1" applyFont="1" applyFill="1" applyBorder="1" applyAlignment="1">
      <alignment horizontal="center" vertical="center"/>
    </xf>
    <xf numFmtId="184" fontId="203" fillId="40" borderId="118" xfId="8476" applyNumberFormat="1" applyFont="1" applyFill="1" applyBorder="1" applyAlignment="1">
      <alignment horizontal="center" vertical="center"/>
    </xf>
    <xf numFmtId="184" fontId="203" fillId="40" borderId="119" xfId="8476" applyNumberFormat="1" applyFont="1" applyFill="1" applyBorder="1" applyAlignment="1">
      <alignment horizontal="center" vertical="center"/>
    </xf>
    <xf numFmtId="184" fontId="203" fillId="40" borderId="121" xfId="8476" applyNumberFormat="1" applyFont="1" applyFill="1" applyBorder="1" applyAlignment="1">
      <alignment horizontal="center" vertical="center"/>
    </xf>
    <xf numFmtId="0" fontId="203" fillId="40" borderId="122" xfId="8476" applyFont="1" applyFill="1" applyBorder="1" applyAlignment="1">
      <alignment horizontal="center" vertical="center"/>
    </xf>
    <xf numFmtId="0" fontId="203" fillId="40" borderId="80" xfId="8476" applyFont="1" applyFill="1" applyBorder="1" applyAlignment="1">
      <alignment horizontal="center" vertical="center"/>
    </xf>
    <xf numFmtId="177" fontId="203" fillId="40" borderId="83" xfId="8476" applyNumberFormat="1" applyFont="1" applyFill="1" applyBorder="1" applyAlignment="1">
      <alignment horizontal="center" vertical="center"/>
    </xf>
    <xf numFmtId="177" fontId="203" fillId="40" borderId="80" xfId="8476" applyNumberFormat="1" applyFont="1" applyFill="1" applyBorder="1" applyAlignment="1">
      <alignment horizontal="center" vertical="center"/>
    </xf>
    <xf numFmtId="184" fontId="203" fillId="40" borderId="83" xfId="8476" applyNumberFormat="1" applyFont="1" applyFill="1" applyBorder="1" applyAlignment="1">
      <alignment horizontal="center" vertical="center"/>
    </xf>
    <xf numFmtId="184" fontId="203" fillId="40" borderId="80" xfId="8476" applyNumberFormat="1" applyFont="1" applyFill="1" applyBorder="1" applyAlignment="1">
      <alignment horizontal="center" vertical="center"/>
    </xf>
    <xf numFmtId="184" fontId="203" fillId="40" borderId="123" xfId="8476" applyNumberFormat="1" applyFont="1" applyFill="1" applyBorder="1" applyAlignment="1">
      <alignment horizontal="center" vertical="center"/>
    </xf>
    <xf numFmtId="0" fontId="203" fillId="40" borderId="98" xfId="8476" applyFont="1" applyFill="1" applyBorder="1" applyAlignment="1">
      <alignment horizontal="center" vertical="center"/>
    </xf>
    <xf numFmtId="0" fontId="203" fillId="40" borderId="120" xfId="8476" applyFont="1" applyFill="1" applyBorder="1" applyAlignment="1">
      <alignment horizontal="center" vertical="center"/>
    </xf>
    <xf numFmtId="0" fontId="203" fillId="40" borderId="6" xfId="8476" applyFont="1" applyFill="1" applyBorder="1" applyAlignment="1">
      <alignment horizontal="center" vertical="center"/>
    </xf>
    <xf numFmtId="177" fontId="203" fillId="40" borderId="119" xfId="8476" applyNumberFormat="1" applyFont="1" applyFill="1" applyBorder="1" applyAlignment="1">
      <alignment horizontal="center" vertical="center"/>
    </xf>
    <xf numFmtId="177" fontId="203" fillId="40" borderId="6" xfId="8476" applyNumberFormat="1" applyFont="1" applyFill="1" applyBorder="1" applyAlignment="1">
      <alignment horizontal="center" vertical="center"/>
    </xf>
    <xf numFmtId="184" fontId="203" fillId="40" borderId="6" xfId="8476" applyNumberFormat="1" applyFont="1" applyFill="1" applyBorder="1" applyAlignment="1">
      <alignment horizontal="center" vertical="center"/>
    </xf>
    <xf numFmtId="184" fontId="203" fillId="40" borderId="11" xfId="8476" applyNumberFormat="1" applyFont="1" applyFill="1" applyBorder="1" applyAlignment="1">
      <alignment horizontal="center" vertical="center"/>
    </xf>
    <xf numFmtId="184" fontId="203" fillId="40" borderId="13" xfId="8476" applyNumberFormat="1" applyFont="1" applyFill="1" applyBorder="1" applyAlignment="1">
      <alignment horizontal="center" vertical="center"/>
    </xf>
    <xf numFmtId="184" fontId="203" fillId="40" borderId="71" xfId="8476" applyNumberFormat="1" applyFont="1" applyFill="1" applyBorder="1" applyAlignment="1">
      <alignment horizontal="center" vertical="center"/>
    </xf>
    <xf numFmtId="177" fontId="203" fillId="40" borderId="13" xfId="8476" applyNumberFormat="1" applyFont="1" applyFill="1" applyBorder="1" applyAlignment="1">
      <alignment horizontal="center" vertical="center"/>
    </xf>
    <xf numFmtId="0" fontId="203" fillId="40" borderId="167" xfId="8476" applyFont="1" applyFill="1" applyBorder="1" applyAlignment="1">
      <alignment horizontal="left" vertical="center" wrapText="1"/>
    </xf>
    <xf numFmtId="0" fontId="203" fillId="40" borderId="168" xfId="8476" applyFont="1" applyFill="1" applyBorder="1" applyAlignment="1">
      <alignment horizontal="left" vertical="center" wrapText="1"/>
    </xf>
    <xf numFmtId="0" fontId="203" fillId="40" borderId="169" xfId="8476" applyFont="1" applyFill="1" applyBorder="1" applyAlignment="1">
      <alignment horizontal="left" vertical="center" wrapText="1"/>
    </xf>
    <xf numFmtId="0" fontId="203" fillId="40" borderId="170" xfId="8476" applyFont="1" applyFill="1" applyBorder="1" applyAlignment="1">
      <alignment horizontal="left" vertical="center" wrapText="1"/>
    </xf>
    <xf numFmtId="0" fontId="203" fillId="40" borderId="171" xfId="8476" applyFont="1" applyFill="1" applyBorder="1" applyAlignment="1">
      <alignment horizontal="left" vertical="center" wrapText="1"/>
    </xf>
    <xf numFmtId="0" fontId="203" fillId="40" borderId="172" xfId="8476" applyFont="1" applyFill="1" applyBorder="1" applyAlignment="1">
      <alignment horizontal="left" vertical="center" wrapText="1"/>
    </xf>
    <xf numFmtId="0" fontId="203" fillId="40" borderId="68" xfId="8476" applyFont="1" applyFill="1" applyBorder="1" applyAlignment="1">
      <alignment horizontal="center" vertical="center"/>
    </xf>
    <xf numFmtId="0" fontId="203" fillId="40" borderId="69" xfId="8476" applyFont="1" applyFill="1" applyBorder="1" applyAlignment="1">
      <alignment horizontal="center" vertical="center"/>
    </xf>
    <xf numFmtId="0" fontId="203" fillId="40" borderId="70" xfId="8476" applyFont="1" applyFill="1" applyBorder="1" applyAlignment="1">
      <alignment horizontal="center" vertical="center"/>
    </xf>
    <xf numFmtId="0" fontId="203" fillId="40" borderId="111" xfId="8476" applyFont="1" applyFill="1" applyBorder="1" applyAlignment="1">
      <alignment horizontal="center" vertical="center"/>
    </xf>
    <xf numFmtId="0" fontId="203" fillId="40" borderId="112" xfId="8476" applyFont="1" applyFill="1" applyBorder="1" applyAlignment="1">
      <alignment horizontal="center" vertical="center"/>
    </xf>
    <xf numFmtId="0" fontId="203" fillId="40" borderId="110" xfId="8476" applyFont="1" applyFill="1" applyBorder="1" applyAlignment="1">
      <alignment horizontal="center" vertical="center"/>
    </xf>
    <xf numFmtId="0" fontId="203" fillId="40" borderId="116" xfId="8476" applyFont="1" applyFill="1" applyBorder="1" applyAlignment="1">
      <alignment horizontal="center" vertical="center"/>
    </xf>
    <xf numFmtId="0" fontId="203" fillId="40" borderId="11" xfId="8476" applyFont="1" applyFill="1" applyBorder="1" applyAlignment="1">
      <alignment horizontal="center" vertical="center"/>
    </xf>
    <xf numFmtId="0" fontId="203" fillId="40" borderId="13" xfId="8476" applyFont="1" applyFill="1" applyBorder="1" applyAlignment="1">
      <alignment horizontal="center" vertical="center"/>
    </xf>
    <xf numFmtId="0" fontId="203" fillId="40" borderId="73" xfId="8476" applyFont="1" applyFill="1" applyBorder="1" applyAlignment="1">
      <alignment horizontal="center" vertical="center"/>
    </xf>
    <xf numFmtId="177" fontId="203" fillId="40" borderId="69" xfId="8476" applyNumberFormat="1" applyFont="1" applyFill="1" applyBorder="1" applyAlignment="1">
      <alignment horizontal="center" vertical="center"/>
    </xf>
    <xf numFmtId="177" fontId="203" fillId="40" borderId="85" xfId="8476" applyNumberFormat="1" applyFont="1" applyFill="1" applyBorder="1" applyAlignment="1">
      <alignment horizontal="center" vertical="center"/>
    </xf>
    <xf numFmtId="184" fontId="203" fillId="40" borderId="68" xfId="8476" applyNumberFormat="1" applyFont="1" applyFill="1" applyBorder="1" applyAlignment="1">
      <alignment horizontal="center" vertical="center"/>
    </xf>
    <xf numFmtId="184" fontId="203" fillId="40" borderId="69" xfId="8476" applyNumberFormat="1" applyFont="1" applyFill="1" applyBorder="1" applyAlignment="1">
      <alignment horizontal="center" vertical="center"/>
    </xf>
    <xf numFmtId="184" fontId="203" fillId="40" borderId="70" xfId="8476" applyNumberFormat="1" applyFont="1" applyFill="1" applyBorder="1" applyAlignment="1">
      <alignment horizontal="center" vertical="center"/>
    </xf>
    <xf numFmtId="184" fontId="203" fillId="40" borderId="74" xfId="8476" applyNumberFormat="1" applyFont="1" applyFill="1" applyBorder="1" applyAlignment="1">
      <alignment horizontal="center" vertical="center"/>
    </xf>
    <xf numFmtId="177" fontId="203" fillId="40" borderId="12" xfId="8476" applyNumberFormat="1" applyFont="1" applyFill="1" applyBorder="1" applyAlignment="1">
      <alignment horizontal="center" vertical="center"/>
    </xf>
    <xf numFmtId="184" fontId="203" fillId="40" borderId="73" xfId="8476" applyNumberFormat="1" applyFont="1" applyFill="1" applyBorder="1" applyAlignment="1">
      <alignment horizontal="center" vertical="center"/>
    </xf>
    <xf numFmtId="184" fontId="203" fillId="40" borderId="12" xfId="8476" applyNumberFormat="1" applyFont="1" applyFill="1" applyBorder="1" applyAlignment="1">
      <alignment horizontal="center" vertical="center"/>
    </xf>
    <xf numFmtId="184" fontId="203" fillId="40" borderId="72" xfId="8476" applyNumberFormat="1" applyFont="1" applyFill="1" applyBorder="1" applyAlignment="1">
      <alignment horizontal="center" vertical="center"/>
    </xf>
    <xf numFmtId="0" fontId="203" fillId="40" borderId="173" xfId="8476" applyFont="1" applyFill="1" applyBorder="1" applyAlignment="1">
      <alignment horizontal="center" vertical="center"/>
    </xf>
    <xf numFmtId="0" fontId="203" fillId="40" borderId="137" xfId="8476" applyFont="1" applyFill="1" applyBorder="1" applyAlignment="1">
      <alignment horizontal="center" vertical="center"/>
    </xf>
    <xf numFmtId="0" fontId="203" fillId="40" borderId="174" xfId="8476" applyFont="1" applyFill="1" applyBorder="1" applyAlignment="1">
      <alignment horizontal="center" vertical="center"/>
    </xf>
    <xf numFmtId="184" fontId="203" fillId="40" borderId="173" xfId="8476" applyNumberFormat="1" applyFont="1" applyFill="1" applyBorder="1" applyAlignment="1">
      <alignment horizontal="center" vertical="center"/>
    </xf>
    <xf numFmtId="184" fontId="203" fillId="40" borderId="137" xfId="8476" applyNumberFormat="1" applyFont="1" applyFill="1" applyBorder="1" applyAlignment="1">
      <alignment horizontal="center" vertical="center"/>
    </xf>
    <xf numFmtId="184" fontId="203" fillId="40" borderId="138" xfId="8476" applyNumberFormat="1" applyFont="1" applyFill="1" applyBorder="1" applyAlignment="1">
      <alignment horizontal="center" vertical="center"/>
    </xf>
    <xf numFmtId="184" fontId="203" fillId="40" borderId="158" xfId="8476" applyNumberFormat="1" applyFont="1" applyFill="1" applyBorder="1" applyAlignment="1">
      <alignment horizontal="center" vertical="center"/>
    </xf>
    <xf numFmtId="0" fontId="203" fillId="0" borderId="11" xfId="8476" applyFont="1" applyBorder="1" applyAlignment="1">
      <alignment horizontal="center" vertical="center"/>
    </xf>
    <xf numFmtId="0" fontId="203" fillId="0" borderId="83" xfId="8476" applyFont="1" applyBorder="1" applyAlignment="1">
      <alignment horizontal="center" vertical="center"/>
    </xf>
    <xf numFmtId="0" fontId="203" fillId="40" borderId="71" xfId="8476" applyFont="1" applyFill="1" applyBorder="1" applyAlignment="1">
      <alignment horizontal="center" vertical="center"/>
    </xf>
    <xf numFmtId="0" fontId="203" fillId="40" borderId="83" xfId="8476" applyFont="1" applyFill="1" applyBorder="1" applyAlignment="1">
      <alignment horizontal="center" vertical="center"/>
    </xf>
    <xf numFmtId="0" fontId="203" fillId="0" borderId="73" xfId="8476" applyFont="1" applyBorder="1" applyAlignment="1">
      <alignment horizontal="center" vertical="center"/>
    </xf>
    <xf numFmtId="0" fontId="203" fillId="0" borderId="117" xfId="8476" applyFont="1" applyBorder="1" applyAlignment="1">
      <alignment horizontal="center" vertical="center"/>
    </xf>
    <xf numFmtId="0" fontId="203" fillId="40" borderId="72" xfId="8476" applyFont="1" applyFill="1" applyBorder="1" applyAlignment="1">
      <alignment horizontal="center" vertical="center"/>
    </xf>
    <xf numFmtId="0" fontId="203" fillId="0" borderId="81" xfId="8476" applyFont="1" applyBorder="1" applyAlignment="1">
      <alignment horizontal="center" vertical="center"/>
    </xf>
    <xf numFmtId="0" fontId="203" fillId="0" borderId="57" xfId="8476" applyFont="1" applyBorder="1" applyAlignment="1">
      <alignment horizontal="center" vertical="center"/>
    </xf>
    <xf numFmtId="0" fontId="203" fillId="40" borderId="81" xfId="8476" applyFont="1" applyFill="1" applyBorder="1" applyAlignment="1">
      <alignment horizontal="center" vertical="center"/>
    </xf>
    <xf numFmtId="0" fontId="203" fillId="40" borderId="96" xfId="8476" applyFont="1" applyFill="1" applyBorder="1" applyAlignment="1">
      <alignment horizontal="center" vertical="center"/>
    </xf>
    <xf numFmtId="0" fontId="203" fillId="40" borderId="97" xfId="8476" applyFont="1" applyFill="1" applyBorder="1" applyAlignment="1">
      <alignment horizontal="center" vertical="center"/>
    </xf>
    <xf numFmtId="0" fontId="203" fillId="40" borderId="175" xfId="8476" applyFont="1" applyFill="1" applyBorder="1" applyAlignment="1">
      <alignment horizontal="center" vertical="center"/>
    </xf>
    <xf numFmtId="0" fontId="203" fillId="40" borderId="57" xfId="8476" applyFont="1" applyFill="1" applyBorder="1" applyAlignment="1">
      <alignment horizontal="center" vertical="center"/>
    </xf>
    <xf numFmtId="0" fontId="203" fillId="0" borderId="76" xfId="8476" applyFont="1" applyBorder="1" applyAlignment="1">
      <alignment horizontal="center" vertical="center"/>
    </xf>
    <xf numFmtId="0" fontId="203" fillId="0" borderId="119" xfId="8476" applyFont="1" applyBorder="1" applyAlignment="1">
      <alignment horizontal="center" vertical="center"/>
    </xf>
    <xf numFmtId="0" fontId="203" fillId="40" borderId="76" xfId="8476" applyFont="1" applyFill="1" applyBorder="1" applyAlignment="1">
      <alignment horizontal="center" vertical="center"/>
    </xf>
    <xf numFmtId="0" fontId="203" fillId="40" borderId="4" xfId="8476" applyFont="1" applyFill="1" applyBorder="1" applyAlignment="1">
      <alignment horizontal="center" vertical="center"/>
    </xf>
    <xf numFmtId="0" fontId="203" fillId="40" borderId="77" xfId="8476" applyFont="1" applyFill="1" applyBorder="1" applyAlignment="1">
      <alignment horizontal="center" vertical="center"/>
    </xf>
    <xf numFmtId="0" fontId="203" fillId="40" borderId="119" xfId="8476" applyFont="1" applyFill="1" applyBorder="1" applyAlignment="1">
      <alignment horizontal="center" vertical="center"/>
    </xf>
    <xf numFmtId="0" fontId="203" fillId="40" borderId="3" xfId="8476" applyFont="1" applyFill="1" applyBorder="1" applyAlignment="1">
      <alignment horizontal="center" vertical="center" wrapText="1"/>
    </xf>
    <xf numFmtId="0" fontId="203" fillId="40" borderId="155" xfId="8476" applyFont="1" applyFill="1" applyBorder="1" applyAlignment="1">
      <alignment horizontal="center" vertical="center" wrapText="1"/>
    </xf>
    <xf numFmtId="0" fontId="203" fillId="40" borderId="37" xfId="8476" applyFont="1" applyFill="1" applyBorder="1" applyAlignment="1">
      <alignment horizontal="center" vertical="center" wrapText="1"/>
    </xf>
    <xf numFmtId="0" fontId="203" fillId="40" borderId="159" xfId="8476" applyFont="1" applyFill="1" applyBorder="1" applyAlignment="1">
      <alignment horizontal="center" vertical="center" wrapText="1"/>
    </xf>
    <xf numFmtId="0" fontId="203" fillId="40" borderId="128" xfId="8476" applyFont="1" applyFill="1" applyBorder="1" applyAlignment="1">
      <alignment horizontal="center" vertical="center" wrapText="1"/>
    </xf>
    <xf numFmtId="0" fontId="203" fillId="40" borderId="158" xfId="8476" applyFont="1" applyFill="1" applyBorder="1" applyAlignment="1">
      <alignment horizontal="center" vertical="center" wrapText="1"/>
    </xf>
    <xf numFmtId="0" fontId="203" fillId="40" borderId="128" xfId="8476" applyFont="1" applyFill="1" applyBorder="1" applyAlignment="1">
      <alignment horizontal="center" vertical="center"/>
    </xf>
    <xf numFmtId="0" fontId="203" fillId="40" borderId="35" xfId="8476" applyFont="1" applyFill="1" applyBorder="1" applyAlignment="1">
      <alignment horizontal="center" vertical="center"/>
    </xf>
    <xf numFmtId="0" fontId="203" fillId="0" borderId="0" xfId="8476" applyFont="1" applyAlignment="1">
      <alignment horizontal="left" vertical="center"/>
    </xf>
    <xf numFmtId="0" fontId="203" fillId="0" borderId="1" xfId="8469" applyFont="1" applyBorder="1" applyAlignment="1">
      <alignment horizontal="center" vertical="center"/>
    </xf>
    <xf numFmtId="0" fontId="203" fillId="40" borderId="157" xfId="8476" applyFont="1" applyFill="1" applyBorder="1" applyAlignment="1">
      <alignment horizontal="center" vertical="center"/>
    </xf>
    <xf numFmtId="0" fontId="203" fillId="40" borderId="33" xfId="8476" applyFont="1" applyFill="1" applyBorder="1" applyAlignment="1">
      <alignment horizontal="center" vertical="center" wrapText="1"/>
    </xf>
    <xf numFmtId="0" fontId="203" fillId="40" borderId="115" xfId="8476" applyFont="1" applyFill="1" applyBorder="1" applyAlignment="1">
      <alignment horizontal="center" vertical="center"/>
    </xf>
    <xf numFmtId="0" fontId="203" fillId="0" borderId="1" xfId="8469" applyFont="1" applyBorder="1" applyAlignment="1">
      <alignment horizontal="center" vertical="center" wrapText="1"/>
    </xf>
    <xf numFmtId="178" fontId="203" fillId="0" borderId="1" xfId="8469" applyNumberFormat="1" applyFont="1" applyBorder="1" applyAlignment="1">
      <alignment horizontal="center" vertical="center"/>
    </xf>
    <xf numFmtId="370" fontId="271" fillId="0" borderId="1" xfId="8493" applyNumberFormat="1" applyFont="1" applyBorder="1" applyAlignment="1">
      <alignment horizontal="center" vertical="center"/>
    </xf>
    <xf numFmtId="0" fontId="290" fillId="0" borderId="1" xfId="8490" applyFont="1" applyBorder="1" applyAlignment="1">
      <alignment horizontal="center" vertical="center"/>
    </xf>
    <xf numFmtId="0" fontId="290" fillId="0" borderId="89" xfId="8490" applyFont="1" applyBorder="1" applyAlignment="1">
      <alignment horizontal="center" vertical="center"/>
    </xf>
    <xf numFmtId="0" fontId="290" fillId="0" borderId="39" xfId="8490" applyFont="1" applyBorder="1" applyAlignment="1">
      <alignment horizontal="center" vertical="center"/>
    </xf>
    <xf numFmtId="178" fontId="290" fillId="0" borderId="1" xfId="8490" applyNumberFormat="1" applyFont="1" applyBorder="1" applyAlignment="1">
      <alignment horizontal="center" vertical="center"/>
    </xf>
    <xf numFmtId="348" fontId="290" fillId="0" borderId="1" xfId="8490" applyNumberFormat="1" applyFont="1" applyBorder="1" applyAlignment="1">
      <alignment horizontal="center" vertical="center"/>
    </xf>
    <xf numFmtId="2" fontId="290" fillId="0" borderId="1" xfId="8490" applyNumberFormat="1" applyFont="1" applyBorder="1" applyAlignment="1">
      <alignment horizontal="center" vertical="center"/>
    </xf>
    <xf numFmtId="370" fontId="291" fillId="0" borderId="1" xfId="8493" applyNumberFormat="1" applyFont="1" applyBorder="1" applyAlignment="1">
      <alignment horizontal="center" vertical="center"/>
    </xf>
    <xf numFmtId="0" fontId="290" fillId="0" borderId="30" xfId="8490" applyFont="1" applyBorder="1" applyAlignment="1">
      <alignment horizontal="center" vertical="center"/>
    </xf>
    <xf numFmtId="0" fontId="290" fillId="0" borderId="19" xfId="8490" applyFont="1" applyBorder="1" applyAlignment="1">
      <alignment horizontal="center" vertical="center"/>
    </xf>
    <xf numFmtId="0" fontId="290" fillId="0" borderId="29" xfId="8490" applyFont="1" applyBorder="1" applyAlignment="1">
      <alignment horizontal="center" vertical="center"/>
    </xf>
    <xf numFmtId="0" fontId="292" fillId="0" borderId="1" xfId="8469" applyFont="1" applyBorder="1" applyAlignment="1">
      <alignment horizontal="center" vertical="center" wrapText="1"/>
    </xf>
    <xf numFmtId="0" fontId="102" fillId="0" borderId="1" xfId="8469" applyFont="1" applyBorder="1" applyAlignment="1">
      <alignment horizontal="left" vertical="center" wrapText="1" indent="1"/>
    </xf>
    <xf numFmtId="0" fontId="102" fillId="0" borderId="1" xfId="8469" applyFont="1" applyBorder="1" applyAlignment="1">
      <alignment horizontal="center" vertical="center" wrapText="1"/>
    </xf>
    <xf numFmtId="184" fontId="198" fillId="42" borderId="147" xfId="8469" applyNumberFormat="1" applyFont="1" applyFill="1" applyBorder="1" applyAlignment="1">
      <alignment horizontal="center" vertical="center"/>
    </xf>
    <xf numFmtId="184" fontId="198" fillId="42" borderId="148" xfId="8469" applyNumberFormat="1" applyFont="1" applyFill="1" applyBorder="1" applyAlignment="1">
      <alignment horizontal="center" vertical="center"/>
    </xf>
    <xf numFmtId="0" fontId="294" fillId="41" borderId="1" xfId="8469" applyFont="1" applyFill="1" applyBorder="1" applyAlignment="1">
      <alignment horizontal="center" vertical="center"/>
    </xf>
    <xf numFmtId="0" fontId="294" fillId="41" borderId="89" xfId="8469" applyFont="1" applyFill="1" applyBorder="1" applyAlignment="1">
      <alignment horizontal="center" vertical="center"/>
    </xf>
    <xf numFmtId="0" fontId="294" fillId="41" borderId="149" xfId="8469" applyFont="1" applyFill="1" applyBorder="1" applyAlignment="1">
      <alignment horizontal="center" vertical="center"/>
    </xf>
    <xf numFmtId="0" fontId="294" fillId="41" borderId="176" xfId="8469" applyFont="1" applyFill="1" applyBorder="1" applyAlignment="1">
      <alignment horizontal="center" vertical="center"/>
    </xf>
    <xf numFmtId="0" fontId="294" fillId="41" borderId="39" xfId="8469" applyFont="1" applyFill="1" applyBorder="1" applyAlignment="1">
      <alignment horizontal="center" vertical="center"/>
    </xf>
    <xf numFmtId="0" fontId="209" fillId="0" borderId="1" xfId="8472" applyFont="1" applyBorder="1" applyAlignment="1">
      <alignment horizontal="center" vertical="center"/>
    </xf>
    <xf numFmtId="0" fontId="209" fillId="0" borderId="89" xfId="8472" applyFont="1" applyBorder="1" applyAlignment="1">
      <alignment horizontal="center" vertical="center"/>
    </xf>
    <xf numFmtId="0" fontId="209" fillId="0" borderId="8" xfId="8472" applyFont="1" applyBorder="1" applyAlignment="1">
      <alignment horizontal="center" vertical="center"/>
    </xf>
    <xf numFmtId="0" fontId="209" fillId="0" borderId="39" xfId="8472" applyFont="1" applyBorder="1" applyAlignment="1">
      <alignment horizontal="center" vertical="center"/>
    </xf>
    <xf numFmtId="0" fontId="294" fillId="0" borderId="89" xfId="8472" applyFont="1" applyBorder="1" applyAlignment="1">
      <alignment horizontal="center" vertical="center"/>
    </xf>
    <xf numFmtId="0" fontId="294" fillId="0" borderId="8" xfId="8472" applyFont="1" applyBorder="1" applyAlignment="1">
      <alignment horizontal="center" vertical="center"/>
    </xf>
    <xf numFmtId="0" fontId="294" fillId="0" borderId="39" xfId="8472" applyFont="1" applyBorder="1" applyAlignment="1">
      <alignment horizontal="center" vertical="center"/>
    </xf>
    <xf numFmtId="372" fontId="214" fillId="0" borderId="1" xfId="8472" applyNumberFormat="1" applyFont="1" applyBorder="1" applyAlignment="1">
      <alignment horizontal="center" vertical="center"/>
    </xf>
    <xf numFmtId="0" fontId="214" fillId="0" borderId="89" xfId="8472" applyFont="1" applyBorder="1" applyAlignment="1">
      <alignment horizontal="center" vertical="center"/>
    </xf>
    <xf numFmtId="49" fontId="214" fillId="0" borderId="8" xfId="8472" applyNumberFormat="1" applyFont="1" applyBorder="1" applyAlignment="1">
      <alignment horizontal="center" vertical="center"/>
    </xf>
    <xf numFmtId="49" fontId="214" fillId="0" borderId="39" xfId="8472" applyNumberFormat="1" applyFont="1" applyBorder="1" applyAlignment="1">
      <alignment horizontal="center" vertical="center"/>
    </xf>
    <xf numFmtId="372" fontId="214" fillId="39" borderId="1" xfId="8472" applyNumberFormat="1" applyFont="1" applyFill="1" applyBorder="1" applyAlignment="1">
      <alignment horizontal="center" vertical="center"/>
    </xf>
    <xf numFmtId="0" fontId="214" fillId="39" borderId="89" xfId="8472" applyFont="1" applyFill="1" applyBorder="1" applyAlignment="1">
      <alignment horizontal="center" vertical="center"/>
    </xf>
    <xf numFmtId="49" fontId="214" fillId="39" borderId="8" xfId="8472" applyNumberFormat="1" applyFont="1" applyFill="1" applyBorder="1" applyAlignment="1">
      <alignment horizontal="center" vertical="center"/>
    </xf>
    <xf numFmtId="49" fontId="214" fillId="39" borderId="39" xfId="8472" applyNumberFormat="1" applyFont="1" applyFill="1" applyBorder="1" applyAlignment="1">
      <alignment horizontal="center" vertical="center"/>
    </xf>
    <xf numFmtId="0" fontId="294" fillId="0" borderId="1" xfId="8472" applyFont="1" applyBorder="1" applyAlignment="1">
      <alignment horizontal="center" vertical="center"/>
    </xf>
    <xf numFmtId="49" fontId="214" fillId="0" borderId="89" xfId="8472" applyNumberFormat="1" applyFont="1" applyBorder="1" applyAlignment="1">
      <alignment horizontal="center" vertical="center"/>
    </xf>
    <xf numFmtId="349" fontId="218" fillId="0" borderId="1" xfId="8472" applyNumberFormat="1" applyFont="1" applyBorder="1" applyAlignment="1">
      <alignment horizontal="center" vertical="center"/>
    </xf>
    <xf numFmtId="0" fontId="207" fillId="0" borderId="0" xfId="8497" applyFont="1" applyAlignment="1">
      <alignment horizontal="center" vertical="center"/>
    </xf>
    <xf numFmtId="190" fontId="213" fillId="0" borderId="40" xfId="8474" applyNumberFormat="1" applyFont="1" applyBorder="1" applyAlignment="1">
      <alignment horizontal="center" vertical="center"/>
    </xf>
    <xf numFmtId="240" fontId="213" fillId="0" borderId="37" xfId="8473" applyNumberFormat="1" applyFont="1" applyBorder="1" applyAlignment="1" applyProtection="1">
      <alignment horizontal="left" vertical="center" wrapText="1"/>
      <protection locked="0"/>
    </xf>
    <xf numFmtId="240" fontId="213" fillId="0" borderId="0" xfId="8473" applyNumberFormat="1" applyFont="1" applyAlignment="1" applyProtection="1">
      <alignment horizontal="left" vertical="center" wrapText="1"/>
      <protection locked="0"/>
    </xf>
    <xf numFmtId="240" fontId="213" fillId="0" borderId="41" xfId="8473" applyNumberFormat="1" applyFont="1" applyBorder="1" applyAlignment="1" applyProtection="1">
      <alignment horizontal="left" vertical="center" wrapText="1"/>
      <protection locked="0"/>
    </xf>
    <xf numFmtId="349" fontId="218" fillId="0" borderId="89" xfId="8472" applyNumberFormat="1" applyFont="1" applyBorder="1" applyAlignment="1">
      <alignment horizontal="center" vertical="center"/>
    </xf>
    <xf numFmtId="349" fontId="218" fillId="0" borderId="39" xfId="8472" applyNumberFormat="1" applyFont="1" applyBorder="1" applyAlignment="1">
      <alignment horizontal="center" vertical="center"/>
    </xf>
    <xf numFmtId="349" fontId="218" fillId="0" borderId="8" xfId="8472" applyNumberFormat="1" applyFont="1" applyBorder="1" applyAlignment="1">
      <alignment horizontal="center" vertical="center"/>
    </xf>
    <xf numFmtId="0" fontId="203" fillId="0" borderId="70" xfId="8469" applyFont="1" applyBorder="1" applyAlignment="1">
      <alignment horizontal="center" vertical="center"/>
    </xf>
    <xf numFmtId="0" fontId="203" fillId="0" borderId="72" xfId="8469" applyFont="1" applyBorder="1" applyAlignment="1">
      <alignment horizontal="center" vertical="center"/>
    </xf>
    <xf numFmtId="41" fontId="203" fillId="0" borderId="74" xfId="8470" applyFont="1" applyFill="1" applyBorder="1" applyAlignment="1">
      <alignment horizontal="center" vertical="center"/>
    </xf>
    <xf numFmtId="41" fontId="203" fillId="0" borderId="82" xfId="8470" applyFont="1" applyFill="1" applyBorder="1" applyAlignment="1">
      <alignment horizontal="center" vertical="center"/>
    </xf>
    <xf numFmtId="0" fontId="203" fillId="0" borderId="30" xfId="8469" applyFont="1" applyBorder="1" applyAlignment="1">
      <alignment horizontal="center" vertical="center"/>
    </xf>
    <xf numFmtId="0" fontId="203" fillId="0" borderId="19" xfId="8469" applyFont="1" applyBorder="1" applyAlignment="1">
      <alignment horizontal="center" vertical="center"/>
    </xf>
    <xf numFmtId="0" fontId="203" fillId="0" borderId="29" xfId="8469" applyFont="1" applyBorder="1" applyAlignment="1">
      <alignment horizontal="center" vertical="center"/>
    </xf>
    <xf numFmtId="0" fontId="203" fillId="0" borderId="92" xfId="8469" applyFont="1" applyBorder="1" applyAlignment="1">
      <alignment horizontal="center" vertical="center"/>
    </xf>
    <xf numFmtId="0" fontId="203" fillId="0" borderId="86" xfId="8469" applyFont="1" applyBorder="1" applyAlignment="1">
      <alignment horizontal="center" vertical="center"/>
    </xf>
    <xf numFmtId="0" fontId="203" fillId="0" borderId="33" xfId="8469" applyFont="1" applyBorder="1" applyAlignment="1">
      <alignment horizontal="center" vertical="center" wrapText="1"/>
    </xf>
    <xf numFmtId="0" fontId="203" fillId="0" borderId="126" xfId="8469" applyFont="1" applyBorder="1" applyAlignment="1">
      <alignment horizontal="center" vertical="center"/>
    </xf>
    <xf numFmtId="0" fontId="274" fillId="0" borderId="0" xfId="8495" applyFont="1" applyAlignment="1">
      <alignment horizontal="center" vertical="center"/>
    </xf>
    <xf numFmtId="190" fontId="215" fillId="0" borderId="40" xfId="8474" applyNumberFormat="1" applyFont="1" applyBorder="1" applyAlignment="1">
      <alignment horizontal="center" vertical="center"/>
    </xf>
    <xf numFmtId="350" fontId="230" fillId="0" borderId="177" xfId="8476" applyNumberFormat="1" applyFont="1" applyBorder="1" applyAlignment="1">
      <alignment horizontal="center" vertical="center"/>
    </xf>
    <xf numFmtId="350" fontId="230" fillId="0" borderId="10" xfId="8476" applyNumberFormat="1" applyFont="1" applyBorder="1" applyAlignment="1">
      <alignment horizontal="center" vertical="center"/>
    </xf>
    <xf numFmtId="350" fontId="230" fillId="0" borderId="130" xfId="8476" applyNumberFormat="1" applyFont="1" applyBorder="1" applyAlignment="1">
      <alignment horizontal="center" vertical="center"/>
    </xf>
    <xf numFmtId="3" fontId="230" fillId="0" borderId="126" xfId="8472" applyNumberFormat="1" applyFont="1" applyBorder="1" applyAlignment="1">
      <alignment horizontal="center" vertical="center"/>
    </xf>
    <xf numFmtId="3" fontId="230" fillId="0" borderId="177" xfId="8472" applyNumberFormat="1" applyFont="1" applyBorder="1" applyAlignment="1">
      <alignment horizontal="center" vertical="center"/>
    </xf>
    <xf numFmtId="3" fontId="230" fillId="0" borderId="144" xfId="8472" applyNumberFormat="1" applyFont="1" applyBorder="1" applyAlignment="1">
      <alignment horizontal="center" vertical="center"/>
    </xf>
    <xf numFmtId="0" fontId="230" fillId="0" borderId="13" xfId="8476" applyFont="1" applyBorder="1" applyAlignment="1">
      <alignment horizontal="center" vertical="center"/>
    </xf>
    <xf numFmtId="371" fontId="230" fillId="0" borderId="157" xfId="8472" applyNumberFormat="1" applyFont="1" applyBorder="1" applyAlignment="1">
      <alignment horizontal="center" vertical="center"/>
    </xf>
    <xf numFmtId="371" fontId="230" fillId="0" borderId="116" xfId="8472" applyNumberFormat="1" applyFont="1" applyBorder="1" applyAlignment="1">
      <alignment horizontal="center" vertical="center"/>
    </xf>
    <xf numFmtId="371" fontId="230" fillId="0" borderId="119" xfId="8472" applyNumberFormat="1" applyFont="1" applyBorder="1" applyAlignment="1">
      <alignment horizontal="center" vertical="center"/>
    </xf>
    <xf numFmtId="371" fontId="230" fillId="0" borderId="6" xfId="8472" applyNumberFormat="1" applyFont="1" applyBorder="1" applyAlignment="1">
      <alignment horizontal="center" vertical="center"/>
    </xf>
    <xf numFmtId="4" fontId="230" fillId="0" borderId="157" xfId="8472" applyNumberFormat="1" applyFont="1" applyBorder="1" applyAlignment="1">
      <alignment horizontal="center" vertical="center"/>
    </xf>
    <xf numFmtId="4" fontId="230" fillId="0" borderId="124" xfId="8472" applyNumberFormat="1" applyFont="1" applyBorder="1" applyAlignment="1">
      <alignment horizontal="center" vertical="center"/>
    </xf>
    <xf numFmtId="4" fontId="230" fillId="0" borderId="119" xfId="8472" applyNumberFormat="1" applyFont="1" applyBorder="1" applyAlignment="1">
      <alignment horizontal="center" vertical="center"/>
    </xf>
    <xf numFmtId="4" fontId="230" fillId="0" borderId="121" xfId="8472" applyNumberFormat="1" applyFont="1" applyBorder="1" applyAlignment="1">
      <alignment horizontal="center" vertical="center"/>
    </xf>
    <xf numFmtId="0" fontId="230" fillId="0" borderId="83" xfId="8476" applyFont="1" applyBorder="1" applyAlignment="1">
      <alignment horizontal="center" vertical="center"/>
    </xf>
    <xf numFmtId="0" fontId="230" fillId="0" borderId="90" xfId="8476" applyFont="1" applyBorder="1" applyAlignment="1">
      <alignment horizontal="center" vertical="center"/>
    </xf>
    <xf numFmtId="0" fontId="230" fillId="0" borderId="80" xfId="8476" applyFont="1" applyBorder="1" applyAlignment="1">
      <alignment horizontal="center" vertical="center"/>
    </xf>
    <xf numFmtId="3" fontId="230" fillId="0" borderId="13" xfId="8472" applyNumberFormat="1" applyFont="1" applyBorder="1" applyAlignment="1">
      <alignment horizontal="center" vertical="center"/>
    </xf>
    <xf numFmtId="3" fontId="230" fillId="0" borderId="83" xfId="8472" applyNumberFormat="1" applyFont="1" applyBorder="1" applyAlignment="1">
      <alignment horizontal="center" vertical="center"/>
    </xf>
    <xf numFmtId="3" fontId="230" fillId="0" borderId="123" xfId="8472" applyNumberFormat="1" applyFont="1" applyBorder="1" applyAlignment="1">
      <alignment horizontal="center" vertical="center"/>
    </xf>
    <xf numFmtId="350" fontId="230" fillId="0" borderId="115" xfId="8476" applyNumberFormat="1" applyFont="1" applyBorder="1" applyAlignment="1">
      <alignment horizontal="center" vertical="center"/>
    </xf>
    <xf numFmtId="350" fontId="230" fillId="0" borderId="114" xfId="8476" applyNumberFormat="1" applyFont="1" applyBorder="1" applyAlignment="1">
      <alignment horizontal="center" vertical="center"/>
    </xf>
    <xf numFmtId="350" fontId="230" fillId="0" borderId="111" xfId="8476" applyNumberFormat="1" applyFont="1" applyBorder="1" applyAlignment="1">
      <alignment horizontal="center" vertical="center"/>
    </xf>
    <xf numFmtId="350" fontId="230" fillId="0" borderId="76" xfId="8476" applyNumberFormat="1" applyFont="1" applyBorder="1" applyAlignment="1">
      <alignment horizontal="center" vertical="center"/>
    </xf>
    <xf numFmtId="350" fontId="230" fillId="0" borderId="83" xfId="8476" applyNumberFormat="1" applyFont="1" applyBorder="1" applyAlignment="1">
      <alignment horizontal="center" vertical="center"/>
    </xf>
    <xf numFmtId="350" fontId="230" fillId="0" borderId="80" xfId="8476" applyNumberFormat="1" applyFont="1" applyBorder="1" applyAlignment="1">
      <alignment horizontal="center" vertical="center"/>
    </xf>
    <xf numFmtId="4" fontId="230" fillId="0" borderId="13" xfId="8472" applyNumberFormat="1" applyFont="1" applyBorder="1" applyAlignment="1">
      <alignment horizontal="center" vertical="center"/>
    </xf>
    <xf numFmtId="350" fontId="230" fillId="0" borderId="178" xfId="8476" applyNumberFormat="1" applyFont="1" applyBorder="1" applyAlignment="1">
      <alignment horizontal="center" vertical="center" wrapText="1"/>
    </xf>
    <xf numFmtId="350" fontId="230" fillId="0" borderId="19" xfId="8476" applyNumberFormat="1" applyFont="1" applyBorder="1" applyAlignment="1">
      <alignment horizontal="center" vertical="center" wrapText="1"/>
    </xf>
    <xf numFmtId="350" fontId="230" fillId="0" borderId="114" xfId="8476" applyNumberFormat="1" applyFont="1" applyBorder="1" applyAlignment="1">
      <alignment horizontal="center" vertical="center" wrapText="1"/>
    </xf>
    <xf numFmtId="0" fontId="230" fillId="0" borderId="179" xfId="8476" applyFont="1" applyBorder="1" applyAlignment="1">
      <alignment horizontal="center" vertical="center"/>
    </xf>
    <xf numFmtId="0" fontId="230" fillId="0" borderId="140" xfId="8476" applyFont="1" applyBorder="1" applyAlignment="1">
      <alignment horizontal="center" vertical="center"/>
    </xf>
    <xf numFmtId="0" fontId="230" fillId="0" borderId="78" xfId="8476" applyFont="1" applyBorder="1" applyAlignment="1">
      <alignment horizontal="center" vertical="center"/>
    </xf>
    <xf numFmtId="3" fontId="230" fillId="0" borderId="4" xfId="8472" applyNumberFormat="1" applyFont="1" applyBorder="1" applyAlignment="1">
      <alignment horizontal="center" vertical="center"/>
    </xf>
    <xf numFmtId="3" fontId="230" fillId="0" borderId="179" xfId="8472" applyNumberFormat="1" applyFont="1" applyBorder="1" applyAlignment="1">
      <alignment horizontal="center" vertical="center"/>
    </xf>
    <xf numFmtId="3" fontId="230" fillId="0" borderId="145" xfId="8472" applyNumberFormat="1" applyFont="1" applyBorder="1" applyAlignment="1">
      <alignment horizontal="center" vertical="center"/>
    </xf>
    <xf numFmtId="350" fontId="230" fillId="0" borderId="111" xfId="8476" applyNumberFormat="1" applyFont="1" applyBorder="1" applyAlignment="1">
      <alignment horizontal="left" vertical="center" wrapText="1"/>
    </xf>
    <xf numFmtId="350" fontId="230" fillId="0" borderId="76" xfId="8476" applyNumberFormat="1" applyFont="1" applyBorder="1" applyAlignment="1">
      <alignment horizontal="left" vertical="center" wrapText="1"/>
    </xf>
    <xf numFmtId="0" fontId="229" fillId="0" borderId="65" xfId="8472" applyFont="1" applyBorder="1" applyAlignment="1">
      <alignment horizontal="center" vertical="center"/>
    </xf>
    <xf numFmtId="0" fontId="229" fillId="0" borderId="5" xfId="8472" applyFont="1" applyBorder="1" applyAlignment="1">
      <alignment horizontal="center" vertical="center"/>
    </xf>
    <xf numFmtId="350" fontId="230" fillId="0" borderId="82" xfId="8476" applyNumberFormat="1" applyFont="1" applyBorder="1" applyAlignment="1">
      <alignment horizontal="center" vertical="center" wrapText="1"/>
    </xf>
    <xf numFmtId="350" fontId="230" fillId="0" borderId="12" xfId="8476" applyNumberFormat="1" applyFont="1" applyBorder="1" applyAlignment="1">
      <alignment horizontal="center" vertical="center"/>
    </xf>
    <xf numFmtId="350" fontId="230" fillId="0" borderId="117" xfId="8476" applyNumberFormat="1" applyFont="1" applyBorder="1" applyAlignment="1">
      <alignment horizontal="center" vertical="center"/>
    </xf>
    <xf numFmtId="350" fontId="230" fillId="0" borderId="72" xfId="8476" applyNumberFormat="1" applyFont="1" applyBorder="1" applyAlignment="1">
      <alignment horizontal="center" vertical="center"/>
    </xf>
    <xf numFmtId="0" fontId="230" fillId="0" borderId="3" xfId="8472" applyFont="1" applyBorder="1" applyAlignment="1">
      <alignment horizontal="center" vertical="center"/>
    </xf>
    <xf numFmtId="0" fontId="230" fillId="0" borderId="40" xfId="8472" applyFont="1" applyBorder="1" applyAlignment="1">
      <alignment horizontal="center" vertical="center"/>
    </xf>
    <xf numFmtId="0" fontId="230" fillId="0" borderId="132" xfId="8472" applyFont="1" applyBorder="1" applyAlignment="1">
      <alignment horizontal="center" vertical="center"/>
    </xf>
    <xf numFmtId="0" fontId="230" fillId="0" borderId="109" xfId="8472" applyFont="1" applyBorder="1" applyAlignment="1">
      <alignment horizontal="center" vertical="center"/>
    </xf>
    <xf numFmtId="0" fontId="230" fillId="0" borderId="131" xfId="8472" applyFont="1" applyBorder="1" applyAlignment="1">
      <alignment horizontal="center" vertical="center" shrinkToFit="1"/>
    </xf>
    <xf numFmtId="0" fontId="230" fillId="0" borderId="133" xfId="8472" applyFont="1" applyBorder="1" applyAlignment="1">
      <alignment horizontal="center" vertical="center" shrinkToFit="1"/>
    </xf>
    <xf numFmtId="186" fontId="230" fillId="0" borderId="85" xfId="8472" applyNumberFormat="1" applyFont="1" applyBorder="1" applyAlignment="1">
      <alignment horizontal="center" vertical="center"/>
    </xf>
    <xf numFmtId="186" fontId="230" fillId="0" borderId="92" xfId="8472" applyNumberFormat="1" applyFont="1" applyBorder="1" applyAlignment="1">
      <alignment horizontal="center" vertical="center"/>
    </xf>
    <xf numFmtId="186" fontId="230" fillId="0" borderId="70" xfId="8472" applyNumberFormat="1" applyFont="1" applyBorder="1" applyAlignment="1">
      <alignment horizontal="center" vertical="center" shrinkToFit="1"/>
    </xf>
    <xf numFmtId="186" fontId="230" fillId="0" borderId="87" xfId="8472" applyNumberFormat="1" applyFont="1" applyBorder="1" applyAlignment="1">
      <alignment horizontal="center" vertical="center" shrinkToFit="1"/>
    </xf>
    <xf numFmtId="0" fontId="229" fillId="0" borderId="134" xfId="8472" applyFont="1" applyBorder="1" applyAlignment="1">
      <alignment horizontal="center" vertical="center"/>
    </xf>
    <xf numFmtId="0" fontId="229" fillId="0" borderId="135" xfId="8472" applyFont="1" applyBorder="1" applyAlignment="1">
      <alignment horizontal="center" vertical="center"/>
    </xf>
    <xf numFmtId="0" fontId="229" fillId="0" borderId="136" xfId="8472" applyFont="1" applyBorder="1" applyAlignment="1">
      <alignment horizontal="center" vertical="center"/>
    </xf>
    <xf numFmtId="0" fontId="229" fillId="0" borderId="3" xfId="8472" applyFont="1" applyBorder="1" applyAlignment="1">
      <alignment horizontal="center" vertical="center"/>
    </xf>
    <xf numFmtId="0" fontId="229" fillId="0" borderId="40" xfId="8472" applyFont="1" applyBorder="1" applyAlignment="1">
      <alignment horizontal="center" vertical="center"/>
    </xf>
    <xf numFmtId="0" fontId="229" fillId="0" borderId="132" xfId="8472" applyFont="1" applyBorder="1" applyAlignment="1">
      <alignment horizontal="center" vertical="center"/>
    </xf>
    <xf numFmtId="0" fontId="229" fillId="0" borderId="109" xfId="8472" applyFont="1" applyBorder="1" applyAlignment="1">
      <alignment horizontal="center" vertical="center"/>
    </xf>
    <xf numFmtId="0" fontId="229" fillId="0" borderId="131" xfId="8472" applyFont="1" applyBorder="1" applyAlignment="1">
      <alignment horizontal="center" vertical="center" shrinkToFit="1"/>
    </xf>
    <xf numFmtId="0" fontId="229" fillId="0" borderId="133" xfId="8472" applyFont="1" applyBorder="1" applyAlignment="1">
      <alignment horizontal="center" vertical="center" shrinkToFit="1"/>
    </xf>
    <xf numFmtId="186" fontId="229" fillId="0" borderId="85" xfId="8472" applyNumberFormat="1" applyFont="1" applyBorder="1" applyAlignment="1">
      <alignment horizontal="center" vertical="center"/>
    </xf>
    <xf numFmtId="186" fontId="229" fillId="0" borderId="92" xfId="8472" applyNumberFormat="1" applyFont="1" applyBorder="1" applyAlignment="1">
      <alignment horizontal="center" vertical="center"/>
    </xf>
    <xf numFmtId="186" fontId="229" fillId="0" borderId="155" xfId="8472" applyNumberFormat="1" applyFont="1" applyBorder="1" applyAlignment="1">
      <alignment horizontal="center" vertical="center" wrapText="1"/>
    </xf>
    <xf numFmtId="186" fontId="229" fillId="0" borderId="181" xfId="8472" applyNumberFormat="1" applyFont="1" applyBorder="1" applyAlignment="1">
      <alignment horizontal="center" vertical="center"/>
    </xf>
    <xf numFmtId="186" fontId="230" fillId="0" borderId="83" xfId="8472" applyNumberFormat="1" applyFont="1" applyBorder="1" applyAlignment="1">
      <alignment horizontal="center" vertical="center" shrinkToFit="1"/>
    </xf>
    <xf numFmtId="186" fontId="230" fillId="0" borderId="123" xfId="8472" applyNumberFormat="1" applyFont="1" applyBorder="1" applyAlignment="1">
      <alignment horizontal="center" vertical="center" shrinkToFit="1"/>
    </xf>
    <xf numFmtId="0" fontId="230" fillId="0" borderId="122" xfId="8472" applyFont="1" applyBorder="1" applyAlignment="1">
      <alignment horizontal="left" vertical="center"/>
    </xf>
    <xf numFmtId="0" fontId="230" fillId="0" borderId="90" xfId="8472" applyFont="1" applyBorder="1" applyAlignment="1">
      <alignment horizontal="left" vertical="center"/>
    </xf>
    <xf numFmtId="0" fontId="230" fillId="0" borderId="80" xfId="8472" applyFont="1" applyBorder="1" applyAlignment="1">
      <alignment horizontal="left" vertical="center"/>
    </xf>
    <xf numFmtId="186" fontId="229" fillId="0" borderId="74" xfId="8472" applyNumberFormat="1" applyFont="1" applyBorder="1" applyAlignment="1">
      <alignment horizontal="center" vertical="center"/>
    </xf>
    <xf numFmtId="186" fontId="229" fillId="0" borderId="40" xfId="8472" applyNumberFormat="1" applyFont="1" applyBorder="1" applyAlignment="1">
      <alignment horizontal="center" vertical="center" shrinkToFit="1"/>
    </xf>
    <xf numFmtId="186" fontId="229" fillId="0" borderId="44" xfId="8472" applyNumberFormat="1" applyFont="1" applyBorder="1" applyAlignment="1">
      <alignment horizontal="center" vertical="center" shrinkToFit="1"/>
    </xf>
    <xf numFmtId="186" fontId="229" fillId="0" borderId="109" xfId="8472" applyNumberFormat="1" applyFont="1" applyBorder="1" applyAlignment="1">
      <alignment horizontal="center" vertical="center" shrinkToFit="1"/>
    </xf>
    <xf numFmtId="186" fontId="229" fillId="0" borderId="143" xfId="8472" applyNumberFormat="1" applyFont="1" applyBorder="1" applyAlignment="1">
      <alignment horizontal="center" vertical="center" shrinkToFit="1"/>
    </xf>
    <xf numFmtId="0" fontId="229" fillId="0" borderId="139" xfId="8472" applyFont="1" applyBorder="1" applyAlignment="1">
      <alignment horizontal="center" vertical="center"/>
    </xf>
    <xf numFmtId="0" fontId="229" fillId="0" borderId="140" xfId="8472" applyFont="1" applyBorder="1" applyAlignment="1">
      <alignment horizontal="center" vertical="center"/>
    </xf>
    <xf numFmtId="186" fontId="229" fillId="0" borderId="179" xfId="8472" applyNumberFormat="1" applyFont="1" applyBorder="1" applyAlignment="1">
      <alignment horizontal="center" vertical="center" shrinkToFit="1"/>
    </xf>
    <xf numFmtId="186" fontId="229" fillId="0" borderId="145" xfId="8472" applyNumberFormat="1" applyFont="1" applyBorder="1" applyAlignment="1">
      <alignment horizontal="center" vertical="center" shrinkToFit="1"/>
    </xf>
    <xf numFmtId="186" fontId="229" fillId="0" borderId="83" xfId="8472" applyNumberFormat="1" applyFont="1" applyBorder="1" applyAlignment="1">
      <alignment horizontal="center" vertical="center" shrinkToFit="1"/>
    </xf>
    <xf numFmtId="186" fontId="229" fillId="0" borderId="123" xfId="8472" applyNumberFormat="1" applyFont="1" applyBorder="1" applyAlignment="1">
      <alignment horizontal="center" vertical="center" shrinkToFit="1"/>
    </xf>
    <xf numFmtId="0" fontId="215" fillId="0" borderId="83" xfId="8472" applyFont="1" applyBorder="1" applyAlignment="1">
      <alignment horizontal="center" vertical="center"/>
    </xf>
    <xf numFmtId="0" fontId="215" fillId="0" borderId="90" xfId="8472" applyFont="1" applyBorder="1" applyAlignment="1">
      <alignment horizontal="center" vertical="center"/>
    </xf>
    <xf numFmtId="0" fontId="215" fillId="0" borderId="117" xfId="8472" applyFont="1" applyBorder="1" applyAlignment="1">
      <alignment horizontal="center" vertical="center"/>
    </xf>
    <xf numFmtId="0" fontId="215" fillId="0" borderId="141" xfId="8472" applyFont="1" applyBorder="1" applyAlignment="1">
      <alignment horizontal="center" vertical="center"/>
    </xf>
    <xf numFmtId="186" fontId="230" fillId="0" borderId="83" xfId="8472" applyNumberFormat="1" applyFont="1" applyBorder="1" applyAlignment="1">
      <alignment horizontal="center" vertical="center"/>
    </xf>
    <xf numFmtId="186" fontId="230" fillId="0" borderId="90" xfId="8472" applyNumberFormat="1" applyFont="1" applyBorder="1" applyAlignment="1">
      <alignment horizontal="center" vertical="center"/>
    </xf>
    <xf numFmtId="49" fontId="220" fillId="0" borderId="0" xfId="8469" applyNumberFormat="1" applyFont="1" applyAlignment="1">
      <alignment horizontal="center" vertical="center"/>
    </xf>
    <xf numFmtId="0" fontId="222" fillId="0" borderId="0" xfId="8478" applyFont="1" applyAlignment="1">
      <alignment horizontal="left" vertical="center"/>
    </xf>
    <xf numFmtId="0" fontId="165" fillId="0" borderId="86" xfId="256" applyFont="1" applyBorder="1" applyAlignment="1">
      <alignment horizontal="center" vertical="center"/>
    </xf>
    <xf numFmtId="0" fontId="165" fillId="0" borderId="74" xfId="256" applyFont="1" applyBorder="1" applyAlignment="1">
      <alignment horizontal="center" vertical="center"/>
    </xf>
    <xf numFmtId="0" fontId="139" fillId="0" borderId="238" xfId="256" applyFont="1" applyBorder="1" applyAlignment="1">
      <alignment horizontal="center" vertical="center"/>
    </xf>
    <xf numFmtId="0" fontId="139" fillId="0" borderId="75" xfId="256" applyFont="1" applyBorder="1" applyAlignment="1">
      <alignment horizontal="center" vertical="center"/>
    </xf>
    <xf numFmtId="41" fontId="218" fillId="36" borderId="0" xfId="8488" applyNumberFormat="1" applyFont="1" applyFill="1" applyAlignment="1">
      <alignment horizontal="center" vertical="center"/>
    </xf>
    <xf numFmtId="41" fontId="214" fillId="36" borderId="0" xfId="8488" applyNumberFormat="1" applyFont="1" applyFill="1" applyAlignment="1">
      <alignment horizontal="center" vertical="center"/>
    </xf>
    <xf numFmtId="0" fontId="218" fillId="36" borderId="0" xfId="8488" applyFont="1" applyFill="1" applyAlignment="1">
      <alignment horizontal="center" vertical="center"/>
    </xf>
    <xf numFmtId="0" fontId="207" fillId="36" borderId="0" xfId="8488" applyFont="1" applyFill="1" applyAlignment="1">
      <alignment horizontal="center" vertical="center"/>
    </xf>
    <xf numFmtId="41" fontId="218" fillId="36" borderId="30" xfId="8488" applyNumberFormat="1" applyFont="1" applyFill="1" applyBorder="1" applyAlignment="1">
      <alignment horizontal="center" vertical="center"/>
    </xf>
    <xf numFmtId="41" fontId="218" fillId="36" borderId="29" xfId="8488" applyNumberFormat="1" applyFont="1" applyFill="1" applyBorder="1" applyAlignment="1">
      <alignment horizontal="center" vertical="center"/>
    </xf>
    <xf numFmtId="41" fontId="218" fillId="36" borderId="89" xfId="8488" applyNumberFormat="1" applyFont="1" applyFill="1" applyBorder="1" applyAlignment="1">
      <alignment horizontal="center" vertical="center"/>
    </xf>
    <xf numFmtId="41" fontId="218" fillId="36" borderId="39" xfId="8488" applyNumberFormat="1" applyFont="1" applyFill="1" applyBorder="1" applyAlignment="1">
      <alignment horizontal="center" vertical="center"/>
    </xf>
    <xf numFmtId="41" fontId="218" fillId="36" borderId="30" xfId="8488" applyNumberFormat="1" applyFont="1" applyFill="1" applyBorder="1" applyAlignment="1">
      <alignment horizontal="center" vertical="center" wrapText="1"/>
    </xf>
    <xf numFmtId="41" fontId="218" fillId="0" borderId="0" xfId="8488" applyNumberFormat="1" applyFont="1" applyAlignment="1">
      <alignment horizontal="center" vertical="center"/>
    </xf>
    <xf numFmtId="41" fontId="214" fillId="0" borderId="0" xfId="8488" applyNumberFormat="1" applyFont="1" applyAlignment="1">
      <alignment horizontal="center" vertical="center"/>
    </xf>
    <xf numFmtId="0" fontId="207" fillId="0" borderId="0" xfId="8488" applyFont="1" applyAlignment="1">
      <alignment horizontal="center" vertical="center"/>
    </xf>
    <xf numFmtId="41" fontId="218" fillId="0" borderId="30" xfId="8488" applyNumberFormat="1" applyFont="1" applyBorder="1" applyAlignment="1">
      <alignment horizontal="center" vertical="center"/>
    </xf>
    <xf numFmtId="41" fontId="218" fillId="0" borderId="29" xfId="8488" applyNumberFormat="1" applyFont="1" applyBorder="1" applyAlignment="1">
      <alignment horizontal="center" vertical="center"/>
    </xf>
    <xf numFmtId="41" fontId="218" fillId="0" borderId="89" xfId="8488" applyNumberFormat="1" applyFont="1" applyBorder="1" applyAlignment="1">
      <alignment horizontal="center" vertical="center"/>
    </xf>
    <xf numFmtId="41" fontId="218" fillId="0" borderId="39" xfId="8488" applyNumberFormat="1" applyFont="1" applyBorder="1" applyAlignment="1">
      <alignment horizontal="center" vertical="center"/>
    </xf>
    <xf numFmtId="41" fontId="218" fillId="0" borderId="30" xfId="8488" applyNumberFormat="1" applyFont="1" applyBorder="1" applyAlignment="1">
      <alignment horizontal="center" vertical="center" wrapText="1"/>
    </xf>
    <xf numFmtId="0" fontId="177" fillId="0" borderId="0" xfId="0" applyFont="1" applyAlignment="1">
      <alignment horizontal="center" vertical="center"/>
    </xf>
    <xf numFmtId="0" fontId="160" fillId="0" borderId="0" xfId="0" applyFont="1" applyAlignment="1">
      <alignment horizontal="center" vertical="center" wrapText="1"/>
    </xf>
    <xf numFmtId="0" fontId="160" fillId="0" borderId="93" xfId="0" applyFont="1" applyBorder="1" applyAlignment="1">
      <alignment horizontal="center" vertical="center" wrapText="1"/>
    </xf>
    <xf numFmtId="0" fontId="160" fillId="0" borderId="94" xfId="0" applyFont="1" applyBorder="1" applyAlignment="1">
      <alignment horizontal="center" vertical="center" wrapText="1"/>
    </xf>
    <xf numFmtId="0" fontId="160" fillId="0" borderId="95" xfId="0" applyFont="1" applyBorder="1" applyAlignment="1">
      <alignment horizontal="center" vertical="center" wrapText="1"/>
    </xf>
    <xf numFmtId="0" fontId="338" fillId="0" borderId="151" xfId="0" applyFont="1" applyBorder="1" applyAlignment="1">
      <alignment horizontal="center" vertical="center" wrapText="1"/>
    </xf>
    <xf numFmtId="0" fontId="338" fillId="0" borderId="150" xfId="0" applyFont="1" applyBorder="1" applyAlignment="1">
      <alignment horizontal="center" vertical="center" wrapText="1"/>
    </xf>
    <xf numFmtId="0" fontId="338" fillId="0" borderId="225" xfId="0" applyFont="1" applyBorder="1" applyAlignment="1">
      <alignment horizontal="center" vertical="center" wrapText="1"/>
    </xf>
    <xf numFmtId="3" fontId="338" fillId="0" borderId="151" xfId="0" applyNumberFormat="1" applyFont="1" applyBorder="1" applyAlignment="1">
      <alignment horizontal="right" vertical="center" wrapText="1"/>
    </xf>
    <xf numFmtId="3" fontId="338" fillId="0" borderId="150" xfId="0" applyNumberFormat="1" applyFont="1" applyBorder="1" applyAlignment="1">
      <alignment horizontal="right" vertical="center" wrapText="1"/>
    </xf>
    <xf numFmtId="3" fontId="338" fillId="0" borderId="225" xfId="0" applyNumberFormat="1" applyFont="1" applyBorder="1" applyAlignment="1">
      <alignment horizontal="right" vertical="center" wrapText="1"/>
    </xf>
    <xf numFmtId="0" fontId="229" fillId="37" borderId="142" xfId="8469" applyFont="1" applyFill="1" applyBorder="1" applyAlignment="1">
      <alignment horizontal="center" vertical="center"/>
    </xf>
    <xf numFmtId="0" fontId="229" fillId="37" borderId="130" xfId="8469" applyFont="1" applyFill="1" applyBorder="1" applyAlignment="1">
      <alignment horizontal="center" vertical="center"/>
    </xf>
    <xf numFmtId="0" fontId="230" fillId="0" borderId="106" xfId="8469" applyFont="1" applyBorder="1" applyAlignment="1">
      <alignment vertical="center" wrapText="1"/>
    </xf>
    <xf numFmtId="0" fontId="230" fillId="0" borderId="79" xfId="8469" applyFont="1" applyBorder="1" applyAlignment="1">
      <alignment vertical="center" wrapText="1"/>
    </xf>
    <xf numFmtId="0" fontId="230" fillId="0" borderId="11" xfId="8469" applyFont="1" applyBorder="1" applyAlignment="1">
      <alignment vertical="center" wrapText="1"/>
    </xf>
    <xf numFmtId="0" fontId="230" fillId="0" borderId="13" xfId="8469" applyFont="1" applyBorder="1" applyAlignment="1">
      <alignment vertical="center" wrapText="1"/>
    </xf>
    <xf numFmtId="0" fontId="230" fillId="0" borderId="122" xfId="8469" applyFont="1" applyBorder="1" applyAlignment="1">
      <alignment horizontal="left" vertical="center" wrapText="1"/>
    </xf>
    <xf numFmtId="0" fontId="230" fillId="0" borderId="80" xfId="8469" applyFont="1" applyBorder="1" applyAlignment="1">
      <alignment horizontal="left" vertical="center" wrapText="1"/>
    </xf>
    <xf numFmtId="0" fontId="230" fillId="0" borderId="73" xfId="8469" applyFont="1" applyBorder="1" applyAlignment="1">
      <alignment horizontal="center" vertical="center"/>
    </xf>
    <xf numFmtId="0" fontId="230" fillId="0" borderId="12" xfId="8469" applyFont="1" applyBorder="1" applyAlignment="1">
      <alignment horizontal="center" vertical="center"/>
    </xf>
    <xf numFmtId="0" fontId="338" fillId="0" borderId="255" xfId="0" applyFont="1" applyBorder="1" applyAlignment="1">
      <alignment horizontal="left" vertical="center" wrapText="1"/>
    </xf>
    <xf numFmtId="0" fontId="338" fillId="0" borderId="249" xfId="0" applyFont="1" applyBorder="1" applyAlignment="1">
      <alignment horizontal="left" vertical="center" wrapText="1"/>
    </xf>
    <xf numFmtId="0" fontId="338" fillId="0" borderId="250" xfId="0" applyFont="1" applyBorder="1" applyAlignment="1">
      <alignment horizontal="left" vertical="center" wrapText="1"/>
    </xf>
    <xf numFmtId="0" fontId="230" fillId="0" borderId="11" xfId="8469" applyFont="1" applyBorder="1" applyAlignment="1">
      <alignment vertical="center" shrinkToFit="1"/>
    </xf>
    <xf numFmtId="0" fontId="230" fillId="0" borderId="13" xfId="8469" applyFont="1" applyBorder="1" applyAlignment="1">
      <alignment vertical="center" shrinkToFit="1"/>
    </xf>
    <xf numFmtId="0" fontId="338" fillId="0" borderId="293" xfId="0" applyFont="1" applyBorder="1" applyAlignment="1">
      <alignment horizontal="justify" vertical="center" wrapText="1"/>
    </xf>
    <xf numFmtId="0" fontId="338" fillId="0" borderId="294" xfId="0" applyFont="1" applyBorder="1" applyAlignment="1">
      <alignment horizontal="justify" vertical="center" wrapText="1"/>
    </xf>
    <xf numFmtId="0" fontId="338" fillId="0" borderId="293" xfId="0" applyFont="1" applyBorder="1" applyAlignment="1">
      <alignment horizontal="left" vertical="center" wrapText="1"/>
    </xf>
    <xf numFmtId="0" fontId="338" fillId="0" borderId="294" xfId="0" applyFont="1" applyBorder="1" applyAlignment="1">
      <alignment horizontal="left" vertical="center" wrapText="1"/>
    </xf>
    <xf numFmtId="3" fontId="266" fillId="0" borderId="291" xfId="0" applyNumberFormat="1" applyFont="1" applyBorder="1" applyAlignment="1">
      <alignment horizontal="right" vertical="center" wrapText="1"/>
    </xf>
    <xf numFmtId="3" fontId="266" fillId="0" borderId="183" xfId="0" applyNumberFormat="1" applyFont="1" applyBorder="1" applyAlignment="1">
      <alignment horizontal="right" vertical="center" wrapText="1"/>
    </xf>
    <xf numFmtId="0" fontId="336" fillId="37" borderId="0" xfId="0" applyFont="1" applyFill="1" applyAlignment="1">
      <alignment horizontal="center" vertical="center"/>
    </xf>
    <xf numFmtId="0" fontId="333" fillId="0" borderId="291" xfId="0" applyFont="1" applyBorder="1" applyAlignment="1">
      <alignment horizontal="center" vertical="center" wrapText="1"/>
    </xf>
    <xf numFmtId="0" fontId="333" fillId="0" borderId="220" xfId="0" applyFont="1" applyBorder="1" applyAlignment="1">
      <alignment horizontal="center" vertical="center" wrapText="1"/>
    </xf>
    <xf numFmtId="0" fontId="333" fillId="0" borderId="292" xfId="0" applyFont="1" applyBorder="1" applyAlignment="1">
      <alignment horizontal="center" vertical="center" wrapText="1"/>
    </xf>
    <xf numFmtId="0" fontId="333" fillId="0" borderId="183" xfId="0" applyFont="1" applyBorder="1" applyAlignment="1">
      <alignment horizontal="center" vertical="center" wrapText="1"/>
    </xf>
    <xf numFmtId="0" fontId="333" fillId="0" borderId="221" xfId="0" applyFont="1" applyBorder="1" applyAlignment="1">
      <alignment horizontal="center" vertical="center" wrapText="1"/>
    </xf>
    <xf numFmtId="0" fontId="333" fillId="0" borderId="276" xfId="0" applyFont="1" applyBorder="1" applyAlignment="1">
      <alignment horizontal="center" vertical="center" wrapText="1"/>
    </xf>
    <xf numFmtId="0" fontId="333" fillId="0" borderId="151" xfId="0" applyFont="1" applyBorder="1" applyAlignment="1">
      <alignment horizontal="center" vertical="center" wrapText="1"/>
    </xf>
    <xf numFmtId="0" fontId="333" fillId="0" borderId="225" xfId="0" applyFont="1" applyBorder="1" applyAlignment="1">
      <alignment horizontal="center" vertical="center" wrapText="1"/>
    </xf>
    <xf numFmtId="0" fontId="333" fillId="0" borderId="151" xfId="0" applyFont="1" applyBorder="1" applyAlignment="1">
      <alignment horizontal="right" vertical="center" wrapText="1"/>
    </xf>
    <xf numFmtId="0" fontId="333" fillId="0" borderId="225" xfId="0" applyFont="1" applyBorder="1" applyAlignment="1">
      <alignment horizontal="right" vertical="center" wrapText="1"/>
    </xf>
    <xf numFmtId="3" fontId="266" fillId="0" borderId="151" xfId="0" applyNumberFormat="1" applyFont="1" applyBorder="1" applyAlignment="1">
      <alignment horizontal="right" vertical="center" wrapText="1"/>
    </xf>
    <xf numFmtId="3" fontId="266" fillId="0" borderId="225" xfId="0" applyNumberFormat="1" applyFont="1" applyBorder="1" applyAlignment="1">
      <alignment horizontal="right" vertical="center" wrapText="1"/>
    </xf>
    <xf numFmtId="0" fontId="333" fillId="0" borderId="271" xfId="0" applyFont="1" applyBorder="1" applyAlignment="1">
      <alignment horizontal="center" vertical="center" wrapText="1"/>
    </xf>
    <xf numFmtId="0" fontId="333" fillId="0" borderId="272" xfId="0" applyFont="1" applyBorder="1" applyAlignment="1">
      <alignment horizontal="center" vertical="center" wrapText="1"/>
    </xf>
    <xf numFmtId="0" fontId="333" fillId="0" borderId="258" xfId="0" applyFont="1" applyBorder="1" applyAlignment="1">
      <alignment horizontal="center" vertical="center" wrapText="1"/>
    </xf>
    <xf numFmtId="0" fontId="333" fillId="0" borderId="248" xfId="0" applyFont="1" applyBorder="1" applyAlignment="1">
      <alignment horizontal="center" vertical="center" wrapText="1"/>
    </xf>
    <xf numFmtId="0" fontId="333" fillId="0" borderId="249" xfId="0" applyFont="1" applyBorder="1" applyAlignment="1">
      <alignment horizontal="center" vertical="center" wrapText="1"/>
    </xf>
    <xf numFmtId="0" fontId="333" fillId="0" borderId="265" xfId="0" applyFont="1" applyBorder="1" applyAlignment="1">
      <alignment horizontal="center" vertical="center" wrapText="1"/>
    </xf>
    <xf numFmtId="0" fontId="266" fillId="0" borderId="259" xfId="0" applyFont="1" applyBorder="1" applyAlignment="1">
      <alignment horizontal="center" vertical="center" wrapText="1"/>
    </xf>
    <xf numFmtId="0" fontId="266" fillId="0" borderId="249" xfId="0" applyFont="1" applyBorder="1" applyAlignment="1">
      <alignment horizontal="center" vertical="center" wrapText="1"/>
    </xf>
    <xf numFmtId="0" fontId="266" fillId="0" borderId="260" xfId="0" applyFont="1" applyBorder="1" applyAlignment="1">
      <alignment horizontal="center" vertical="center" wrapText="1"/>
    </xf>
    <xf numFmtId="0" fontId="266" fillId="0" borderId="266" xfId="0" applyFont="1" applyBorder="1" applyAlignment="1">
      <alignment horizontal="center" vertical="center" wrapText="1"/>
    </xf>
    <xf numFmtId="0" fontId="266" fillId="0" borderId="150" xfId="0" applyFont="1" applyBorder="1" applyAlignment="1">
      <alignment horizontal="center" vertical="center" wrapText="1"/>
    </xf>
    <xf numFmtId="0" fontId="266" fillId="0" borderId="267" xfId="0" applyFont="1" applyBorder="1" applyAlignment="1">
      <alignment horizontal="center" vertical="center" wrapText="1"/>
    </xf>
    <xf numFmtId="0" fontId="266" fillId="0" borderId="274" xfId="0" applyFont="1" applyBorder="1" applyAlignment="1">
      <alignment horizontal="center" vertical="center" wrapText="1"/>
    </xf>
    <xf numFmtId="0" fontId="266" fillId="0" borderId="275" xfId="0" applyFont="1" applyBorder="1" applyAlignment="1">
      <alignment horizontal="center" vertical="center" wrapText="1"/>
    </xf>
    <xf numFmtId="0" fontId="266" fillId="0" borderId="183" xfId="0" applyFont="1" applyBorder="1" applyAlignment="1">
      <alignment horizontal="center" vertical="center" wrapText="1"/>
    </xf>
    <xf numFmtId="0" fontId="266" fillId="0" borderId="276" xfId="0" applyFont="1" applyBorder="1" applyAlignment="1">
      <alignment horizontal="center" vertical="center" wrapText="1"/>
    </xf>
    <xf numFmtId="0" fontId="333" fillId="0" borderId="187" xfId="0" applyFont="1" applyBorder="1" applyAlignment="1">
      <alignment horizontal="center" vertical="center" wrapText="1"/>
    </xf>
    <xf numFmtId="0" fontId="333" fillId="0" borderId="306" xfId="0" applyFont="1" applyBorder="1" applyAlignment="1">
      <alignment horizontal="center" vertical="center" wrapText="1"/>
    </xf>
    <xf numFmtId="0" fontId="333" fillId="0" borderId="257" xfId="0" applyFont="1" applyBorder="1" applyAlignment="1">
      <alignment horizontal="center" vertical="center" wrapText="1"/>
    </xf>
    <xf numFmtId="3" fontId="333" fillId="0" borderId="187" xfId="0" applyNumberFormat="1" applyFont="1" applyBorder="1" applyAlignment="1">
      <alignment horizontal="center" vertical="center" wrapText="1"/>
    </xf>
    <xf numFmtId="3" fontId="333" fillId="0" borderId="257" xfId="0" applyNumberFormat="1" applyFont="1" applyBorder="1" applyAlignment="1">
      <alignment horizontal="center" vertical="center" wrapText="1"/>
    </xf>
    <xf numFmtId="0" fontId="333" fillId="0" borderId="256" xfId="0" applyFont="1" applyBorder="1" applyAlignment="1">
      <alignment horizontal="center" vertical="center" wrapText="1"/>
    </xf>
    <xf numFmtId="0" fontId="333" fillId="37" borderId="256" xfId="0" applyFont="1" applyFill="1" applyBorder="1" applyAlignment="1">
      <alignment horizontal="center" vertical="center" wrapText="1"/>
    </xf>
    <xf numFmtId="0" fontId="333" fillId="37" borderId="306" xfId="0" applyFont="1" applyFill="1" applyBorder="1" applyAlignment="1">
      <alignment horizontal="center" vertical="center" wrapText="1"/>
    </xf>
    <xf numFmtId="0" fontId="333" fillId="37" borderId="257" xfId="0" applyFont="1" applyFill="1" applyBorder="1" applyAlignment="1">
      <alignment horizontal="center" vertical="center" wrapText="1"/>
    </xf>
    <xf numFmtId="0" fontId="333" fillId="37" borderId="187" xfId="0" applyFont="1" applyFill="1" applyBorder="1" applyAlignment="1">
      <alignment horizontal="center" vertical="center" wrapText="1"/>
    </xf>
    <xf numFmtId="0" fontId="333" fillId="0" borderId="187" xfId="0" applyFont="1" applyBorder="1" applyAlignment="1">
      <alignment horizontal="left" vertical="center" wrapText="1"/>
    </xf>
    <xf numFmtId="0" fontId="333" fillId="0" borderId="306" xfId="0" applyFont="1" applyBorder="1" applyAlignment="1">
      <alignment horizontal="left" vertical="center" wrapText="1"/>
    </xf>
    <xf numFmtId="0" fontId="266" fillId="0" borderId="187" xfId="0" applyFont="1" applyBorder="1" applyAlignment="1">
      <alignment horizontal="center" vertical="center" wrapText="1"/>
    </xf>
    <xf numFmtId="0" fontId="266" fillId="0" borderId="257" xfId="0" applyFont="1" applyBorder="1" applyAlignment="1">
      <alignment horizontal="center" vertical="center" wrapText="1"/>
    </xf>
    <xf numFmtId="0" fontId="333" fillId="0" borderId="293" xfId="0" applyFont="1" applyBorder="1" applyAlignment="1">
      <alignment horizontal="center" vertical="center" wrapText="1"/>
    </xf>
    <xf numFmtId="0" fontId="333" fillId="0" borderId="253" xfId="0" applyFont="1" applyBorder="1" applyAlignment="1">
      <alignment horizontal="center" vertical="center" wrapText="1"/>
    </xf>
    <xf numFmtId="0" fontId="333" fillId="0" borderId="294" xfId="0" applyFont="1" applyBorder="1" applyAlignment="1">
      <alignment horizontal="center" vertical="center" wrapText="1"/>
    </xf>
    <xf numFmtId="0" fontId="333" fillId="0" borderId="296" xfId="0" applyFont="1" applyBorder="1" applyAlignment="1">
      <alignment horizontal="center" vertical="center" wrapText="1"/>
    </xf>
    <xf numFmtId="0" fontId="333" fillId="0" borderId="247" xfId="0" applyFont="1" applyBorder="1" applyAlignment="1">
      <alignment horizontal="center" vertical="center" wrapText="1"/>
    </xf>
    <xf numFmtId="0" fontId="333" fillId="0" borderId="275" xfId="0" applyFont="1" applyBorder="1" applyAlignment="1">
      <alignment horizontal="center" vertical="center" wrapText="1"/>
    </xf>
    <xf numFmtId="0" fontId="333" fillId="0" borderId="297" xfId="0" applyFont="1" applyBorder="1" applyAlignment="1">
      <alignment horizontal="center" vertical="center" wrapText="1"/>
    </xf>
    <xf numFmtId="0" fontId="333" fillId="0" borderId="298" xfId="0" applyFont="1" applyBorder="1" applyAlignment="1">
      <alignment horizontal="center" vertical="center" wrapText="1"/>
    </xf>
    <xf numFmtId="0" fontId="333" fillId="0" borderId="299" xfId="0" applyFont="1" applyBorder="1" applyAlignment="1">
      <alignment horizontal="center" vertical="center" wrapText="1"/>
    </xf>
    <xf numFmtId="0" fontId="333" fillId="0" borderId="274" xfId="0" applyFont="1" applyBorder="1" applyAlignment="1">
      <alignment horizontal="center" vertical="center" wrapText="1"/>
    </xf>
    <xf numFmtId="0" fontId="333" fillId="0" borderId="300" xfId="0" applyFont="1" applyBorder="1" applyAlignment="1">
      <alignment horizontal="center" vertical="center" wrapText="1"/>
    </xf>
    <xf numFmtId="0" fontId="333" fillId="0" borderId="266" xfId="0" applyFont="1" applyBorder="1" applyAlignment="1">
      <alignment horizontal="center" vertical="center" wrapText="1"/>
    </xf>
    <xf numFmtId="0" fontId="333" fillId="0" borderId="267" xfId="0" applyFont="1" applyBorder="1" applyAlignment="1">
      <alignment horizontal="center" vertical="center" wrapText="1"/>
    </xf>
    <xf numFmtId="0" fontId="333" fillId="0" borderId="269" xfId="0" applyFont="1" applyBorder="1" applyAlignment="1">
      <alignment horizontal="center" vertical="center" wrapText="1"/>
    </xf>
    <xf numFmtId="0" fontId="333" fillId="0" borderId="270" xfId="0" applyFont="1" applyBorder="1" applyAlignment="1">
      <alignment horizontal="center" vertical="center" wrapText="1"/>
    </xf>
    <xf numFmtId="0" fontId="333" fillId="0" borderId="301" xfId="0" applyFont="1" applyBorder="1" applyAlignment="1">
      <alignment horizontal="center" vertical="center" wrapText="1"/>
    </xf>
    <xf numFmtId="0" fontId="333" fillId="0" borderId="302" xfId="0" applyFont="1" applyBorder="1" applyAlignment="1">
      <alignment horizontal="center" vertical="center" wrapText="1"/>
    </xf>
    <xf numFmtId="0" fontId="333" fillId="0" borderId="303" xfId="0" applyFont="1" applyBorder="1" applyAlignment="1">
      <alignment horizontal="center" vertical="center" wrapText="1"/>
    </xf>
    <xf numFmtId="0" fontId="333" fillId="0" borderId="304" xfId="0" applyFont="1" applyBorder="1" applyAlignment="1">
      <alignment horizontal="center" vertical="center" wrapText="1"/>
    </xf>
    <xf numFmtId="0" fontId="266" fillId="0" borderId="261" xfId="0" applyFont="1" applyBorder="1" applyAlignment="1">
      <alignment horizontal="center" vertical="center" wrapText="1"/>
    </xf>
    <xf numFmtId="0" fontId="266" fillId="0" borderId="262" xfId="0" applyFont="1" applyBorder="1" applyAlignment="1">
      <alignment horizontal="center" vertical="center" wrapText="1"/>
    </xf>
    <xf numFmtId="0" fontId="266" fillId="0" borderId="268" xfId="0" applyFont="1" applyBorder="1" applyAlignment="1">
      <alignment horizontal="center" vertical="center" wrapText="1"/>
    </xf>
    <xf numFmtId="0" fontId="333" fillId="0" borderId="259" xfId="0" applyFont="1" applyBorder="1" applyAlignment="1">
      <alignment horizontal="center" vertical="center" wrapText="1"/>
    </xf>
    <xf numFmtId="0" fontId="333" fillId="0" borderId="260" xfId="0" applyFont="1" applyBorder="1" applyAlignment="1">
      <alignment horizontal="center" vertical="center" wrapText="1"/>
    </xf>
    <xf numFmtId="0" fontId="333" fillId="0" borderId="150" xfId="0" applyFont="1" applyBorder="1" applyAlignment="1">
      <alignment horizontal="center" vertical="center" wrapText="1"/>
    </xf>
    <xf numFmtId="0" fontId="333" fillId="0" borderId="295" xfId="0" applyFont="1" applyBorder="1" applyAlignment="1">
      <alignment horizontal="center" vertical="center" wrapText="1"/>
    </xf>
    <xf numFmtId="0" fontId="333" fillId="0" borderId="254" xfId="0" applyFont="1" applyBorder="1" applyAlignment="1">
      <alignment horizontal="center" vertical="center" wrapText="1"/>
    </xf>
    <xf numFmtId="0" fontId="333" fillId="0" borderId="255" xfId="0" applyFont="1" applyBorder="1" applyAlignment="1">
      <alignment horizontal="center" vertical="center" wrapText="1"/>
    </xf>
    <xf numFmtId="0" fontId="333" fillId="0" borderId="250" xfId="0" applyFont="1" applyBorder="1" applyAlignment="1">
      <alignment horizontal="center" vertical="center" wrapText="1"/>
    </xf>
    <xf numFmtId="0" fontId="333" fillId="37" borderId="151" xfId="0" applyFont="1" applyFill="1" applyBorder="1" applyAlignment="1">
      <alignment horizontal="center" vertical="center" wrapText="1"/>
    </xf>
    <xf numFmtId="0" fontId="333" fillId="37" borderId="225" xfId="0" applyFont="1" applyFill="1" applyBorder="1" applyAlignment="1">
      <alignment horizontal="center" vertical="center" wrapText="1"/>
    </xf>
    <xf numFmtId="0" fontId="333" fillId="37" borderId="293" xfId="0" applyFont="1" applyFill="1" applyBorder="1" applyAlignment="1">
      <alignment horizontal="center" vertical="center" wrapText="1"/>
    </xf>
    <xf numFmtId="0" fontId="333" fillId="37" borderId="294" xfId="0" applyFont="1" applyFill="1" applyBorder="1" applyAlignment="1">
      <alignment horizontal="center" vertical="center" wrapText="1"/>
    </xf>
    <xf numFmtId="0" fontId="333" fillId="37" borderId="255" xfId="0" applyFont="1" applyFill="1" applyBorder="1" applyAlignment="1">
      <alignment horizontal="center" vertical="center" wrapText="1"/>
    </xf>
    <xf numFmtId="0" fontId="333" fillId="37" borderId="250" xfId="0" applyFont="1" applyFill="1" applyBorder="1" applyAlignment="1">
      <alignment horizontal="center" vertical="center" wrapText="1"/>
    </xf>
    <xf numFmtId="0" fontId="333" fillId="37" borderId="251" xfId="0" applyFont="1" applyFill="1" applyBorder="1" applyAlignment="1">
      <alignment horizontal="center" vertical="center" wrapText="1"/>
    </xf>
    <xf numFmtId="0" fontId="333" fillId="37" borderId="252" xfId="0" applyFont="1" applyFill="1" applyBorder="1" applyAlignment="1">
      <alignment horizontal="center" vertical="center" wrapText="1"/>
    </xf>
    <xf numFmtId="0" fontId="333" fillId="37" borderId="248" xfId="0" applyFont="1" applyFill="1" applyBorder="1" applyAlignment="1">
      <alignment horizontal="center" vertical="center" wrapText="1"/>
    </xf>
    <xf numFmtId="0" fontId="266" fillId="0" borderId="263" xfId="0" applyFont="1" applyBorder="1" applyAlignment="1">
      <alignment horizontal="center" vertical="center" wrapText="1"/>
    </xf>
    <xf numFmtId="0" fontId="266" fillId="0" borderId="151" xfId="0" applyFont="1" applyBorder="1" applyAlignment="1">
      <alignment horizontal="center" vertical="center" wrapText="1"/>
    </xf>
    <xf numFmtId="0" fontId="266" fillId="0" borderId="293" xfId="0" applyFont="1" applyBorder="1" applyAlignment="1">
      <alignment horizontal="center" vertical="center" wrapText="1"/>
    </xf>
    <xf numFmtId="0" fontId="266" fillId="0" borderId="270" xfId="0" applyFont="1" applyBorder="1" applyAlignment="1">
      <alignment horizontal="center" vertical="center" wrapText="1"/>
    </xf>
    <xf numFmtId="0" fontId="266" fillId="0" borderId="291" xfId="0" applyFont="1" applyBorder="1" applyAlignment="1">
      <alignment horizontal="center" vertical="center" wrapText="1"/>
    </xf>
    <xf numFmtId="0" fontId="266" fillId="0" borderId="292" xfId="0" applyFont="1" applyBorder="1" applyAlignment="1">
      <alignment horizontal="center" vertical="center" wrapText="1"/>
    </xf>
    <xf numFmtId="0" fontId="333" fillId="0" borderId="273" xfId="0" applyFont="1" applyBorder="1" applyAlignment="1">
      <alignment horizontal="center" vertical="center" wrapText="1"/>
    </xf>
    <xf numFmtId="0" fontId="266" fillId="0" borderId="271" xfId="0" applyFont="1" applyBorder="1" applyAlignment="1">
      <alignment horizontal="center" vertical="center" wrapText="1"/>
    </xf>
    <xf numFmtId="0" fontId="266" fillId="0" borderId="258" xfId="0" applyFont="1" applyBorder="1" applyAlignment="1">
      <alignment horizontal="center" vertical="center" wrapText="1"/>
    </xf>
    <xf numFmtId="0" fontId="266" fillId="0" borderId="269" xfId="0" applyFont="1" applyBorder="1" applyAlignment="1">
      <alignment horizontal="center" vertical="center" wrapText="1"/>
    </xf>
    <xf numFmtId="0" fontId="266" fillId="0" borderId="253" xfId="0" applyFont="1" applyBorder="1" applyAlignment="1">
      <alignment horizontal="center" vertical="center" wrapText="1"/>
    </xf>
    <xf numFmtId="0" fontId="266" fillId="0" borderId="280" xfId="0" applyFont="1" applyBorder="1" applyAlignment="1">
      <alignment horizontal="center" vertical="center" wrapText="1"/>
    </xf>
    <xf numFmtId="0" fontId="333" fillId="0" borderId="286" xfId="0" applyFont="1" applyBorder="1" applyAlignment="1">
      <alignment horizontal="center" vertical="center" wrapText="1"/>
    </xf>
    <xf numFmtId="0" fontId="333" fillId="0" borderId="278" xfId="0" applyFont="1" applyBorder="1" applyAlignment="1">
      <alignment horizontal="center" vertical="center" wrapText="1"/>
    </xf>
    <xf numFmtId="0" fontId="333" fillId="0" borderId="287" xfId="0" applyFont="1" applyBorder="1" applyAlignment="1">
      <alignment horizontal="center" vertical="center" wrapText="1"/>
    </xf>
    <xf numFmtId="0" fontId="266" fillId="0" borderId="277" xfId="0" applyFont="1" applyBorder="1" applyAlignment="1">
      <alignment horizontal="center" vertical="center" wrapText="1"/>
    </xf>
    <xf numFmtId="0" fontId="266" fillId="0" borderId="278" xfId="0" applyFont="1" applyBorder="1" applyAlignment="1">
      <alignment horizontal="center" vertical="center" wrapText="1"/>
    </xf>
    <xf numFmtId="0" fontId="266" fillId="0" borderId="279" xfId="0" applyFont="1" applyBorder="1" applyAlignment="1">
      <alignment horizontal="center" vertical="center" wrapText="1"/>
    </xf>
    <xf numFmtId="0" fontId="266" fillId="0" borderId="281" xfId="0" applyFont="1" applyBorder="1" applyAlignment="1">
      <alignment horizontal="center" vertical="center" wrapText="1"/>
    </xf>
    <xf numFmtId="0" fontId="266" fillId="0" borderId="282" xfId="0" applyFont="1" applyBorder="1" applyAlignment="1">
      <alignment horizontal="center" vertical="center" wrapText="1"/>
    </xf>
  </cellXfs>
  <cellStyles count="8515">
    <cellStyle name="' '" xfId="4434" xr:uid="{00000000-0005-0000-0000-000000000000}"/>
    <cellStyle name="' ' 2" xfId="7082" xr:uid="{00000000-0005-0000-0000-000001000000}"/>
    <cellStyle name="&quot;" xfId="1326" xr:uid="{00000000-0005-0000-0000-000002000000}"/>
    <cellStyle name="&quot;도급대비 &quot;백분율" xfId="7083" xr:uid="{00000000-0005-0000-0000-000003000000}"/>
    <cellStyle name="&quot;도급대비 &quot;백분율 2" xfId="7084" xr:uid="{00000000-0005-0000-0000-000004000000}"/>
    <cellStyle name="&quot;도급대비&quot;백분율" xfId="7085" xr:uid="{00000000-0005-0000-0000-000005000000}"/>
    <cellStyle name="&quot;도급대비&quot;백분율 2" xfId="7086" xr:uid="{00000000-0005-0000-0000-000006000000}"/>
    <cellStyle name="&quot;도급대비&quot;표준" xfId="4435" xr:uid="{00000000-0005-0000-0000-000007000000}"/>
    <cellStyle name="&quot;도급대비&quot;표준 2" xfId="7087" xr:uid="{00000000-0005-0000-0000-000008000000}"/>
    <cellStyle name="#,##0" xfId="4" xr:uid="{00000000-0005-0000-0000-000009000000}"/>
    <cellStyle name="#,##0 2" xfId="7088" xr:uid="{00000000-0005-0000-0000-00000A000000}"/>
    <cellStyle name="$" xfId="5" xr:uid="{00000000-0005-0000-0000-00000B000000}"/>
    <cellStyle name="$ 2" xfId="1327" xr:uid="{00000000-0005-0000-0000-00000C000000}"/>
    <cellStyle name="$_0009김포공항LED교체공사(광일)" xfId="1328" xr:uid="{00000000-0005-0000-0000-00000D000000}"/>
    <cellStyle name="$_0011긴급전화기정산(99년형광일)" xfId="1329" xr:uid="{00000000-0005-0000-0000-00000E000000}"/>
    <cellStyle name="$_0011부산종합경기장전광판" xfId="1330" xr:uid="{00000000-0005-0000-0000-00000F000000}"/>
    <cellStyle name="$_db진흥" xfId="6" xr:uid="{00000000-0005-0000-0000-000010000000}"/>
    <cellStyle name="$_db진흥 2" xfId="1331" xr:uid="{00000000-0005-0000-0000-000011000000}"/>
    <cellStyle name="$_SE40" xfId="7" xr:uid="{00000000-0005-0000-0000-000012000000}"/>
    <cellStyle name="$_SE40 2" xfId="1332" xr:uid="{00000000-0005-0000-0000-000013000000}"/>
    <cellStyle name="$_견적2" xfId="8" xr:uid="{00000000-0005-0000-0000-000014000000}"/>
    <cellStyle name="$_견적2 2" xfId="1333" xr:uid="{00000000-0005-0000-0000-000015000000}"/>
    <cellStyle name="$_경포천(호) 생태유수지 설계용역-계약내역서" xfId="1334" xr:uid="{00000000-0005-0000-0000-000016000000}"/>
    <cellStyle name="$_기아" xfId="9" xr:uid="{00000000-0005-0000-0000-000017000000}"/>
    <cellStyle name="$_기아 2" xfId="1335" xr:uid="{00000000-0005-0000-0000-000018000000}"/>
    <cellStyle name="(##.00)" xfId="10" xr:uid="{00000000-0005-0000-0000-000019000000}"/>
    <cellStyle name="(##.00) 2" xfId="7089" xr:uid="{00000000-0005-0000-0000-00001A000000}"/>
    <cellStyle name="(△콤마)" xfId="4436" xr:uid="{00000000-0005-0000-0000-00001B000000}"/>
    <cellStyle name="(△콤마) 2" xfId="7090" xr:uid="{00000000-0005-0000-0000-00001C000000}"/>
    <cellStyle name="(1)" xfId="11" xr:uid="{00000000-0005-0000-0000-00001D000000}"/>
    <cellStyle name="(1) 2" xfId="7091" xr:uid="{00000000-0005-0000-0000-00001E000000}"/>
    <cellStyle name="(백분율)" xfId="4437" xr:uid="{00000000-0005-0000-0000-00001F000000}"/>
    <cellStyle name="(백분율) 2" xfId="7092" xr:uid="{00000000-0005-0000-0000-000020000000}"/>
    <cellStyle name="(콤마)" xfId="4438" xr:uid="{00000000-0005-0000-0000-000021000000}"/>
    <cellStyle name="(콤마) 2" xfId="7093" xr:uid="{00000000-0005-0000-0000-000022000000}"/>
    <cellStyle name="(표준)" xfId="12" xr:uid="{00000000-0005-0000-0000-000023000000}"/>
    <cellStyle name="(표준) 2" xfId="7094" xr:uid="{00000000-0005-0000-0000-000024000000}"/>
    <cellStyle name=".0000001" xfId="4439" xr:uid="{00000000-0005-0000-0000-000025000000}"/>
    <cellStyle name=".0000001 2" xfId="7095" xr:uid="{00000000-0005-0000-0000-000026000000}"/>
    <cellStyle name=";;;" xfId="4440" xr:uid="{00000000-0005-0000-0000-000027000000}"/>
    <cellStyle name="??&amp;O?&amp;H?_x0008__x000f__x0007_?_x0007__x0001__x0001_" xfId="13" xr:uid="{00000000-0005-0000-0000-000028000000}"/>
    <cellStyle name="??&amp;O?&amp;H?_x0008__x000f__x0007_?_x0007__x0001__x0001_ 2" xfId="7096" xr:uid="{00000000-0005-0000-0000-000029000000}"/>
    <cellStyle name="??&amp;O?&amp;H?_x0008_??_x0007__x0001__x0001_" xfId="14" xr:uid="{00000000-0005-0000-0000-00002A000000}"/>
    <cellStyle name="??&amp;O?&amp;H?_x0008_??_x0007__x0001__x0001_ 2" xfId="7097" xr:uid="{00000000-0005-0000-0000-00002B000000}"/>
    <cellStyle name="??&amp;O?&amp;H?_x0008__x000f__x0007_?_x0007__x0001__x0001__북한강대장_2차분_설계내역서(변경)" xfId="7098" xr:uid="{00000000-0005-0000-0000-00002C000000}"/>
    <cellStyle name="??&amp;쏗?뷐9_x0008__x0011__x0007_?_x0007__x0001__x0001_" xfId="1336" xr:uid="{00000000-0005-0000-0000-00002D000000}"/>
    <cellStyle name="???­ [0]_¸ð??¸·" xfId="7099" xr:uid="{00000000-0005-0000-0000-00002E000000}"/>
    <cellStyle name="???­_¸ð??¸·" xfId="7100" xr:uid="{00000000-0005-0000-0000-00002F000000}"/>
    <cellStyle name="???Ø_??°???(2¿?) " xfId="7101" xr:uid="{00000000-0005-0000-0000-000030000000}"/>
    <cellStyle name="?Þ¸¶ [0]_¸ð??¸·" xfId="7102" xr:uid="{00000000-0005-0000-0000-000031000000}"/>
    <cellStyle name="?Þ¸¶_¸ð??¸·" xfId="7103" xr:uid="{00000000-0005-0000-0000-000032000000}"/>
    <cellStyle name="?W?_laroux" xfId="15" xr:uid="{00000000-0005-0000-0000-000033000000}"/>
    <cellStyle name="?曹%U?&amp;H?_x0008_?s _x0007__x0001__x0001_" xfId="1646" xr:uid="{00000000-0005-0000-0000-000034000000}"/>
    <cellStyle name="?潮%뾁?둃u_x0008_??_x0007__x0001__x0001_" xfId="4441" xr:uid="{00000000-0005-0000-0000-000035000000}"/>
    <cellStyle name="_()관리지역세분(수정)설계내역서(지형도면고시등)" xfId="7104" xr:uid="{00000000-0005-0000-0000-000036000000}"/>
    <cellStyle name="_(11-6)2001중장기계획(총괄)1" xfId="16" xr:uid="{00000000-0005-0000-0000-000037000000}"/>
    <cellStyle name="_(11-6)2001중장기계획(총괄)1_가설건축전기산출서" xfId="17" xr:uid="{00000000-0005-0000-0000-000038000000}"/>
    <cellStyle name="_(11-6)2001중장기계획(총괄)1_가설건축전기산출서_수량산출서(2003.4.1)" xfId="18" xr:uid="{00000000-0005-0000-0000-000039000000}"/>
    <cellStyle name="_(11-6)2001중장기계획(총괄)1_가설동력수량산출" xfId="19" xr:uid="{00000000-0005-0000-0000-00003A000000}"/>
    <cellStyle name="_(11-6)2001중장기계획(총괄)1_가설동력수량산출_수량산출서(2003.4.1)" xfId="20" xr:uid="{00000000-0005-0000-0000-00003B000000}"/>
    <cellStyle name="_(11-6)2001중장기계획(총괄)1_가설통신수량" xfId="21" xr:uid="{00000000-0005-0000-0000-00003C000000}"/>
    <cellStyle name="_(11-6)2001중장기계획(총괄)1_가설통신수량_수량산출서(2003.4.1)" xfId="22" xr:uid="{00000000-0005-0000-0000-00003D000000}"/>
    <cellStyle name="_(11-6)2001중장기계획(총괄)1_경보국설계서(철관주2003.1.30최종)" xfId="23" xr:uid="{00000000-0005-0000-0000-00003E000000}"/>
    <cellStyle name="_(11-6)2001중장기계획(총괄)1_경보국설계서(철관주2003.1.30최종)_수량산출서(2003.4.1)" xfId="24" xr:uid="{00000000-0005-0000-0000-00003F000000}"/>
    <cellStyle name="_(11-6)2001중장기계획(총괄)1_경보국설계서(철관주2003.1.30최종)_영천댐수량산출" xfId="25" xr:uid="{00000000-0005-0000-0000-000040000000}"/>
    <cellStyle name="_(11-6)2001중장기계획(총괄)1_경보국설계서(철관주2003.1.30최종)_영천댐수량산출_수량산출서(2003.4.1)" xfId="26" xr:uid="{00000000-0005-0000-0000-000041000000}"/>
    <cellStyle name="_(11-6)2001중장기계획(총괄)1_광동댐전기내역서-1" xfId="27" xr:uid="{00000000-0005-0000-0000-000042000000}"/>
    <cellStyle name="_(11-6)2001중장기계획(총괄)1_대곡내역서0329(전기)-기계설비금액확인" xfId="28" xr:uid="{00000000-0005-0000-0000-000043000000}"/>
    <cellStyle name="_(11-6)2001중장기계획(총괄)1_수량산출서(2003.4.1)" xfId="29" xr:uid="{00000000-0005-0000-0000-000044000000}"/>
    <cellStyle name="_(11-6)2001중장기계획(총괄)1_영구동력수량산출" xfId="30" xr:uid="{00000000-0005-0000-0000-000045000000}"/>
    <cellStyle name="_(11-6)2001중장기계획(총괄)1_영구동력수량산출_수량산출서(2003.4.1)" xfId="31" xr:uid="{00000000-0005-0000-0000-000046000000}"/>
    <cellStyle name="_(11-6)2001중장기계획(총괄)1_영천댐수량산출" xfId="32" xr:uid="{00000000-0005-0000-0000-000047000000}"/>
    <cellStyle name="_(11-6)2001중장기계획(총괄)1_영천댐수량산출_수량산출서(2003.4.1)" xfId="33" xr:uid="{00000000-0005-0000-0000-000048000000}"/>
    <cellStyle name="_(11-6)2001중장기계획(총괄)1_영천댐최종(감시및CCTV)" xfId="34" xr:uid="{00000000-0005-0000-0000-000049000000}"/>
    <cellStyle name="_(11-6)2001중장기계획(총괄)1_영천댐최종(홍수예설비공사)" xfId="35" xr:uid="{00000000-0005-0000-0000-00004A000000}"/>
    <cellStyle name="_(11-6)2001중장기계획(총괄)1_오리지날최종-경보국설계서(철관주2003.2.13) (version 3) (version 1)" xfId="36" xr:uid="{00000000-0005-0000-0000-00004B000000}"/>
    <cellStyle name="_(11-6)2001중장기계획(총괄)1_오리지날최종-경보국설계서(철관주2003.2.13) (version 3) (version 1)_수량산출서(2003.4.1)" xfId="37" xr:uid="{00000000-0005-0000-0000-00004C000000}"/>
    <cellStyle name="_(11-6)2001중장기계획(총괄)1_오리지날최종-경보국설계서(철관주2003.2.6)" xfId="38" xr:uid="{00000000-0005-0000-0000-00004D000000}"/>
    <cellStyle name="_(11-6)2001중장기계획(총괄)1_오리지날최종-경보국설계서(철관주2003.2.6)_수량산출서(2003.4.1)" xfId="39" xr:uid="{00000000-0005-0000-0000-00004E000000}"/>
    <cellStyle name="_(11-6)2001중장기계획(총괄)1_오리지날최종-경보국설계서(철관주2003.2.9) (version 2)" xfId="40" xr:uid="{00000000-0005-0000-0000-00004F000000}"/>
    <cellStyle name="_(11-6)2001중장기계획(총괄)1_오리지날최종-경보국설계서(철관주2003.2.9) (version 2)_수량산출서(2003.4.1)" xfId="41" xr:uid="{00000000-0005-0000-0000-000050000000}"/>
    <cellStyle name="_(11-6)2001중장기계획(총괄)1_옥곡수량" xfId="42" xr:uid="{00000000-0005-0000-0000-000051000000}"/>
    <cellStyle name="_(11-6)2001중장기계획(총괄)1_전기-광양3단계(옥곡가압장)" xfId="43" xr:uid="{00000000-0005-0000-0000-000052000000}"/>
    <cellStyle name="_(11-6)2001중장기계획(총괄)1_전기내역서-광동댐" xfId="44" xr:uid="{00000000-0005-0000-0000-000053000000}"/>
    <cellStyle name="_(11-6)2001중장기계획(총괄)1_전기및계장-영천댐(03.9.8신설및철거나눔)" xfId="45" xr:uid="{00000000-0005-0000-0000-000054000000}"/>
    <cellStyle name="_(11-6)2001중장기계획(총괄)1_전기및계장-영천댐(03.9.8신설및철거나눔) (version 1)" xfId="46" xr:uid="{00000000-0005-0000-0000-000055000000}"/>
    <cellStyle name="_(11-6)2001중장기계획(총괄)1_전기및계장-영천댐취수능력(2003.4.8전기및계장)" xfId="47" xr:uid="{00000000-0005-0000-0000-000056000000}"/>
    <cellStyle name="_(11-6)2001중장기계획(총괄)1_전기방식" xfId="48" xr:uid="{00000000-0005-0000-0000-000057000000}"/>
    <cellStyle name="_(11-6)2001중장기계획(총괄)1_전기방식_수량산출서(2003.4.1)" xfId="49" xr:uid="{00000000-0005-0000-0000-000058000000}"/>
    <cellStyle name="_(11-6)2001중장기계획(총괄)1_전기-영천댐취수능력(2003.2.10) (version 1)" xfId="50" xr:uid="{00000000-0005-0000-0000-000059000000}"/>
    <cellStyle name="_(11-6)2001중장기계획(총괄)1_전기-영천댐취수능력(2003.2.10) (version 1)_수량산출서(2003.4.1)" xfId="51" xr:uid="{00000000-0005-0000-0000-00005A000000}"/>
    <cellStyle name="_(11-6)2001중장기계획(총괄)1_최종실적(최종)" xfId="52" xr:uid="{00000000-0005-0000-0000-00005B000000}"/>
    <cellStyle name="_(11-6)2001중장기계획(총괄)1_최종실적(최종)_수량산출서(2003.4.1)" xfId="53" xr:uid="{00000000-0005-0000-0000-00005C000000}"/>
    <cellStyle name="_(11-6)2001중장기계획(총괄)1_최종실적(최종)_영천댐수량산출" xfId="54" xr:uid="{00000000-0005-0000-0000-00005D000000}"/>
    <cellStyle name="_(11-6)2001중장기계획(총괄)1_최종실적(최종)_영천댐수량산출_수량산출서(2003.4.1)" xfId="55" xr:uid="{00000000-0005-0000-0000-00005E000000}"/>
    <cellStyle name="_(B지구택지개발사업)_원용역_충북개발공사수행분포함" xfId="1337" xr:uid="{00000000-0005-0000-0000-00005F000000}"/>
    <cellStyle name="_(수정김태식0901)고덕국제화지구 내역서(학술연구용역기준)" xfId="56" xr:uid="{00000000-0005-0000-0000-000060000000}"/>
    <cellStyle name="_(수정김태식0901)고덕국제화지구 내역서(학술연구용역기준) 2" xfId="7105" xr:uid="{00000000-0005-0000-0000-000061000000}"/>
    <cellStyle name="_~MF2110" xfId="57" xr:uid="{00000000-0005-0000-0000-000062000000}"/>
    <cellStyle name="_~MF2110_가설건축전기산출서" xfId="58" xr:uid="{00000000-0005-0000-0000-000063000000}"/>
    <cellStyle name="_~MF2110_가설건축전기산출서_수량산출서(2003.4.1)" xfId="59" xr:uid="{00000000-0005-0000-0000-000064000000}"/>
    <cellStyle name="_~MF2110_가설동력수량산출" xfId="60" xr:uid="{00000000-0005-0000-0000-000065000000}"/>
    <cellStyle name="_~MF2110_가설동력수량산출_수량산출서(2003.4.1)" xfId="61" xr:uid="{00000000-0005-0000-0000-000066000000}"/>
    <cellStyle name="_~MF2110_가설통신수량" xfId="62" xr:uid="{00000000-0005-0000-0000-000067000000}"/>
    <cellStyle name="_~MF2110_가설통신수량_수량산출서(2003.4.1)" xfId="63" xr:uid="{00000000-0005-0000-0000-000068000000}"/>
    <cellStyle name="_~MF2110_경보국설계서(철관주2003.1.30최종)" xfId="64" xr:uid="{00000000-0005-0000-0000-000069000000}"/>
    <cellStyle name="_~MF2110_경보국설계서(철관주2003.1.30최종)_수량산출서(2003.4.1)" xfId="65" xr:uid="{00000000-0005-0000-0000-00006A000000}"/>
    <cellStyle name="_~MF2110_경보국설계서(철관주2003.1.30최종)_영천댐수량산출" xfId="66" xr:uid="{00000000-0005-0000-0000-00006B000000}"/>
    <cellStyle name="_~MF2110_경보국설계서(철관주2003.1.30최종)_영천댐수량산출_수량산출서(2003.4.1)" xfId="67" xr:uid="{00000000-0005-0000-0000-00006C000000}"/>
    <cellStyle name="_~MF2110_광동댐전기내역서-1" xfId="68" xr:uid="{00000000-0005-0000-0000-00006D000000}"/>
    <cellStyle name="_~MF2110_대곡내역서0329(전기)-기계설비금액확인" xfId="69" xr:uid="{00000000-0005-0000-0000-00006E000000}"/>
    <cellStyle name="_~MF2110_수량산출서(2003.4.1)" xfId="70" xr:uid="{00000000-0005-0000-0000-00006F000000}"/>
    <cellStyle name="_~MF2110_영구동력수량산출" xfId="71" xr:uid="{00000000-0005-0000-0000-000070000000}"/>
    <cellStyle name="_~MF2110_영구동력수량산출_수량산출서(2003.4.1)" xfId="72" xr:uid="{00000000-0005-0000-0000-000071000000}"/>
    <cellStyle name="_~MF2110_영천댐수량산출" xfId="73" xr:uid="{00000000-0005-0000-0000-000072000000}"/>
    <cellStyle name="_~MF2110_영천댐수량산출_수량산출서(2003.4.1)" xfId="74" xr:uid="{00000000-0005-0000-0000-000073000000}"/>
    <cellStyle name="_~MF2110_영천댐최종(감시및CCTV)" xfId="75" xr:uid="{00000000-0005-0000-0000-000074000000}"/>
    <cellStyle name="_~MF2110_영천댐최종(홍수예설비공사)" xfId="76" xr:uid="{00000000-0005-0000-0000-000075000000}"/>
    <cellStyle name="_~MF2110_오리지날최종-경보국설계서(철관주2003.2.13) (version 3) (version 1)" xfId="77" xr:uid="{00000000-0005-0000-0000-000076000000}"/>
    <cellStyle name="_~MF2110_오리지날최종-경보국설계서(철관주2003.2.13) (version 3) (version 1)_수량산출서(2003.4.1)" xfId="78" xr:uid="{00000000-0005-0000-0000-000077000000}"/>
    <cellStyle name="_~MF2110_오리지날최종-경보국설계서(철관주2003.2.6)" xfId="79" xr:uid="{00000000-0005-0000-0000-000078000000}"/>
    <cellStyle name="_~MF2110_오리지날최종-경보국설계서(철관주2003.2.6)_수량산출서(2003.4.1)" xfId="80" xr:uid="{00000000-0005-0000-0000-000079000000}"/>
    <cellStyle name="_~MF2110_오리지날최종-경보국설계서(철관주2003.2.9) (version 2)" xfId="81" xr:uid="{00000000-0005-0000-0000-00007A000000}"/>
    <cellStyle name="_~MF2110_오리지날최종-경보국설계서(철관주2003.2.9) (version 2)_수량산출서(2003.4.1)" xfId="82" xr:uid="{00000000-0005-0000-0000-00007B000000}"/>
    <cellStyle name="_~MF2110_옥곡수량" xfId="83" xr:uid="{00000000-0005-0000-0000-00007C000000}"/>
    <cellStyle name="_~MF2110_전기-광양3단계(옥곡가압장)" xfId="84" xr:uid="{00000000-0005-0000-0000-00007D000000}"/>
    <cellStyle name="_~MF2110_전기내역서-광동댐" xfId="85" xr:uid="{00000000-0005-0000-0000-00007E000000}"/>
    <cellStyle name="_~MF2110_전기및계장-영천댐(03.9.8신설및철거나눔)" xfId="86" xr:uid="{00000000-0005-0000-0000-00007F000000}"/>
    <cellStyle name="_~MF2110_전기및계장-영천댐(03.9.8신설및철거나눔) (version 1)" xfId="87" xr:uid="{00000000-0005-0000-0000-000080000000}"/>
    <cellStyle name="_~MF2110_전기및계장-영천댐취수능력(2003.4.8전기및계장)" xfId="88" xr:uid="{00000000-0005-0000-0000-000081000000}"/>
    <cellStyle name="_~MF2110_전기방식" xfId="89" xr:uid="{00000000-0005-0000-0000-000082000000}"/>
    <cellStyle name="_~MF2110_전기방식_수량산출서(2003.4.1)" xfId="90" xr:uid="{00000000-0005-0000-0000-000083000000}"/>
    <cellStyle name="_~MF2110_전기-영천댐취수능력(2003.2.10) (version 1)" xfId="91" xr:uid="{00000000-0005-0000-0000-000084000000}"/>
    <cellStyle name="_~MF2110_전기-영천댐취수능력(2003.2.10) (version 1)_수량산출서(2003.4.1)" xfId="92" xr:uid="{00000000-0005-0000-0000-000085000000}"/>
    <cellStyle name="_~MF2110_최종실적(최종)" xfId="93" xr:uid="{00000000-0005-0000-0000-000086000000}"/>
    <cellStyle name="_~MF2110_최종실적(최종)_수량산출서(2003.4.1)" xfId="94" xr:uid="{00000000-0005-0000-0000-000087000000}"/>
    <cellStyle name="_~MF2110_최종실적(최종)_영천댐수량산출" xfId="95" xr:uid="{00000000-0005-0000-0000-000088000000}"/>
    <cellStyle name="_~MF2110_최종실적(최종)_영천댐수량산출_수량산출서(2003.4.1)" xfId="96" xr:uid="{00000000-0005-0000-0000-000089000000}"/>
    <cellStyle name="_~MF373C" xfId="97" xr:uid="{00000000-0005-0000-0000-00008A000000}"/>
    <cellStyle name="_~MF373C_가설건축전기산출서" xfId="98" xr:uid="{00000000-0005-0000-0000-00008B000000}"/>
    <cellStyle name="_~MF373C_가설건축전기산출서_수량산출서(2003.4.1)" xfId="99" xr:uid="{00000000-0005-0000-0000-00008C000000}"/>
    <cellStyle name="_~MF373C_가설동력수량산출" xfId="100" xr:uid="{00000000-0005-0000-0000-00008D000000}"/>
    <cellStyle name="_~MF373C_가설동력수량산출_수량산출서(2003.4.1)" xfId="101" xr:uid="{00000000-0005-0000-0000-00008E000000}"/>
    <cellStyle name="_~MF373C_가설통신수량" xfId="102" xr:uid="{00000000-0005-0000-0000-00008F000000}"/>
    <cellStyle name="_~MF373C_가설통신수량_수량산출서(2003.4.1)" xfId="103" xr:uid="{00000000-0005-0000-0000-000090000000}"/>
    <cellStyle name="_~MF373C_경보국설계서(철관주2003.1.30최종)" xfId="104" xr:uid="{00000000-0005-0000-0000-000091000000}"/>
    <cellStyle name="_~MF373C_경보국설계서(철관주2003.1.30최종)_수량산출서(2003.4.1)" xfId="105" xr:uid="{00000000-0005-0000-0000-000092000000}"/>
    <cellStyle name="_~MF373C_경보국설계서(철관주2003.1.30최종)_영천댐수량산출" xfId="106" xr:uid="{00000000-0005-0000-0000-000093000000}"/>
    <cellStyle name="_~MF373C_경보국설계서(철관주2003.1.30최종)_영천댐수량산출_수량산출서(2003.4.1)" xfId="107" xr:uid="{00000000-0005-0000-0000-000094000000}"/>
    <cellStyle name="_~MF373C_광동댐전기내역서-1" xfId="108" xr:uid="{00000000-0005-0000-0000-000095000000}"/>
    <cellStyle name="_~MF373C_대곡내역서0329(전기)-기계설비금액확인" xfId="109" xr:uid="{00000000-0005-0000-0000-000096000000}"/>
    <cellStyle name="_~MF373C_수량산출서(2003.4.1)" xfId="110" xr:uid="{00000000-0005-0000-0000-000097000000}"/>
    <cellStyle name="_~MF373C_영구동력수량산출" xfId="111" xr:uid="{00000000-0005-0000-0000-000098000000}"/>
    <cellStyle name="_~MF373C_영구동력수량산출_수량산출서(2003.4.1)" xfId="112" xr:uid="{00000000-0005-0000-0000-000099000000}"/>
    <cellStyle name="_~MF373C_영천댐수량산출" xfId="113" xr:uid="{00000000-0005-0000-0000-00009A000000}"/>
    <cellStyle name="_~MF373C_영천댐수량산출_수량산출서(2003.4.1)" xfId="114" xr:uid="{00000000-0005-0000-0000-00009B000000}"/>
    <cellStyle name="_~MF373C_영천댐최종(감시및CCTV)" xfId="115" xr:uid="{00000000-0005-0000-0000-00009C000000}"/>
    <cellStyle name="_~MF373C_영천댐최종(홍수예설비공사)" xfId="116" xr:uid="{00000000-0005-0000-0000-00009D000000}"/>
    <cellStyle name="_~MF373C_오리지날최종-경보국설계서(철관주2003.2.13) (version 3) (version 1)" xfId="117" xr:uid="{00000000-0005-0000-0000-00009E000000}"/>
    <cellStyle name="_~MF373C_오리지날최종-경보국설계서(철관주2003.2.13) (version 3) (version 1)_수량산출서(2003.4.1)" xfId="118" xr:uid="{00000000-0005-0000-0000-00009F000000}"/>
    <cellStyle name="_~MF373C_오리지날최종-경보국설계서(철관주2003.2.6)" xfId="119" xr:uid="{00000000-0005-0000-0000-0000A0000000}"/>
    <cellStyle name="_~MF373C_오리지날최종-경보국설계서(철관주2003.2.6)_수량산출서(2003.4.1)" xfId="120" xr:uid="{00000000-0005-0000-0000-0000A1000000}"/>
    <cellStyle name="_~MF373C_오리지날최종-경보국설계서(철관주2003.2.9) (version 2)" xfId="121" xr:uid="{00000000-0005-0000-0000-0000A2000000}"/>
    <cellStyle name="_~MF373C_오리지날최종-경보국설계서(철관주2003.2.9) (version 2)_수량산출서(2003.4.1)" xfId="122" xr:uid="{00000000-0005-0000-0000-0000A3000000}"/>
    <cellStyle name="_~MF373C_옥곡수량" xfId="123" xr:uid="{00000000-0005-0000-0000-0000A4000000}"/>
    <cellStyle name="_~MF373C_전기-광양3단계(옥곡가압장)" xfId="124" xr:uid="{00000000-0005-0000-0000-0000A5000000}"/>
    <cellStyle name="_~MF373C_전기내역서-광동댐" xfId="125" xr:uid="{00000000-0005-0000-0000-0000A6000000}"/>
    <cellStyle name="_~MF373C_전기및계장-영천댐(03.9.8신설및철거나눔)" xfId="126" xr:uid="{00000000-0005-0000-0000-0000A7000000}"/>
    <cellStyle name="_~MF373C_전기및계장-영천댐(03.9.8신설및철거나눔) (version 1)" xfId="127" xr:uid="{00000000-0005-0000-0000-0000A8000000}"/>
    <cellStyle name="_~MF373C_전기및계장-영천댐취수능력(2003.4.8전기및계장)" xfId="128" xr:uid="{00000000-0005-0000-0000-0000A9000000}"/>
    <cellStyle name="_~MF373C_전기방식" xfId="129" xr:uid="{00000000-0005-0000-0000-0000AA000000}"/>
    <cellStyle name="_~MF373C_전기방식_수량산출서(2003.4.1)" xfId="130" xr:uid="{00000000-0005-0000-0000-0000AB000000}"/>
    <cellStyle name="_~MF373C_전기-영천댐취수능력(2003.2.10) (version 1)" xfId="131" xr:uid="{00000000-0005-0000-0000-0000AC000000}"/>
    <cellStyle name="_~MF373C_전기-영천댐취수능력(2003.2.10) (version 1)_수량산출서(2003.4.1)" xfId="132" xr:uid="{00000000-0005-0000-0000-0000AD000000}"/>
    <cellStyle name="_~MF373C_최종실적(최종)" xfId="133" xr:uid="{00000000-0005-0000-0000-0000AE000000}"/>
    <cellStyle name="_~MF373C_최종실적(최종)_수량산출서(2003.4.1)" xfId="134" xr:uid="{00000000-0005-0000-0000-0000AF000000}"/>
    <cellStyle name="_~MF373C_최종실적(최종)_영천댐수량산출" xfId="135" xr:uid="{00000000-0005-0000-0000-0000B0000000}"/>
    <cellStyle name="_~MF373C_최종실적(최종)_영천댐수량산출_수량산출서(2003.4.1)" xfId="136" xr:uid="{00000000-0005-0000-0000-0000B1000000}"/>
    <cellStyle name="_【실시설계】경포천 재해예방사업(수해상습지) 실시설계용역 - 일상감사후" xfId="7106" xr:uid="{00000000-0005-0000-0000-0000B2000000}"/>
    <cellStyle name="_【실시설계】경포천실시설계용역(1.2km)-일상감사후" xfId="7107" xr:uid="{00000000-0005-0000-0000-0000B3000000}"/>
    <cellStyle name="_☆일광설계용역(07(1).3.22경관,물건,공사비변경730억,구조물공삭제)!!!!" xfId="4442" xr:uid="{00000000-0005-0000-0000-0000B4000000}"/>
    <cellStyle name="_0_발주설계서(최종-수식)" xfId="4443" xr:uid="{00000000-0005-0000-0000-0000B5000000}"/>
    <cellStyle name="_0_발주설계서(최종-수식)_1) 신천금호강 종합개발 기본설계" xfId="4444" xr:uid="{00000000-0005-0000-0000-0000B6000000}"/>
    <cellStyle name="_0_발주설계서(최종-수식)_2) 신천금호강 종합개발 동영상제작(변경최종)" xfId="4445" xr:uid="{00000000-0005-0000-0000-0000B7000000}"/>
    <cellStyle name="_0_발주설계서(최종-수식)_3) 신천금호강 종합개발 산책로 실시설계(변경최종)" xfId="4446" xr:uid="{00000000-0005-0000-0000-0000B8000000}"/>
    <cellStyle name="_0_발주설계서(최종-수식)_설계내역서(신천-금호강)" xfId="4447" xr:uid="{00000000-0005-0000-0000-0000B9000000}"/>
    <cellStyle name="_0_발주설계서(최종-수식)_설계내역서(신천-금호강)_욱수천 하천재해예방사업 내역서" xfId="4448" xr:uid="{00000000-0005-0000-0000-0000BA000000}"/>
    <cellStyle name="_0_발주설계서(최종-수식)_설계내역서(신천-금호강)_욱수천 하천재해예방사업 내역서_002 욱수천정비공사실시설계 내역서_090113" xfId="4449" xr:uid="{00000000-0005-0000-0000-0000BB000000}"/>
    <cellStyle name="_0_발주설계서(최종-수식)_설계내역서(전체)" xfId="4450" xr:uid="{00000000-0005-0000-0000-0000BC000000}"/>
    <cellStyle name="_0_발주설계서(최종-수식)_설계내역서(전체)_욱수천 하천재해예방사업 내역서" xfId="4451" xr:uid="{00000000-0005-0000-0000-0000BD000000}"/>
    <cellStyle name="_0_발주설계서(최종-수식)_설계내역서(전체)_욱수천 하천재해예방사업 내역서_002 욱수천정비공사실시설계 내역서_090113" xfId="4452" xr:uid="{00000000-0005-0000-0000-0000BE000000}"/>
    <cellStyle name="_0_발주설계서(최종-수식)_신천금호강 종합개발 기본설계  내역서(수정분)" xfId="4453" xr:uid="{00000000-0005-0000-0000-0000BF000000}"/>
    <cellStyle name="_0_발주설계서(최종-수식)_신천금호강내역서(수정-보오링,사전재해및환경성제외,측량연장조정9(1).95억0726)" xfId="4454" xr:uid="{00000000-0005-0000-0000-0000C0000000}"/>
    <cellStyle name="_0_발주설계서(최종-수식)_심사내역서" xfId="4455" xr:uid="{00000000-0005-0000-0000-0000C1000000}"/>
    <cellStyle name="_0_발주설계서(최종-수식)_용담댐하류하천환경정비사업설계예산서(건희)" xfId="7108" xr:uid="{00000000-0005-0000-0000-0000C2000000}"/>
    <cellStyle name="_0_발주설계서(최종-수식)_욱수천 하천재해예방사업 내역서" xfId="4456" xr:uid="{00000000-0005-0000-0000-0000C3000000}"/>
    <cellStyle name="_0_발주설계서(최종-수식)_욱수천 하천재해예방사업 내역서_002 욱수천정비공사실시설계 내역서_090113" xfId="4457" xr:uid="{00000000-0005-0000-0000-0000C4000000}"/>
    <cellStyle name="_00 구미정수장내역갑지" xfId="137" xr:uid="{00000000-0005-0000-0000-0000C5000000}"/>
    <cellStyle name="_001_교통영향평가" xfId="4458" xr:uid="{00000000-0005-0000-0000-0000C6000000}"/>
    <cellStyle name="_01 내역서(미원천 개수공사 실시설계)" xfId="4459" xr:uid="{00000000-0005-0000-0000-0000C7000000}"/>
    <cellStyle name="_01 내역서(미원천 개수공사 실시설계) 2" xfId="7109" xr:uid="{00000000-0005-0000-0000-0000C8000000}"/>
    <cellStyle name="_01 내역서(미원천 개수공사 실시설계)_091110 안성천권역(중하류) 설계내역서" xfId="7110" xr:uid="{00000000-0005-0000-0000-0000C9000000}"/>
    <cellStyle name="_01 내역서(미원천 개수공사 실시설계)_100120 안성천권역(중하류) 2차분내역서" xfId="6849" xr:uid="{00000000-0005-0000-0000-0000CA000000}"/>
    <cellStyle name="_01 내역서(미원천 개수공사 실시설계)_100120 안성천권역(중하류) 2차분내역서 2" xfId="7111" xr:uid="{00000000-0005-0000-0000-0000CB000000}"/>
    <cellStyle name="_01 내역서(미원천 개수공사 실시설계)_논산천 권역 하천기본계획 설계예산서" xfId="7112" xr:uid="{00000000-0005-0000-0000-0000CC000000}"/>
    <cellStyle name="_01 내역서(미원천 개수공사 실시설계)_사본 - 황강중류권역 하천기본계획 예산서(황강 미포함)-2차분_ rev2" xfId="6850" xr:uid="{00000000-0005-0000-0000-0000CD000000}"/>
    <cellStyle name="_01 내역서(미원천 개수공사 실시설계)_소양강 상류권역 하천기본계획(변경) 및 하천시설관리대장작성_Lidar측량" xfId="7113" xr:uid="{00000000-0005-0000-0000-0000CE000000}"/>
    <cellStyle name="_01 내역서(미원천 개수공사 실시설계)_안양천 하천기본계획 예산서_보완중" xfId="7114" xr:uid="{00000000-0005-0000-0000-0000CF000000}"/>
    <cellStyle name="_01 내역서(미원천 개수공사 실시설계)_안양천권역 하천기본계획 설계예산서" xfId="7115" xr:uid="{00000000-0005-0000-0000-0000D0000000}"/>
    <cellStyle name="_01 내역서(미원천 개수공사 실시설계)_한강하류 하천기본계획 설계예산서(지형측량)" xfId="7116" xr:uid="{00000000-0005-0000-0000-0000D1000000}"/>
    <cellStyle name="_01 내역서(미원천 개수공사 실시설계)_한강하류내역서2" xfId="7117" xr:uid="{00000000-0005-0000-0000-0000D2000000}"/>
    <cellStyle name="_01 내역서(미원천 개수공사 실시설계)_한탄강 하천기본계획 예산서_최종2" xfId="7118" xr:uid="{00000000-0005-0000-0000-0000D3000000}"/>
    <cellStyle name="_01 내역서(미원천 개수공사 실시설계)_한탄강권역 하천기본계획 설계예산서(지형측량)" xfId="7119" xr:uid="{00000000-0005-0000-0000-0000D4000000}"/>
    <cellStyle name="_01 소하천내역서(동두천시)1차분+전체(계약용)" xfId="4460" xr:uid="{00000000-0005-0000-0000-0000D5000000}"/>
    <cellStyle name="_01(1).산업단지개발계획" xfId="4461" xr:uid="{00000000-0005-0000-0000-0000D6000000}"/>
    <cellStyle name="_01.산업단지개발계획" xfId="4462" xr:uid="{00000000-0005-0000-0000-0000D7000000}"/>
    <cellStyle name="_02(1).지구단위계획" xfId="4463" xr:uid="{00000000-0005-0000-0000-0000D8000000}"/>
    <cellStyle name="_02.지구단위계획" xfId="4464" xr:uid="{00000000-0005-0000-0000-0000D9000000}"/>
    <cellStyle name="_021126_목포시청(총괄)" xfId="4465" xr:uid="{00000000-0005-0000-0000-0000DA000000}"/>
    <cellStyle name="_021126_목포시청(총괄) 2" xfId="7120" xr:uid="{00000000-0005-0000-0000-0000DB000000}"/>
    <cellStyle name="_02용역내역서060306" xfId="4466" xr:uid="{00000000-0005-0000-0000-0000DC000000}"/>
    <cellStyle name="_02인천광역시내역서060519" xfId="4467" xr:uid="{00000000-0005-0000-0000-0000DD000000}"/>
    <cellStyle name="_02인천광역시내역서060519 2" xfId="7121" xr:uid="{00000000-0005-0000-0000-0000DE000000}"/>
    <cellStyle name="_03 항공측량(L=36.0)" xfId="4468" xr:uid="{00000000-0005-0000-0000-0000DF000000}"/>
    <cellStyle name="_03 항공측량(L=36.0) 2" xfId="7122" xr:uid="{00000000-0005-0000-0000-0000E0000000}"/>
    <cellStyle name="_03-1내역서(토평1지구외1)전체및3차변경(참조)" xfId="7123" xr:uid="{00000000-0005-0000-0000-0000E1000000}"/>
    <cellStyle name="_03내역서(토평1지구외1)전체및3차변경(이성호최종)-1" xfId="7124" xr:uid="{00000000-0005-0000-0000-0000E2000000}"/>
    <cellStyle name="_050309 대한상공회의소 운영 1차 수정" xfId="4469" xr:uid="{00000000-0005-0000-0000-0000E3000000}"/>
    <cellStyle name="_051216-Ucity 포털사이트-개발예산_이은실" xfId="4470" xr:uid="{00000000-0005-0000-0000-0000E4000000}"/>
    <cellStyle name="_051216-Ucity 포털사이트-개발예산_이은실 2" xfId="7125" xr:uid="{00000000-0005-0000-0000-0000E5000000}"/>
    <cellStyle name="_06(1).내역서(한강 가평삼회)" xfId="4471" xr:uid="{00000000-0005-0000-0000-0000E6000000}"/>
    <cellStyle name="_06.섬강 기존제방 보강공사 실시설계용역 설계예산서-2차-1" xfId="7126" xr:uid="{00000000-0005-0000-0000-0000E7000000}"/>
    <cellStyle name="_06.섬강 기존제방 설계내역서-3차" xfId="7127" xr:uid="{00000000-0005-0000-0000-0000E8000000}"/>
    <cellStyle name="_060517대신체육공원실시설계용역_낙찰가조정" xfId="138" xr:uid="{00000000-0005-0000-0000-0000E9000000}"/>
    <cellStyle name="_060517대신체육공원실시설계용역_낙찰가조정 2" xfId="7128" xr:uid="{00000000-0005-0000-0000-0000EA000000}"/>
    <cellStyle name="_060517도급내역서(연인산)" xfId="139" xr:uid="{00000000-0005-0000-0000-0000EB000000}"/>
    <cellStyle name="_060517도급내역서(연인산) 2" xfId="7129" xr:uid="{00000000-0005-0000-0000-0000EC000000}"/>
    <cellStyle name="_071011 농업기술원-통합견적서" xfId="4472" xr:uid="{00000000-0005-0000-0000-0000ED000000}"/>
    <cellStyle name="_09 군관리계획_적성-전산화내역서" xfId="4473" xr:uid="{00000000-0005-0000-0000-0000EE000000}"/>
    <cellStyle name="_09 군관리계획_적성-전산화내역서(최종)" xfId="4474" xr:uid="{00000000-0005-0000-0000-0000EF000000}"/>
    <cellStyle name="_09월소장단회의자료1" xfId="4475" xr:uid="{00000000-0005-0000-0000-0000F0000000}"/>
    <cellStyle name="_09월소장단회의자료1_B-1,B-1-1노선변경실정보고" xfId="4476" xr:uid="{00000000-0005-0000-0000-0000F1000000}"/>
    <cellStyle name="_09월소장단회의자료1_토공계획" xfId="4477" xr:uid="{00000000-0005-0000-0000-0000F2000000}"/>
    <cellStyle name="_09월소장단회의자료1_토공계획_B-1,B-1-1노선변경실정보고" xfId="4478" xr:uid="{00000000-0005-0000-0000-0000F3000000}"/>
    <cellStyle name="_09월소장단회의자료1_토공계획_구조물공사시공계획서" xfId="4479" xr:uid="{00000000-0005-0000-0000-0000F4000000}"/>
    <cellStyle name="_09월소장단회의자료1_토공계획_구조물공사시공계획서_B-1,B-1-1노선변경실정보고" xfId="4480" xr:uid="{00000000-0005-0000-0000-0000F5000000}"/>
    <cellStyle name="_09월소장단회의자료1_토공계획_토공사시공계획서" xfId="4481" xr:uid="{00000000-0005-0000-0000-0000F6000000}"/>
    <cellStyle name="_09월소장단회의자료1_토공계획_토공사시공계획서(포)" xfId="4482" xr:uid="{00000000-0005-0000-0000-0000F7000000}"/>
    <cellStyle name="_09월소장단회의자료1_토공계획_토공사시공계획서(포)_B-1,B-1-1노선변경실정보고" xfId="4483" xr:uid="{00000000-0005-0000-0000-0000F8000000}"/>
    <cellStyle name="_09월소장단회의자료1_토공계획_토공사시공계획서_B-1,B-1-1노선변경실정보고" xfId="4484" xr:uid="{00000000-0005-0000-0000-0000F9000000}"/>
    <cellStyle name="_09월소장단회의자료1_토공시공계획서(효)" xfId="4485" xr:uid="{00000000-0005-0000-0000-0000FA000000}"/>
    <cellStyle name="_09월소장단회의자료1_토공시공계획서(효)_B-1,B-1-1노선변경실정보고" xfId="4486" xr:uid="{00000000-0005-0000-0000-0000FB000000}"/>
    <cellStyle name="_09월소장단회의자료1_토공시공계획서(효)_구조물공사시공계획서" xfId="4487" xr:uid="{00000000-0005-0000-0000-0000FC000000}"/>
    <cellStyle name="_09월소장단회의자료1_토공시공계획서(효)_구조물공사시공계획서_B-1,B-1-1노선변경실정보고" xfId="4488" xr:uid="{00000000-0005-0000-0000-0000FD000000}"/>
    <cellStyle name="_09월소장단회의자료1_토공시공계획서(효)_토공사시공계획서" xfId="4489" xr:uid="{00000000-0005-0000-0000-0000FE000000}"/>
    <cellStyle name="_09월소장단회의자료1_토공시공계획서(효)_토공사시공계획서(포)" xfId="4490" xr:uid="{00000000-0005-0000-0000-0000FF000000}"/>
    <cellStyle name="_09월소장단회의자료1_토공시공계획서(효)_토공사시공계획서(포)_B-1,B-1-1노선변경실정보고" xfId="4491" xr:uid="{00000000-0005-0000-0000-000000010000}"/>
    <cellStyle name="_09월소장단회의자료1_토공시공계획서(효)_토공사시공계획서_B-1,B-1-1노선변경실정보고" xfId="4492" xr:uid="{00000000-0005-0000-0000-000001010000}"/>
    <cellStyle name="_0설계변경총괄(금포.용전1)수정" xfId="4493" xr:uid="{00000000-0005-0000-0000-000002010000}"/>
    <cellStyle name="_0설계변경총괄(금포.용전1.용지)" xfId="4494" xr:uid="{00000000-0005-0000-0000-000003010000}"/>
    <cellStyle name="_0재릉내역서(원내역서)" xfId="4495" xr:uid="{00000000-0005-0000-0000-000004010000}"/>
    <cellStyle name="_1.전기공사 내역서(구미정수장)" xfId="140" xr:uid="{00000000-0005-0000-0000-000005010000}"/>
    <cellStyle name="_1.통신공사 내역서(구미정수장)" xfId="141" xr:uid="{00000000-0005-0000-0000-000006010000}"/>
    <cellStyle name="_1000억(공사비)기본및실시설계-1" xfId="4496" xr:uid="{00000000-0005-0000-0000-000007010000}"/>
    <cellStyle name="_111" xfId="4497" xr:uid="{00000000-0005-0000-0000-000008010000}"/>
    <cellStyle name="_17공구" xfId="1647" xr:uid="{00000000-0005-0000-0000-000009010000}"/>
    <cellStyle name="_17공구_1" xfId="1648" xr:uid="{00000000-0005-0000-0000-00000A010000}"/>
    <cellStyle name="_17공구_1_병천하수 견적060412" xfId="1649" xr:uid="{00000000-0005-0000-0000-00000B010000}"/>
    <cellStyle name="_17공구_1_사본 - 기성내역서(대경엔텍)" xfId="1650" xr:uid="{00000000-0005-0000-0000-00000C010000}"/>
    <cellStyle name="_17공구_1_사본 - 기성내역서(대경엔텍)_병천하수 견적060412" xfId="1651" xr:uid="{00000000-0005-0000-0000-00000D010000}"/>
    <cellStyle name="_17공구_1_사본 - 기성내역서(대경엔텍)_산북하수견적서" xfId="1652" xr:uid="{00000000-0005-0000-0000-00000E010000}"/>
    <cellStyle name="_17공구_1_사본 - 기성내역서(대경엔텍)_통일하수내역서" xfId="1653" xr:uid="{00000000-0005-0000-0000-00000F010000}"/>
    <cellStyle name="_17공구_1_산북하수견적서" xfId="1654" xr:uid="{00000000-0005-0000-0000-000010010000}"/>
    <cellStyle name="_17공구_1_제1회설계변경내역서(11.15~)update" xfId="1655" xr:uid="{00000000-0005-0000-0000-000011010000}"/>
    <cellStyle name="_17공구_1_제2회기성내역서(1차+2차공사)" xfId="1656" xr:uid="{00000000-0005-0000-0000-000012010000}"/>
    <cellStyle name="_17공구_1_제2회기성내역서(1차+2차공사)_병천하수 견적060412" xfId="1657" xr:uid="{00000000-0005-0000-0000-000013010000}"/>
    <cellStyle name="_17공구_1_제2회기성내역서(1차+2차공사)_산북하수견적서" xfId="1658" xr:uid="{00000000-0005-0000-0000-000014010000}"/>
    <cellStyle name="_17공구_1_제2회기성내역서(1차+2차공사)_제7회기성내역서(1차+2차공사)~ing" xfId="1659" xr:uid="{00000000-0005-0000-0000-000015010000}"/>
    <cellStyle name="_17공구_1_제2회기성내역서(1차+2차공사)_제7회기성내역서(1차+2차공사)~ing_병천하수 견적060412" xfId="1660" xr:uid="{00000000-0005-0000-0000-000016010000}"/>
    <cellStyle name="_17공구_1_제2회기성내역서(1차+2차공사)_제7회기성내역서(1차+2차공사)~ing_산북하수견적서" xfId="1661" xr:uid="{00000000-0005-0000-0000-000017010000}"/>
    <cellStyle name="_17공구_1_제2회기성내역서(1차+2차공사)_제7회기성내역서(1차+2차공사)~ing_통일하수내역서" xfId="1662" xr:uid="{00000000-0005-0000-0000-000018010000}"/>
    <cellStyle name="_17공구_1_제2회기성내역서(1차+2차공사)_통일하수내역서" xfId="1663" xr:uid="{00000000-0005-0000-0000-000019010000}"/>
    <cellStyle name="_17공구_1_통일하수내역서" xfId="1664" xr:uid="{00000000-0005-0000-0000-00001A010000}"/>
    <cellStyle name="_17공구_kn 구룡포~대보간 1" xfId="1665" xr:uid="{00000000-0005-0000-0000-00001B010000}"/>
    <cellStyle name="_17공구_kn 구룡포~대보간 1_병천하수 견적060412" xfId="1666" xr:uid="{00000000-0005-0000-0000-00001C010000}"/>
    <cellStyle name="_17공구_kn 구룡포~대보간 1_사본 - 기성내역서(대경엔텍)" xfId="1667" xr:uid="{00000000-0005-0000-0000-00001D010000}"/>
    <cellStyle name="_17공구_kn 구룡포~대보간 1_사본 - 기성내역서(대경엔텍)_병천하수 견적060412" xfId="1668" xr:uid="{00000000-0005-0000-0000-00001E010000}"/>
    <cellStyle name="_17공구_kn 구룡포~대보간 1_사본 - 기성내역서(대경엔텍)_산북하수견적서" xfId="1669" xr:uid="{00000000-0005-0000-0000-00001F010000}"/>
    <cellStyle name="_17공구_kn 구룡포~대보간 1_사본 - 기성내역서(대경엔텍)_통일하수내역서" xfId="1670" xr:uid="{00000000-0005-0000-0000-000020010000}"/>
    <cellStyle name="_17공구_kn 구룡포~대보간 1_산북하수견적서" xfId="1671" xr:uid="{00000000-0005-0000-0000-000021010000}"/>
    <cellStyle name="_17공구_kn 구룡포~대보간 1_제1회설계변경내역서(11.15~)update" xfId="1672" xr:uid="{00000000-0005-0000-0000-000022010000}"/>
    <cellStyle name="_17공구_kn 구룡포~대보간 1_제2회기성내역서(1차+2차공사)" xfId="1673" xr:uid="{00000000-0005-0000-0000-000023010000}"/>
    <cellStyle name="_17공구_kn 구룡포~대보간 1_제2회기성내역서(1차+2차공사)_병천하수 견적060412" xfId="1674" xr:uid="{00000000-0005-0000-0000-000024010000}"/>
    <cellStyle name="_17공구_kn 구룡포~대보간 1_제2회기성내역서(1차+2차공사)_산북하수견적서" xfId="1675" xr:uid="{00000000-0005-0000-0000-000025010000}"/>
    <cellStyle name="_17공구_kn 구룡포~대보간 1_제2회기성내역서(1차+2차공사)_제7회기성내역서(1차+2차공사)~ing" xfId="1676" xr:uid="{00000000-0005-0000-0000-000026010000}"/>
    <cellStyle name="_17공구_kn 구룡포~대보간 1_제2회기성내역서(1차+2차공사)_제7회기성내역서(1차+2차공사)~ing_병천하수 견적060412" xfId="1677" xr:uid="{00000000-0005-0000-0000-000027010000}"/>
    <cellStyle name="_17공구_kn 구룡포~대보간 1_제2회기성내역서(1차+2차공사)_제7회기성내역서(1차+2차공사)~ing_산북하수견적서" xfId="1678" xr:uid="{00000000-0005-0000-0000-000028010000}"/>
    <cellStyle name="_17공구_kn 구룡포~대보간 1_제2회기성내역서(1차+2차공사)_제7회기성내역서(1차+2차공사)~ing_통일하수내역서" xfId="1679" xr:uid="{00000000-0005-0000-0000-000029010000}"/>
    <cellStyle name="_17공구_kn 구룡포~대보간 1_제2회기성내역서(1차+2차공사)_통일하수내역서" xfId="1680" xr:uid="{00000000-0005-0000-0000-00002A010000}"/>
    <cellStyle name="_17공구_kn 구룡포~대보간 1_통일하수내역서" xfId="1681" xr:uid="{00000000-0005-0000-0000-00002B010000}"/>
    <cellStyle name="_17공구_병천하수 견적060412" xfId="1682" xr:uid="{00000000-0005-0000-0000-00002C010000}"/>
    <cellStyle name="_17공구_사본 - 기성내역서(대경엔텍)" xfId="1683" xr:uid="{00000000-0005-0000-0000-00002D010000}"/>
    <cellStyle name="_17공구_사본 - 기성내역서(대경엔텍)_병천하수 견적060412" xfId="1684" xr:uid="{00000000-0005-0000-0000-00002E010000}"/>
    <cellStyle name="_17공구_사본 - 기성내역서(대경엔텍)_산북하수견적서" xfId="1685" xr:uid="{00000000-0005-0000-0000-00002F010000}"/>
    <cellStyle name="_17공구_사본 - 기성내역서(대경엔텍)_통일하수내역서" xfId="1686" xr:uid="{00000000-0005-0000-0000-000030010000}"/>
    <cellStyle name="_17공구_산북하수견적서" xfId="1687" xr:uid="{00000000-0005-0000-0000-000031010000}"/>
    <cellStyle name="_17공구_안동투찰" xfId="1688" xr:uid="{00000000-0005-0000-0000-000032010000}"/>
    <cellStyle name="_17공구_안동투찰_병천하수 견적060412" xfId="1689" xr:uid="{00000000-0005-0000-0000-000033010000}"/>
    <cellStyle name="_17공구_안동투찰_사본 - 기성내역서(대경엔텍)" xfId="1690" xr:uid="{00000000-0005-0000-0000-000034010000}"/>
    <cellStyle name="_17공구_안동투찰_사본 - 기성내역서(대경엔텍)_병천하수 견적060412" xfId="1691" xr:uid="{00000000-0005-0000-0000-000035010000}"/>
    <cellStyle name="_17공구_안동투찰_사본 - 기성내역서(대경엔텍)_산북하수견적서" xfId="1692" xr:uid="{00000000-0005-0000-0000-000036010000}"/>
    <cellStyle name="_17공구_안동투찰_사본 - 기성내역서(대경엔텍)_통일하수내역서" xfId="1693" xr:uid="{00000000-0005-0000-0000-000037010000}"/>
    <cellStyle name="_17공구_안동투찰_산북하수견적서" xfId="1694" xr:uid="{00000000-0005-0000-0000-000038010000}"/>
    <cellStyle name="_17공구_안동투찰_제1회설계변경내역서(11.15~)update" xfId="1695" xr:uid="{00000000-0005-0000-0000-000039010000}"/>
    <cellStyle name="_17공구_안동투찰_제2회기성내역서(1차+2차공사)" xfId="1696" xr:uid="{00000000-0005-0000-0000-00003A010000}"/>
    <cellStyle name="_17공구_안동투찰_제2회기성내역서(1차+2차공사)_병천하수 견적060412" xfId="1697" xr:uid="{00000000-0005-0000-0000-00003B010000}"/>
    <cellStyle name="_17공구_안동투찰_제2회기성내역서(1차+2차공사)_산북하수견적서" xfId="1698" xr:uid="{00000000-0005-0000-0000-00003C010000}"/>
    <cellStyle name="_17공구_안동투찰_제2회기성내역서(1차+2차공사)_제7회기성내역서(1차+2차공사)~ing" xfId="1699" xr:uid="{00000000-0005-0000-0000-00003D010000}"/>
    <cellStyle name="_17공구_안동투찰_제2회기성내역서(1차+2차공사)_제7회기성내역서(1차+2차공사)~ing_병천하수 견적060412" xfId="1700" xr:uid="{00000000-0005-0000-0000-00003E010000}"/>
    <cellStyle name="_17공구_안동투찰_제2회기성내역서(1차+2차공사)_제7회기성내역서(1차+2차공사)~ing_산북하수견적서" xfId="1701" xr:uid="{00000000-0005-0000-0000-00003F010000}"/>
    <cellStyle name="_17공구_안동투찰_제2회기성내역서(1차+2차공사)_제7회기성내역서(1차+2차공사)~ing_통일하수내역서" xfId="1702" xr:uid="{00000000-0005-0000-0000-000040010000}"/>
    <cellStyle name="_17공구_안동투찰_제2회기성내역서(1차+2차공사)_통일하수내역서" xfId="1703" xr:uid="{00000000-0005-0000-0000-000041010000}"/>
    <cellStyle name="_17공구_안동투찰_통일하수내역서" xfId="1704" xr:uid="{00000000-0005-0000-0000-000042010000}"/>
    <cellStyle name="_17공구_제1회설계변경내역서(11.15~)update" xfId="1705" xr:uid="{00000000-0005-0000-0000-000043010000}"/>
    <cellStyle name="_17공구_제2회기성내역서(1차+2차공사)" xfId="1706" xr:uid="{00000000-0005-0000-0000-000044010000}"/>
    <cellStyle name="_17공구_제2회기성내역서(1차+2차공사)_병천하수 견적060412" xfId="1707" xr:uid="{00000000-0005-0000-0000-000045010000}"/>
    <cellStyle name="_17공구_제2회기성내역서(1차+2차공사)_산북하수견적서" xfId="1708" xr:uid="{00000000-0005-0000-0000-000046010000}"/>
    <cellStyle name="_17공구_제2회기성내역서(1차+2차공사)_제7회기성내역서(1차+2차공사)~ing" xfId="1709" xr:uid="{00000000-0005-0000-0000-000047010000}"/>
    <cellStyle name="_17공구_제2회기성내역서(1차+2차공사)_제7회기성내역서(1차+2차공사)~ing_병천하수 견적060412" xfId="1710" xr:uid="{00000000-0005-0000-0000-000048010000}"/>
    <cellStyle name="_17공구_제2회기성내역서(1차+2차공사)_제7회기성내역서(1차+2차공사)~ing_산북하수견적서" xfId="1711" xr:uid="{00000000-0005-0000-0000-000049010000}"/>
    <cellStyle name="_17공구_제2회기성내역서(1차+2차공사)_제7회기성내역서(1차+2차공사)~ing_통일하수내역서" xfId="1712" xr:uid="{00000000-0005-0000-0000-00004A010000}"/>
    <cellStyle name="_17공구_제2회기성내역서(1차+2차공사)_통일하수내역서" xfId="1713" xr:uid="{00000000-0005-0000-0000-00004B010000}"/>
    <cellStyle name="_17공구_통리투찰" xfId="1714" xr:uid="{00000000-0005-0000-0000-00004C010000}"/>
    <cellStyle name="_17공구_통리투찰_병천하수 견적060412" xfId="1715" xr:uid="{00000000-0005-0000-0000-00004D010000}"/>
    <cellStyle name="_17공구_통리투찰_사본 - 기성내역서(대경엔텍)" xfId="1716" xr:uid="{00000000-0005-0000-0000-00004E010000}"/>
    <cellStyle name="_17공구_통리투찰_사본 - 기성내역서(대경엔텍)_병천하수 견적060412" xfId="1717" xr:uid="{00000000-0005-0000-0000-00004F010000}"/>
    <cellStyle name="_17공구_통리투찰_사본 - 기성내역서(대경엔텍)_산북하수견적서" xfId="1718" xr:uid="{00000000-0005-0000-0000-000050010000}"/>
    <cellStyle name="_17공구_통리투찰_사본 - 기성내역서(대경엔텍)_통일하수내역서" xfId="1719" xr:uid="{00000000-0005-0000-0000-000051010000}"/>
    <cellStyle name="_17공구_통리투찰_산북하수견적서" xfId="1720" xr:uid="{00000000-0005-0000-0000-000052010000}"/>
    <cellStyle name="_17공구_통리투찰_제1회설계변경내역서(11.15~)update" xfId="1721" xr:uid="{00000000-0005-0000-0000-000053010000}"/>
    <cellStyle name="_17공구_통리투찰_제2회기성내역서(1차+2차공사)" xfId="1722" xr:uid="{00000000-0005-0000-0000-000054010000}"/>
    <cellStyle name="_17공구_통리투찰_제2회기성내역서(1차+2차공사)_병천하수 견적060412" xfId="1723" xr:uid="{00000000-0005-0000-0000-000055010000}"/>
    <cellStyle name="_17공구_통리투찰_제2회기성내역서(1차+2차공사)_산북하수견적서" xfId="1724" xr:uid="{00000000-0005-0000-0000-000056010000}"/>
    <cellStyle name="_17공구_통리투찰_제2회기성내역서(1차+2차공사)_제7회기성내역서(1차+2차공사)~ing" xfId="1725" xr:uid="{00000000-0005-0000-0000-000057010000}"/>
    <cellStyle name="_17공구_통리투찰_제2회기성내역서(1차+2차공사)_제7회기성내역서(1차+2차공사)~ing_병천하수 견적060412" xfId="1726" xr:uid="{00000000-0005-0000-0000-000058010000}"/>
    <cellStyle name="_17공구_통리투찰_제2회기성내역서(1차+2차공사)_제7회기성내역서(1차+2차공사)~ing_산북하수견적서" xfId="1727" xr:uid="{00000000-0005-0000-0000-000059010000}"/>
    <cellStyle name="_17공구_통리투찰_제2회기성내역서(1차+2차공사)_제7회기성내역서(1차+2차공사)~ing_통일하수내역서" xfId="1728" xr:uid="{00000000-0005-0000-0000-00005A010000}"/>
    <cellStyle name="_17공구_통리투찰_제2회기성내역서(1차+2차공사)_통일하수내역서" xfId="1729" xr:uid="{00000000-0005-0000-0000-00005B010000}"/>
    <cellStyle name="_17공구_통리투찰_통일하수내역서" xfId="1730" xr:uid="{00000000-0005-0000-0000-00005C010000}"/>
    <cellStyle name="_17공구_통일하수내역서" xfId="1731" xr:uid="{00000000-0005-0000-0000-00005D010000}"/>
    <cellStyle name="_19공구" xfId="1732" xr:uid="{00000000-0005-0000-0000-00005E010000}"/>
    <cellStyle name="_19공구_kn 구룡포~대보간 1" xfId="1733" xr:uid="{00000000-0005-0000-0000-00005F010000}"/>
    <cellStyle name="_19공구_kn 구룡포~대보간 1_병천하수 견적060412" xfId="1734" xr:uid="{00000000-0005-0000-0000-000060010000}"/>
    <cellStyle name="_19공구_kn 구룡포~대보간 1_사본 - 기성내역서(대경엔텍)" xfId="1735" xr:uid="{00000000-0005-0000-0000-000061010000}"/>
    <cellStyle name="_19공구_kn 구룡포~대보간 1_사본 - 기성내역서(대경엔텍)_병천하수 견적060412" xfId="1736" xr:uid="{00000000-0005-0000-0000-000062010000}"/>
    <cellStyle name="_19공구_kn 구룡포~대보간 1_사본 - 기성내역서(대경엔텍)_산북하수견적서" xfId="1737" xr:uid="{00000000-0005-0000-0000-000063010000}"/>
    <cellStyle name="_19공구_kn 구룡포~대보간 1_사본 - 기성내역서(대경엔텍)_통일하수내역서" xfId="1738" xr:uid="{00000000-0005-0000-0000-000064010000}"/>
    <cellStyle name="_19공구_kn 구룡포~대보간 1_산북하수견적서" xfId="1739" xr:uid="{00000000-0005-0000-0000-000065010000}"/>
    <cellStyle name="_19공구_kn 구룡포~대보간 1_제1회설계변경내역서(11.15~)update" xfId="1740" xr:uid="{00000000-0005-0000-0000-000066010000}"/>
    <cellStyle name="_19공구_kn 구룡포~대보간 1_제2회기성내역서(1차+2차공사)" xfId="1741" xr:uid="{00000000-0005-0000-0000-000067010000}"/>
    <cellStyle name="_19공구_kn 구룡포~대보간 1_제2회기성내역서(1차+2차공사)_병천하수 견적060412" xfId="1742" xr:uid="{00000000-0005-0000-0000-000068010000}"/>
    <cellStyle name="_19공구_kn 구룡포~대보간 1_제2회기성내역서(1차+2차공사)_산북하수견적서" xfId="1743" xr:uid="{00000000-0005-0000-0000-000069010000}"/>
    <cellStyle name="_19공구_kn 구룡포~대보간 1_제2회기성내역서(1차+2차공사)_제7회기성내역서(1차+2차공사)~ing" xfId="1744" xr:uid="{00000000-0005-0000-0000-00006A010000}"/>
    <cellStyle name="_19공구_kn 구룡포~대보간 1_제2회기성내역서(1차+2차공사)_제7회기성내역서(1차+2차공사)~ing_병천하수 견적060412" xfId="1745" xr:uid="{00000000-0005-0000-0000-00006B010000}"/>
    <cellStyle name="_19공구_kn 구룡포~대보간 1_제2회기성내역서(1차+2차공사)_제7회기성내역서(1차+2차공사)~ing_산북하수견적서" xfId="1746" xr:uid="{00000000-0005-0000-0000-00006C010000}"/>
    <cellStyle name="_19공구_kn 구룡포~대보간 1_제2회기성내역서(1차+2차공사)_제7회기성내역서(1차+2차공사)~ing_통일하수내역서" xfId="1747" xr:uid="{00000000-0005-0000-0000-00006D010000}"/>
    <cellStyle name="_19공구_kn 구룡포~대보간 1_제2회기성내역서(1차+2차공사)_통일하수내역서" xfId="1748" xr:uid="{00000000-0005-0000-0000-00006E010000}"/>
    <cellStyle name="_19공구_kn 구룡포~대보간 1_통일하수내역서" xfId="1749" xr:uid="{00000000-0005-0000-0000-00006F010000}"/>
    <cellStyle name="_19공구_병천하수 견적060412" xfId="1750" xr:uid="{00000000-0005-0000-0000-000070010000}"/>
    <cellStyle name="_19공구_사본 - 기성내역서(대경엔텍)" xfId="1751" xr:uid="{00000000-0005-0000-0000-000071010000}"/>
    <cellStyle name="_19공구_사본 - 기성내역서(대경엔텍)_병천하수 견적060412" xfId="1752" xr:uid="{00000000-0005-0000-0000-000072010000}"/>
    <cellStyle name="_19공구_사본 - 기성내역서(대경엔텍)_산북하수견적서" xfId="1753" xr:uid="{00000000-0005-0000-0000-000073010000}"/>
    <cellStyle name="_19공구_사본 - 기성내역서(대경엔텍)_통일하수내역서" xfId="1754" xr:uid="{00000000-0005-0000-0000-000074010000}"/>
    <cellStyle name="_19공구_산북하수견적서" xfId="1755" xr:uid="{00000000-0005-0000-0000-000075010000}"/>
    <cellStyle name="_19공구_안동투찰" xfId="1756" xr:uid="{00000000-0005-0000-0000-000076010000}"/>
    <cellStyle name="_19공구_안동투찰_병천하수 견적060412" xfId="1757" xr:uid="{00000000-0005-0000-0000-000077010000}"/>
    <cellStyle name="_19공구_안동투찰_사본 - 기성내역서(대경엔텍)" xfId="1758" xr:uid="{00000000-0005-0000-0000-000078010000}"/>
    <cellStyle name="_19공구_안동투찰_사본 - 기성내역서(대경엔텍)_병천하수 견적060412" xfId="1759" xr:uid="{00000000-0005-0000-0000-000079010000}"/>
    <cellStyle name="_19공구_안동투찰_사본 - 기성내역서(대경엔텍)_산북하수견적서" xfId="1760" xr:uid="{00000000-0005-0000-0000-00007A010000}"/>
    <cellStyle name="_19공구_안동투찰_사본 - 기성내역서(대경엔텍)_통일하수내역서" xfId="1761" xr:uid="{00000000-0005-0000-0000-00007B010000}"/>
    <cellStyle name="_19공구_안동투찰_산북하수견적서" xfId="1762" xr:uid="{00000000-0005-0000-0000-00007C010000}"/>
    <cellStyle name="_19공구_안동투찰_제1회설계변경내역서(11.15~)update" xfId="1763" xr:uid="{00000000-0005-0000-0000-00007D010000}"/>
    <cellStyle name="_19공구_안동투찰_제2회기성내역서(1차+2차공사)" xfId="1764" xr:uid="{00000000-0005-0000-0000-00007E010000}"/>
    <cellStyle name="_19공구_안동투찰_제2회기성내역서(1차+2차공사)_병천하수 견적060412" xfId="1765" xr:uid="{00000000-0005-0000-0000-00007F010000}"/>
    <cellStyle name="_19공구_안동투찰_제2회기성내역서(1차+2차공사)_산북하수견적서" xfId="1766" xr:uid="{00000000-0005-0000-0000-000080010000}"/>
    <cellStyle name="_19공구_안동투찰_제2회기성내역서(1차+2차공사)_제7회기성내역서(1차+2차공사)~ing" xfId="1767" xr:uid="{00000000-0005-0000-0000-000081010000}"/>
    <cellStyle name="_19공구_안동투찰_제2회기성내역서(1차+2차공사)_제7회기성내역서(1차+2차공사)~ing_병천하수 견적060412" xfId="1768" xr:uid="{00000000-0005-0000-0000-000082010000}"/>
    <cellStyle name="_19공구_안동투찰_제2회기성내역서(1차+2차공사)_제7회기성내역서(1차+2차공사)~ing_산북하수견적서" xfId="1769" xr:uid="{00000000-0005-0000-0000-000083010000}"/>
    <cellStyle name="_19공구_안동투찰_제2회기성내역서(1차+2차공사)_제7회기성내역서(1차+2차공사)~ing_통일하수내역서" xfId="1770" xr:uid="{00000000-0005-0000-0000-000084010000}"/>
    <cellStyle name="_19공구_안동투찰_제2회기성내역서(1차+2차공사)_통일하수내역서" xfId="1771" xr:uid="{00000000-0005-0000-0000-000085010000}"/>
    <cellStyle name="_19공구_안동투찰_통일하수내역서" xfId="1772" xr:uid="{00000000-0005-0000-0000-000086010000}"/>
    <cellStyle name="_19공구_제1회설계변경내역서(11.15~)update" xfId="1773" xr:uid="{00000000-0005-0000-0000-000087010000}"/>
    <cellStyle name="_19공구_제2회기성내역서(1차+2차공사)" xfId="1774" xr:uid="{00000000-0005-0000-0000-000088010000}"/>
    <cellStyle name="_19공구_제2회기성내역서(1차+2차공사)_병천하수 견적060412" xfId="1775" xr:uid="{00000000-0005-0000-0000-000089010000}"/>
    <cellStyle name="_19공구_제2회기성내역서(1차+2차공사)_산북하수견적서" xfId="1776" xr:uid="{00000000-0005-0000-0000-00008A010000}"/>
    <cellStyle name="_19공구_제2회기성내역서(1차+2차공사)_제7회기성내역서(1차+2차공사)~ing" xfId="1777" xr:uid="{00000000-0005-0000-0000-00008B010000}"/>
    <cellStyle name="_19공구_제2회기성내역서(1차+2차공사)_제7회기성내역서(1차+2차공사)~ing_병천하수 견적060412" xfId="1778" xr:uid="{00000000-0005-0000-0000-00008C010000}"/>
    <cellStyle name="_19공구_제2회기성내역서(1차+2차공사)_제7회기성내역서(1차+2차공사)~ing_산북하수견적서" xfId="1779" xr:uid="{00000000-0005-0000-0000-00008D010000}"/>
    <cellStyle name="_19공구_제2회기성내역서(1차+2차공사)_제7회기성내역서(1차+2차공사)~ing_통일하수내역서" xfId="1780" xr:uid="{00000000-0005-0000-0000-00008E010000}"/>
    <cellStyle name="_19공구_제2회기성내역서(1차+2차공사)_통일하수내역서" xfId="1781" xr:uid="{00000000-0005-0000-0000-00008F010000}"/>
    <cellStyle name="_19공구_통리투찰" xfId="1782" xr:uid="{00000000-0005-0000-0000-000090010000}"/>
    <cellStyle name="_19공구_통리투찰_병천하수 견적060412" xfId="1783" xr:uid="{00000000-0005-0000-0000-000091010000}"/>
    <cellStyle name="_19공구_통리투찰_사본 - 기성내역서(대경엔텍)" xfId="1784" xr:uid="{00000000-0005-0000-0000-000092010000}"/>
    <cellStyle name="_19공구_통리투찰_사본 - 기성내역서(대경엔텍)_병천하수 견적060412" xfId="1785" xr:uid="{00000000-0005-0000-0000-000093010000}"/>
    <cellStyle name="_19공구_통리투찰_사본 - 기성내역서(대경엔텍)_산북하수견적서" xfId="1786" xr:uid="{00000000-0005-0000-0000-000094010000}"/>
    <cellStyle name="_19공구_통리투찰_사본 - 기성내역서(대경엔텍)_통일하수내역서" xfId="1787" xr:uid="{00000000-0005-0000-0000-000095010000}"/>
    <cellStyle name="_19공구_통리투찰_산북하수견적서" xfId="1788" xr:uid="{00000000-0005-0000-0000-000096010000}"/>
    <cellStyle name="_19공구_통리투찰_제1회설계변경내역서(11.15~)update" xfId="1789" xr:uid="{00000000-0005-0000-0000-000097010000}"/>
    <cellStyle name="_19공구_통리투찰_제2회기성내역서(1차+2차공사)" xfId="1790" xr:uid="{00000000-0005-0000-0000-000098010000}"/>
    <cellStyle name="_19공구_통리투찰_제2회기성내역서(1차+2차공사)_병천하수 견적060412" xfId="1791" xr:uid="{00000000-0005-0000-0000-000099010000}"/>
    <cellStyle name="_19공구_통리투찰_제2회기성내역서(1차+2차공사)_산북하수견적서" xfId="1792" xr:uid="{00000000-0005-0000-0000-00009A010000}"/>
    <cellStyle name="_19공구_통리투찰_제2회기성내역서(1차+2차공사)_제7회기성내역서(1차+2차공사)~ing" xfId="1793" xr:uid="{00000000-0005-0000-0000-00009B010000}"/>
    <cellStyle name="_19공구_통리투찰_제2회기성내역서(1차+2차공사)_제7회기성내역서(1차+2차공사)~ing_병천하수 견적060412" xfId="1794" xr:uid="{00000000-0005-0000-0000-00009C010000}"/>
    <cellStyle name="_19공구_통리투찰_제2회기성내역서(1차+2차공사)_제7회기성내역서(1차+2차공사)~ing_산북하수견적서" xfId="1795" xr:uid="{00000000-0005-0000-0000-00009D010000}"/>
    <cellStyle name="_19공구_통리투찰_제2회기성내역서(1차+2차공사)_제7회기성내역서(1차+2차공사)~ing_통일하수내역서" xfId="1796" xr:uid="{00000000-0005-0000-0000-00009E010000}"/>
    <cellStyle name="_19공구_통리투찰_제2회기성내역서(1차+2차공사)_통일하수내역서" xfId="1797" xr:uid="{00000000-0005-0000-0000-00009F010000}"/>
    <cellStyle name="_19공구_통리투찰_통일하수내역서" xfId="1798" xr:uid="{00000000-0005-0000-0000-0000A0010000}"/>
    <cellStyle name="_19공구_통일하수내역서" xfId="1799" xr:uid="{00000000-0005-0000-0000-0000A1010000}"/>
    <cellStyle name="_1안(Turnkey)_030127" xfId="4498" xr:uid="{00000000-0005-0000-0000-0000A2010000}"/>
    <cellStyle name="_1안(Turnkey)_030127 2" xfId="7130" xr:uid="{00000000-0005-0000-0000-0000A3010000}"/>
    <cellStyle name="_2.내역서" xfId="4499" xr:uid="{00000000-0005-0000-0000-0000A4010000}"/>
    <cellStyle name="_2.내역서 2" xfId="7131" xr:uid="{00000000-0005-0000-0000-0000A5010000}"/>
    <cellStyle name="_2001년1월소장단회의REV2" xfId="4500" xr:uid="{00000000-0005-0000-0000-0000A6010000}"/>
    <cellStyle name="_2001년1월소장단회의REV2_B-1,B-1-1노선변경실정보고" xfId="4501" xr:uid="{00000000-0005-0000-0000-0000A7010000}"/>
    <cellStyle name="_2001년1월소장단회의REV2_토공계획" xfId="4502" xr:uid="{00000000-0005-0000-0000-0000A8010000}"/>
    <cellStyle name="_2001년1월소장단회의REV2_토공계획_B-1,B-1-1노선변경실정보고" xfId="4503" xr:uid="{00000000-0005-0000-0000-0000A9010000}"/>
    <cellStyle name="_2001년1월소장단회의REV2_토공계획_구조물공사시공계획서" xfId="4504" xr:uid="{00000000-0005-0000-0000-0000AA010000}"/>
    <cellStyle name="_2001년1월소장단회의REV2_토공계획_구조물공사시공계획서_B-1,B-1-1노선변경실정보고" xfId="4505" xr:uid="{00000000-0005-0000-0000-0000AB010000}"/>
    <cellStyle name="_2001년1월소장단회의REV2_토공계획_토공사시공계획서" xfId="4506" xr:uid="{00000000-0005-0000-0000-0000AC010000}"/>
    <cellStyle name="_2001년1월소장단회의REV2_토공계획_토공사시공계획서(포)" xfId="4507" xr:uid="{00000000-0005-0000-0000-0000AD010000}"/>
    <cellStyle name="_2001년1월소장단회의REV2_토공계획_토공사시공계획서(포)_B-1,B-1-1노선변경실정보고" xfId="4508" xr:uid="{00000000-0005-0000-0000-0000AE010000}"/>
    <cellStyle name="_2001년1월소장단회의REV2_토공계획_토공사시공계획서_B-1,B-1-1노선변경실정보고" xfId="4509" xr:uid="{00000000-0005-0000-0000-0000AF010000}"/>
    <cellStyle name="_2001년1월소장단회의REV2_토공시공계획서(효)" xfId="4510" xr:uid="{00000000-0005-0000-0000-0000B0010000}"/>
    <cellStyle name="_2001년1월소장단회의REV2_토공시공계획서(효)_B-1,B-1-1노선변경실정보고" xfId="4511" xr:uid="{00000000-0005-0000-0000-0000B1010000}"/>
    <cellStyle name="_2001년1월소장단회의REV2_토공시공계획서(효)_구조물공사시공계획서" xfId="4512" xr:uid="{00000000-0005-0000-0000-0000B2010000}"/>
    <cellStyle name="_2001년1월소장단회의REV2_토공시공계획서(효)_구조물공사시공계획서_B-1,B-1-1노선변경실정보고" xfId="4513" xr:uid="{00000000-0005-0000-0000-0000B3010000}"/>
    <cellStyle name="_2001년1월소장단회의REV2_토공시공계획서(효)_토공사시공계획서" xfId="4514" xr:uid="{00000000-0005-0000-0000-0000B4010000}"/>
    <cellStyle name="_2001년1월소장단회의REV2_토공시공계획서(효)_토공사시공계획서(포)" xfId="4515" xr:uid="{00000000-0005-0000-0000-0000B5010000}"/>
    <cellStyle name="_2001년1월소장단회의REV2_토공시공계획서(효)_토공사시공계획서(포)_B-1,B-1-1노선변경실정보고" xfId="4516" xr:uid="{00000000-0005-0000-0000-0000B6010000}"/>
    <cellStyle name="_2001년1월소장단회의REV2_토공시공계획서(효)_토공사시공계획서_B-1,B-1-1노선변경실정보고" xfId="4517" xr:uid="{00000000-0005-0000-0000-0000B7010000}"/>
    <cellStyle name="_2001년1월소장회의" xfId="4518" xr:uid="{00000000-0005-0000-0000-0000B8010000}"/>
    <cellStyle name="_2001년1월소장회의_B-1,B-1-1노선변경실정보고" xfId="4519" xr:uid="{00000000-0005-0000-0000-0000B9010000}"/>
    <cellStyle name="_2001년1월소장회의_토공계획" xfId="4520" xr:uid="{00000000-0005-0000-0000-0000BA010000}"/>
    <cellStyle name="_2001년1월소장회의_토공계획_B-1,B-1-1노선변경실정보고" xfId="4521" xr:uid="{00000000-0005-0000-0000-0000BB010000}"/>
    <cellStyle name="_2001년1월소장회의_토공계획_구조물공사시공계획서" xfId="4522" xr:uid="{00000000-0005-0000-0000-0000BC010000}"/>
    <cellStyle name="_2001년1월소장회의_토공계획_구조물공사시공계획서_B-1,B-1-1노선변경실정보고" xfId="4523" xr:uid="{00000000-0005-0000-0000-0000BD010000}"/>
    <cellStyle name="_2001년1월소장회의_토공계획_토공사시공계획서" xfId="4524" xr:uid="{00000000-0005-0000-0000-0000BE010000}"/>
    <cellStyle name="_2001년1월소장회의_토공계획_토공사시공계획서(포)" xfId="4525" xr:uid="{00000000-0005-0000-0000-0000BF010000}"/>
    <cellStyle name="_2001년1월소장회의_토공계획_토공사시공계획서(포)_B-1,B-1-1노선변경실정보고" xfId="4526" xr:uid="{00000000-0005-0000-0000-0000C0010000}"/>
    <cellStyle name="_2001년1월소장회의_토공계획_토공사시공계획서_B-1,B-1-1노선변경실정보고" xfId="4527" xr:uid="{00000000-0005-0000-0000-0000C1010000}"/>
    <cellStyle name="_2001년1월소장회의_토공시공계획서(효)" xfId="4528" xr:uid="{00000000-0005-0000-0000-0000C2010000}"/>
    <cellStyle name="_2001년1월소장회의_토공시공계획서(효)_B-1,B-1-1노선변경실정보고" xfId="4529" xr:uid="{00000000-0005-0000-0000-0000C3010000}"/>
    <cellStyle name="_2001년1월소장회의_토공시공계획서(효)_구조물공사시공계획서" xfId="4530" xr:uid="{00000000-0005-0000-0000-0000C4010000}"/>
    <cellStyle name="_2001년1월소장회의_토공시공계획서(효)_구조물공사시공계획서_B-1,B-1-1노선변경실정보고" xfId="4531" xr:uid="{00000000-0005-0000-0000-0000C5010000}"/>
    <cellStyle name="_2001년1월소장회의_토공시공계획서(효)_토공사시공계획서" xfId="4532" xr:uid="{00000000-0005-0000-0000-0000C6010000}"/>
    <cellStyle name="_2001년1월소장회의_토공시공계획서(효)_토공사시공계획서(포)" xfId="4533" xr:uid="{00000000-0005-0000-0000-0000C7010000}"/>
    <cellStyle name="_2001년1월소장회의_토공시공계획서(효)_토공사시공계획서(포)_B-1,B-1-1노선변경실정보고" xfId="4534" xr:uid="{00000000-0005-0000-0000-0000C8010000}"/>
    <cellStyle name="_2001년1월소장회의_토공시공계획서(효)_토공사시공계획서_B-1,B-1-1노선변경실정보고" xfId="4535" xr:uid="{00000000-0005-0000-0000-0000C9010000}"/>
    <cellStyle name="_2001년만" xfId="142" xr:uid="{00000000-0005-0000-0000-0000CA010000}"/>
    <cellStyle name="_2001년만_(11-6)2001중장기계획(총괄)1" xfId="143" xr:uid="{00000000-0005-0000-0000-0000CB010000}"/>
    <cellStyle name="_2001년만_(11-6)2001중장기계획(총괄)1_가설건축전기산출서" xfId="144" xr:uid="{00000000-0005-0000-0000-0000CC010000}"/>
    <cellStyle name="_2001년만_(11-6)2001중장기계획(총괄)1_가설건축전기산출서_수량산출서(2003.4.1)" xfId="145" xr:uid="{00000000-0005-0000-0000-0000CD010000}"/>
    <cellStyle name="_2001년만_(11-6)2001중장기계획(총괄)1_가설동력수량산출" xfId="146" xr:uid="{00000000-0005-0000-0000-0000CE010000}"/>
    <cellStyle name="_2001년만_(11-6)2001중장기계획(총괄)1_가설동력수량산출_수량산출서(2003.4.1)" xfId="147" xr:uid="{00000000-0005-0000-0000-0000CF010000}"/>
    <cellStyle name="_2001년만_(11-6)2001중장기계획(총괄)1_가설통신수량" xfId="148" xr:uid="{00000000-0005-0000-0000-0000D0010000}"/>
    <cellStyle name="_2001년만_(11-6)2001중장기계획(총괄)1_가설통신수량_수량산출서(2003.4.1)" xfId="149" xr:uid="{00000000-0005-0000-0000-0000D1010000}"/>
    <cellStyle name="_2001년만_(11-6)2001중장기계획(총괄)1_경보국설계서(철관주2003.1.30최종)" xfId="150" xr:uid="{00000000-0005-0000-0000-0000D2010000}"/>
    <cellStyle name="_2001년만_(11-6)2001중장기계획(총괄)1_경보국설계서(철관주2003.1.30최종)_수량산출서(2003.4.1)" xfId="151" xr:uid="{00000000-0005-0000-0000-0000D3010000}"/>
    <cellStyle name="_2001년만_(11-6)2001중장기계획(총괄)1_경보국설계서(철관주2003.1.30최종)_영천댐수량산출" xfId="152" xr:uid="{00000000-0005-0000-0000-0000D4010000}"/>
    <cellStyle name="_2001년만_(11-6)2001중장기계획(총괄)1_경보국설계서(철관주2003.1.30최종)_영천댐수량산출_수량산출서(2003.4.1)" xfId="153" xr:uid="{00000000-0005-0000-0000-0000D5010000}"/>
    <cellStyle name="_2001년만_(11-6)2001중장기계획(총괄)1_광동댐전기내역서-1" xfId="154" xr:uid="{00000000-0005-0000-0000-0000D6010000}"/>
    <cellStyle name="_2001년만_(11-6)2001중장기계획(총괄)1_대곡내역서0329(전기)-기계설비금액확인" xfId="155" xr:uid="{00000000-0005-0000-0000-0000D7010000}"/>
    <cellStyle name="_2001년만_(11-6)2001중장기계획(총괄)1_수량산출서(2003.4.1)" xfId="156" xr:uid="{00000000-0005-0000-0000-0000D8010000}"/>
    <cellStyle name="_2001년만_(11-6)2001중장기계획(총괄)1_영구동력수량산출" xfId="157" xr:uid="{00000000-0005-0000-0000-0000D9010000}"/>
    <cellStyle name="_2001년만_(11-6)2001중장기계획(총괄)1_영구동력수량산출_수량산출서(2003.4.1)" xfId="158" xr:uid="{00000000-0005-0000-0000-0000DA010000}"/>
    <cellStyle name="_2001년만_(11-6)2001중장기계획(총괄)1_영천댐수량산출" xfId="159" xr:uid="{00000000-0005-0000-0000-0000DB010000}"/>
    <cellStyle name="_2001년만_(11-6)2001중장기계획(총괄)1_영천댐수량산출_수량산출서(2003.4.1)" xfId="160" xr:uid="{00000000-0005-0000-0000-0000DC010000}"/>
    <cellStyle name="_2001년만_(11-6)2001중장기계획(총괄)1_영천댐최종(감시및CCTV)" xfId="161" xr:uid="{00000000-0005-0000-0000-0000DD010000}"/>
    <cellStyle name="_2001년만_(11-6)2001중장기계획(총괄)1_영천댐최종(홍수예설비공사)" xfId="162" xr:uid="{00000000-0005-0000-0000-0000DE010000}"/>
    <cellStyle name="_2001년만_(11-6)2001중장기계획(총괄)1_오리지날최종-경보국설계서(철관주2003.2.13) (version 3) (version 1)" xfId="163" xr:uid="{00000000-0005-0000-0000-0000DF010000}"/>
    <cellStyle name="_2001년만_(11-6)2001중장기계획(총괄)1_오리지날최종-경보국설계서(철관주2003.2.13) (version 3) (version 1)_수량산출서(2003.4.1)" xfId="164" xr:uid="{00000000-0005-0000-0000-0000E0010000}"/>
    <cellStyle name="_2001년만_(11-6)2001중장기계획(총괄)1_오리지날최종-경보국설계서(철관주2003.2.6)" xfId="165" xr:uid="{00000000-0005-0000-0000-0000E1010000}"/>
    <cellStyle name="_2001년만_(11-6)2001중장기계획(총괄)1_오리지날최종-경보국설계서(철관주2003.2.6)_수량산출서(2003.4.1)" xfId="166" xr:uid="{00000000-0005-0000-0000-0000E2010000}"/>
    <cellStyle name="_2001년만_(11-6)2001중장기계획(총괄)1_오리지날최종-경보국설계서(철관주2003.2.9) (version 2)" xfId="167" xr:uid="{00000000-0005-0000-0000-0000E3010000}"/>
    <cellStyle name="_2001년만_(11-6)2001중장기계획(총괄)1_오리지날최종-경보국설계서(철관주2003.2.9) (version 2)_수량산출서(2003.4.1)" xfId="168" xr:uid="{00000000-0005-0000-0000-0000E4010000}"/>
    <cellStyle name="_2001년만_(11-6)2001중장기계획(총괄)1_옥곡수량" xfId="169" xr:uid="{00000000-0005-0000-0000-0000E5010000}"/>
    <cellStyle name="_2001년만_(11-6)2001중장기계획(총괄)1_전기-광양3단계(옥곡가압장)" xfId="170" xr:uid="{00000000-0005-0000-0000-0000E6010000}"/>
    <cellStyle name="_2001년만_(11-6)2001중장기계획(총괄)1_전기내역서-광동댐" xfId="171" xr:uid="{00000000-0005-0000-0000-0000E7010000}"/>
    <cellStyle name="_2001년만_(11-6)2001중장기계획(총괄)1_전기및계장-영천댐(03.9.8신설및철거나눔)" xfId="172" xr:uid="{00000000-0005-0000-0000-0000E8010000}"/>
    <cellStyle name="_2001년만_(11-6)2001중장기계획(총괄)1_전기및계장-영천댐(03.9.8신설및철거나눔) (version 1)" xfId="173" xr:uid="{00000000-0005-0000-0000-0000E9010000}"/>
    <cellStyle name="_2001년만_(11-6)2001중장기계획(총괄)1_전기및계장-영천댐취수능력(2003.4.8전기및계장)" xfId="174" xr:uid="{00000000-0005-0000-0000-0000EA010000}"/>
    <cellStyle name="_2001년만_(11-6)2001중장기계획(총괄)1_전기방식" xfId="175" xr:uid="{00000000-0005-0000-0000-0000EB010000}"/>
    <cellStyle name="_2001년만_(11-6)2001중장기계획(총괄)1_전기방식_수량산출서(2003.4.1)" xfId="176" xr:uid="{00000000-0005-0000-0000-0000EC010000}"/>
    <cellStyle name="_2001년만_(11-6)2001중장기계획(총괄)1_전기-영천댐취수능력(2003.2.10) (version 1)" xfId="177" xr:uid="{00000000-0005-0000-0000-0000ED010000}"/>
    <cellStyle name="_2001년만_(11-6)2001중장기계획(총괄)1_전기-영천댐취수능력(2003.2.10) (version 1)_수량산출서(2003.4.1)" xfId="178" xr:uid="{00000000-0005-0000-0000-0000EE010000}"/>
    <cellStyle name="_2001년만_(11-6)2001중장기계획(총괄)1_최종실적(최종)" xfId="179" xr:uid="{00000000-0005-0000-0000-0000EF010000}"/>
    <cellStyle name="_2001년만_(11-6)2001중장기계획(총괄)1_최종실적(최종)_수량산출서(2003.4.1)" xfId="180" xr:uid="{00000000-0005-0000-0000-0000F0010000}"/>
    <cellStyle name="_2001년만_(11-6)2001중장기계획(총괄)1_최종실적(최종)_영천댐수량산출" xfId="181" xr:uid="{00000000-0005-0000-0000-0000F1010000}"/>
    <cellStyle name="_2001년만_(11-6)2001중장기계획(총괄)1_최종실적(최종)_영천댐수량산출_수량산출서(2003.4.1)" xfId="182" xr:uid="{00000000-0005-0000-0000-0000F2010000}"/>
    <cellStyle name="_2001년만_~MF1128" xfId="183" xr:uid="{00000000-0005-0000-0000-0000F3010000}"/>
    <cellStyle name="_2001년만_~MF1128_(11-6)2001중장기계획(총괄)1" xfId="184" xr:uid="{00000000-0005-0000-0000-0000F4010000}"/>
    <cellStyle name="_2001년만_~MF1128_(11-6)2001중장기계획(총괄)1_가설건축전기산출서" xfId="185" xr:uid="{00000000-0005-0000-0000-0000F5010000}"/>
    <cellStyle name="_2001년만_~MF1128_(11-6)2001중장기계획(총괄)1_가설건축전기산출서_수량산출서(2003.4.1)" xfId="186" xr:uid="{00000000-0005-0000-0000-0000F6010000}"/>
    <cellStyle name="_2001년만_~MF1128_(11-6)2001중장기계획(총괄)1_가설동력수량산출" xfId="187" xr:uid="{00000000-0005-0000-0000-0000F7010000}"/>
    <cellStyle name="_2001년만_~MF1128_(11-6)2001중장기계획(총괄)1_가설동력수량산출_수량산출서(2003.4.1)" xfId="188" xr:uid="{00000000-0005-0000-0000-0000F8010000}"/>
    <cellStyle name="_2001년만_~MF1128_(11-6)2001중장기계획(총괄)1_가설통신수량" xfId="189" xr:uid="{00000000-0005-0000-0000-0000F9010000}"/>
    <cellStyle name="_2001년만_~MF1128_(11-6)2001중장기계획(총괄)1_가설통신수량_수량산출서(2003.4.1)" xfId="190" xr:uid="{00000000-0005-0000-0000-0000FA010000}"/>
    <cellStyle name="_2001년만_~MF1128_(11-6)2001중장기계획(총괄)1_경보국설계서(철관주2003.1.30최종)" xfId="191" xr:uid="{00000000-0005-0000-0000-0000FB010000}"/>
    <cellStyle name="_2001년만_~MF1128_(11-6)2001중장기계획(총괄)1_경보국설계서(철관주2003.1.30최종)_수량산출서(2003.4.1)" xfId="192" xr:uid="{00000000-0005-0000-0000-0000FC010000}"/>
    <cellStyle name="_2001년만_~MF1128_(11-6)2001중장기계획(총괄)1_경보국설계서(철관주2003.1.30최종)_영천댐수량산출" xfId="193" xr:uid="{00000000-0005-0000-0000-0000FD010000}"/>
    <cellStyle name="_2001년만_~MF1128_(11-6)2001중장기계획(총괄)1_경보국설계서(철관주2003.1.30최종)_영천댐수량산출_수량산출서(2003.4.1)" xfId="194" xr:uid="{00000000-0005-0000-0000-0000FE010000}"/>
    <cellStyle name="_2001년만_~MF1128_(11-6)2001중장기계획(총괄)1_광동댐전기내역서-1" xfId="195" xr:uid="{00000000-0005-0000-0000-0000FF010000}"/>
    <cellStyle name="_2001년만_~MF1128_(11-6)2001중장기계획(총괄)1_대곡내역서0329(전기)-기계설비금액확인" xfId="196" xr:uid="{00000000-0005-0000-0000-000000020000}"/>
    <cellStyle name="_2001년만_~MF1128_(11-6)2001중장기계획(총괄)1_수량산출서(2003.4.1)" xfId="197" xr:uid="{00000000-0005-0000-0000-000001020000}"/>
    <cellStyle name="_2001년만_~MF1128_(11-6)2001중장기계획(총괄)1_영구동력수량산출" xfId="198" xr:uid="{00000000-0005-0000-0000-000002020000}"/>
    <cellStyle name="_2001년만_~MF1128_(11-6)2001중장기계획(총괄)1_영구동력수량산출_수량산출서(2003.4.1)" xfId="199" xr:uid="{00000000-0005-0000-0000-000003020000}"/>
    <cellStyle name="_2001년만_~MF1128_(11-6)2001중장기계획(총괄)1_영천댐수량산출" xfId="200" xr:uid="{00000000-0005-0000-0000-000004020000}"/>
    <cellStyle name="_2001년만_~MF1128_(11-6)2001중장기계획(총괄)1_영천댐수량산출_수량산출서(2003.4.1)" xfId="201" xr:uid="{00000000-0005-0000-0000-000005020000}"/>
    <cellStyle name="_2001년만_~MF1128_(11-6)2001중장기계획(총괄)1_영천댐최종(감시및CCTV)" xfId="202" xr:uid="{00000000-0005-0000-0000-000006020000}"/>
    <cellStyle name="_2001년만_~MF1128_(11-6)2001중장기계획(총괄)1_영천댐최종(홍수예설비공사)" xfId="203" xr:uid="{00000000-0005-0000-0000-000007020000}"/>
    <cellStyle name="_2001년만_~MF1128_(11-6)2001중장기계획(총괄)1_오리지날최종-경보국설계서(철관주2003.2.13) (version 3) (version 1)" xfId="204" xr:uid="{00000000-0005-0000-0000-000008020000}"/>
    <cellStyle name="_2001년만_~MF1128_(11-6)2001중장기계획(총괄)1_오리지날최종-경보국설계서(철관주2003.2.13) (version 3) (version 1)_수량산출서(2003.4.1)" xfId="205" xr:uid="{00000000-0005-0000-0000-000009020000}"/>
    <cellStyle name="_2001년만_~MF1128_(11-6)2001중장기계획(총괄)1_오리지날최종-경보국설계서(철관주2003.2.6)" xfId="206" xr:uid="{00000000-0005-0000-0000-00000A020000}"/>
    <cellStyle name="_2001년만_~MF1128_(11-6)2001중장기계획(총괄)1_오리지날최종-경보국설계서(철관주2003.2.6)_수량산출서(2003.4.1)" xfId="207" xr:uid="{00000000-0005-0000-0000-00000B020000}"/>
    <cellStyle name="_2001년만_~MF1128_(11-6)2001중장기계획(총괄)1_오리지날최종-경보국설계서(철관주2003.2.9) (version 2)" xfId="208" xr:uid="{00000000-0005-0000-0000-00000C020000}"/>
    <cellStyle name="_2001년만_~MF1128_(11-6)2001중장기계획(총괄)1_오리지날최종-경보국설계서(철관주2003.2.9) (version 2)_수량산출서(2003.4.1)" xfId="209" xr:uid="{00000000-0005-0000-0000-00000D020000}"/>
    <cellStyle name="_2001년만_~MF1128_(11-6)2001중장기계획(총괄)1_옥곡수량" xfId="210" xr:uid="{00000000-0005-0000-0000-00000E020000}"/>
    <cellStyle name="_2001년만_~MF1128_(11-6)2001중장기계획(총괄)1_전기-광양3단계(옥곡가압장)" xfId="211" xr:uid="{00000000-0005-0000-0000-00000F020000}"/>
    <cellStyle name="_2001년만_~MF1128_(11-6)2001중장기계획(총괄)1_전기내역서-광동댐" xfId="212" xr:uid="{00000000-0005-0000-0000-000010020000}"/>
    <cellStyle name="_2001년만_~MF1128_(11-6)2001중장기계획(총괄)1_전기및계장-영천댐(03.9.8신설및철거나눔)" xfId="213" xr:uid="{00000000-0005-0000-0000-000011020000}"/>
    <cellStyle name="_2001년만_~MF1128_(11-6)2001중장기계획(총괄)1_전기및계장-영천댐(03.9.8신설및철거나눔) (version 1)" xfId="214" xr:uid="{00000000-0005-0000-0000-000012020000}"/>
    <cellStyle name="_2001년만_~MF1128_(11-6)2001중장기계획(총괄)1_전기및계장-영천댐취수능력(2003.4.8전기및계장)" xfId="215" xr:uid="{00000000-0005-0000-0000-000013020000}"/>
    <cellStyle name="_2001년만_~MF1128_(11-6)2001중장기계획(총괄)1_전기방식" xfId="216" xr:uid="{00000000-0005-0000-0000-000014020000}"/>
    <cellStyle name="_2001년만_~MF1128_(11-6)2001중장기계획(총괄)1_전기방식_수량산출서(2003.4.1)" xfId="217" xr:uid="{00000000-0005-0000-0000-000015020000}"/>
    <cellStyle name="_2001년만_~MF1128_(11-6)2001중장기계획(총괄)1_전기-영천댐취수능력(2003.2.10) (version 1)" xfId="218" xr:uid="{00000000-0005-0000-0000-000016020000}"/>
    <cellStyle name="_2001년만_~MF1128_(11-6)2001중장기계획(총괄)1_전기-영천댐취수능력(2003.2.10) (version 1)_수량산출서(2003.4.1)" xfId="219" xr:uid="{00000000-0005-0000-0000-000017020000}"/>
    <cellStyle name="_2001년만_~MF1128_(11-6)2001중장기계획(총괄)1_최종실적(최종)" xfId="220" xr:uid="{00000000-0005-0000-0000-000018020000}"/>
    <cellStyle name="_2001년만_~MF1128_(11-6)2001중장기계획(총괄)1_최종실적(최종)_수량산출서(2003.4.1)" xfId="221" xr:uid="{00000000-0005-0000-0000-000019020000}"/>
    <cellStyle name="_2001년만_~MF1128_(11-6)2001중장기계획(총괄)1_최종실적(최종)_영천댐수량산출" xfId="222" xr:uid="{00000000-0005-0000-0000-00001A020000}"/>
    <cellStyle name="_2001년만_~MF1128_(11-6)2001중장기계획(총괄)1_최종실적(최종)_영천댐수량산출_수량산출서(2003.4.1)" xfId="223" xr:uid="{00000000-0005-0000-0000-00001B020000}"/>
    <cellStyle name="_2001년만_~MF1128_~MF2110" xfId="224" xr:uid="{00000000-0005-0000-0000-00001C020000}"/>
    <cellStyle name="_2001년만_~MF1128_~MF2110_가설건축전기산출서" xfId="225" xr:uid="{00000000-0005-0000-0000-00001D020000}"/>
    <cellStyle name="_2001년만_~MF1128_~MF2110_가설건축전기산출서_수량산출서(2003.4.1)" xfId="226" xr:uid="{00000000-0005-0000-0000-00001E020000}"/>
    <cellStyle name="_2001년만_~MF1128_~MF2110_가설동력수량산출" xfId="227" xr:uid="{00000000-0005-0000-0000-00001F020000}"/>
    <cellStyle name="_2001년만_~MF1128_~MF2110_가설동력수량산출_수량산출서(2003.4.1)" xfId="228" xr:uid="{00000000-0005-0000-0000-000020020000}"/>
    <cellStyle name="_2001년만_~MF1128_~MF2110_가설통신수량" xfId="229" xr:uid="{00000000-0005-0000-0000-000021020000}"/>
    <cellStyle name="_2001년만_~MF1128_~MF2110_가설통신수량_수량산출서(2003.4.1)" xfId="230" xr:uid="{00000000-0005-0000-0000-000022020000}"/>
    <cellStyle name="_2001년만_~MF1128_~MF2110_경보국설계서(철관주2003.1.30최종)" xfId="231" xr:uid="{00000000-0005-0000-0000-000023020000}"/>
    <cellStyle name="_2001년만_~MF1128_~MF2110_경보국설계서(철관주2003.1.30최종)_수량산출서(2003.4.1)" xfId="232" xr:uid="{00000000-0005-0000-0000-000024020000}"/>
    <cellStyle name="_2001년만_~MF1128_~MF2110_경보국설계서(철관주2003.1.30최종)_영천댐수량산출" xfId="233" xr:uid="{00000000-0005-0000-0000-000025020000}"/>
    <cellStyle name="_2001년만_~MF1128_~MF2110_경보국설계서(철관주2003.1.30최종)_영천댐수량산출_수량산출서(2003.4.1)" xfId="234" xr:uid="{00000000-0005-0000-0000-000026020000}"/>
    <cellStyle name="_2001년만_~MF1128_~MF2110_광동댐전기내역서-1" xfId="235" xr:uid="{00000000-0005-0000-0000-000027020000}"/>
    <cellStyle name="_2001년만_~MF1128_~MF2110_대곡내역서0329(전기)-기계설비금액확인" xfId="236" xr:uid="{00000000-0005-0000-0000-000028020000}"/>
    <cellStyle name="_2001년만_~MF1128_~MF2110_수량산출서(2003.4.1)" xfId="237" xr:uid="{00000000-0005-0000-0000-000029020000}"/>
    <cellStyle name="_2001년만_~MF1128_~MF2110_영구동력수량산출" xfId="238" xr:uid="{00000000-0005-0000-0000-00002A020000}"/>
    <cellStyle name="_2001년만_~MF1128_~MF2110_영구동력수량산출_수량산출서(2003.4.1)" xfId="239" xr:uid="{00000000-0005-0000-0000-00002B020000}"/>
    <cellStyle name="_2001년만_~MF1128_~MF2110_영천댐수량산출" xfId="240" xr:uid="{00000000-0005-0000-0000-00002C020000}"/>
    <cellStyle name="_2001년만_~MF1128_~MF2110_영천댐수량산출_수량산출서(2003.4.1)" xfId="241" xr:uid="{00000000-0005-0000-0000-00002D020000}"/>
    <cellStyle name="_2001년만_~MF1128_~MF2110_영천댐최종(감시및CCTV)" xfId="242" xr:uid="{00000000-0005-0000-0000-00002E020000}"/>
    <cellStyle name="_2001년만_~MF1128_~MF2110_영천댐최종(홍수예설비공사)" xfId="243" xr:uid="{00000000-0005-0000-0000-00002F020000}"/>
    <cellStyle name="_2001년만_~MF1128_~MF2110_오리지날최종-경보국설계서(철관주2003.2.13) (version 3) (version 1)" xfId="244" xr:uid="{00000000-0005-0000-0000-000030020000}"/>
    <cellStyle name="_2001년만_~MF1128_~MF2110_오리지날최종-경보국설계서(철관주2003.2.13) (version 3) (version 1)_수량산출서(2003.4.1)" xfId="245" xr:uid="{00000000-0005-0000-0000-000031020000}"/>
    <cellStyle name="_2001년만_~MF1128_~MF2110_오리지날최종-경보국설계서(철관주2003.2.6)" xfId="246" xr:uid="{00000000-0005-0000-0000-000032020000}"/>
    <cellStyle name="_2001년만_~MF1128_~MF2110_오리지날최종-경보국설계서(철관주2003.2.6)_수량산출서(2003.4.1)" xfId="247" xr:uid="{00000000-0005-0000-0000-000033020000}"/>
    <cellStyle name="_2001년만_~MF1128_~MF2110_오리지날최종-경보국설계서(철관주2003.2.9) (version 2)" xfId="248" xr:uid="{00000000-0005-0000-0000-000034020000}"/>
    <cellStyle name="_2001년만_~MF1128_~MF2110_오리지날최종-경보국설계서(철관주2003.2.9) (version 2)_수량산출서(2003.4.1)" xfId="249" xr:uid="{00000000-0005-0000-0000-000035020000}"/>
    <cellStyle name="_2001년만_~MF1128_~MF2110_옥곡수량" xfId="250" xr:uid="{00000000-0005-0000-0000-000036020000}"/>
    <cellStyle name="_2001년만_~MF1128_~MF2110_전기-광양3단계(옥곡가압장)" xfId="251" xr:uid="{00000000-0005-0000-0000-000037020000}"/>
    <cellStyle name="_2001년만_~MF1128_~MF2110_전기내역서-광동댐" xfId="252" xr:uid="{00000000-0005-0000-0000-000038020000}"/>
    <cellStyle name="_2001년만_~MF1128_~MF2110_전기및계장-영천댐(03.9.8신설및철거나눔)" xfId="253" xr:uid="{00000000-0005-0000-0000-000039020000}"/>
    <cellStyle name="_2001년만_~MF1128_~MF2110_전기및계장-영천댐(03.9.8신설및철거나눔) (version 1)" xfId="254" xr:uid="{00000000-0005-0000-0000-00003A020000}"/>
    <cellStyle name="_2001년만_~MF1128_~MF2110_전기및계장-영천댐취수능력(2003.4.8전기및계장)" xfId="255" xr:uid="{00000000-0005-0000-0000-00003B020000}"/>
    <cellStyle name="_2001년만_~MF1128_~MF2110_전기방식" xfId="256" xr:uid="{00000000-0005-0000-0000-00003C020000}"/>
    <cellStyle name="_2001년만_~MF1128_~MF2110_전기방식_수량산출서(2003.4.1)" xfId="257" xr:uid="{00000000-0005-0000-0000-00003D020000}"/>
    <cellStyle name="_2001년만_~MF1128_~MF2110_전기-영천댐취수능력(2003.2.10) (version 1)" xfId="258" xr:uid="{00000000-0005-0000-0000-00003E020000}"/>
    <cellStyle name="_2001년만_~MF1128_~MF2110_전기-영천댐취수능력(2003.2.10) (version 1)_수량산출서(2003.4.1)" xfId="259" xr:uid="{00000000-0005-0000-0000-00003F020000}"/>
    <cellStyle name="_2001년만_~MF1128_~MF2110_최종실적(최종)" xfId="260" xr:uid="{00000000-0005-0000-0000-000040020000}"/>
    <cellStyle name="_2001년만_~MF1128_~MF2110_최종실적(최종)_수량산출서(2003.4.1)" xfId="261" xr:uid="{00000000-0005-0000-0000-000041020000}"/>
    <cellStyle name="_2001년만_~MF1128_~MF2110_최종실적(최종)_영천댐수량산출" xfId="262" xr:uid="{00000000-0005-0000-0000-000042020000}"/>
    <cellStyle name="_2001년만_~MF1128_~MF2110_최종실적(최종)_영천댐수량산출_수량산출서(2003.4.1)" xfId="263" xr:uid="{00000000-0005-0000-0000-000043020000}"/>
    <cellStyle name="_2001년만_~MF1128_~MF373C" xfId="264" xr:uid="{00000000-0005-0000-0000-000044020000}"/>
    <cellStyle name="_2001년만_~MF1128_~MF373C_가설건축전기산출서" xfId="265" xr:uid="{00000000-0005-0000-0000-000045020000}"/>
    <cellStyle name="_2001년만_~MF1128_~MF373C_가설건축전기산출서_수량산출서(2003.4.1)" xfId="266" xr:uid="{00000000-0005-0000-0000-000046020000}"/>
    <cellStyle name="_2001년만_~MF1128_~MF373C_가설동력수량산출" xfId="267" xr:uid="{00000000-0005-0000-0000-000047020000}"/>
    <cellStyle name="_2001년만_~MF1128_~MF373C_가설동력수량산출_수량산출서(2003.4.1)" xfId="268" xr:uid="{00000000-0005-0000-0000-000048020000}"/>
    <cellStyle name="_2001년만_~MF1128_~MF373C_가설통신수량" xfId="269" xr:uid="{00000000-0005-0000-0000-000049020000}"/>
    <cellStyle name="_2001년만_~MF1128_~MF373C_가설통신수량_수량산출서(2003.4.1)" xfId="270" xr:uid="{00000000-0005-0000-0000-00004A020000}"/>
    <cellStyle name="_2001년만_~MF1128_~MF373C_경보국설계서(철관주2003.1.30최종)" xfId="271" xr:uid="{00000000-0005-0000-0000-00004B020000}"/>
    <cellStyle name="_2001년만_~MF1128_~MF373C_경보국설계서(철관주2003.1.30최종)_수량산출서(2003.4.1)" xfId="272" xr:uid="{00000000-0005-0000-0000-00004C020000}"/>
    <cellStyle name="_2001년만_~MF1128_~MF373C_경보국설계서(철관주2003.1.30최종)_영천댐수량산출" xfId="273" xr:uid="{00000000-0005-0000-0000-00004D020000}"/>
    <cellStyle name="_2001년만_~MF1128_~MF373C_경보국설계서(철관주2003.1.30최종)_영천댐수량산출_수량산출서(2003.4.1)" xfId="274" xr:uid="{00000000-0005-0000-0000-00004E020000}"/>
    <cellStyle name="_2001년만_~MF1128_~MF373C_광동댐전기내역서-1" xfId="275" xr:uid="{00000000-0005-0000-0000-00004F020000}"/>
    <cellStyle name="_2001년만_~MF1128_~MF373C_대곡내역서0329(전기)-기계설비금액확인" xfId="276" xr:uid="{00000000-0005-0000-0000-000050020000}"/>
    <cellStyle name="_2001년만_~MF1128_~MF373C_수량산출서(2003.4.1)" xfId="277" xr:uid="{00000000-0005-0000-0000-000051020000}"/>
    <cellStyle name="_2001년만_~MF1128_~MF373C_영구동력수량산출" xfId="278" xr:uid="{00000000-0005-0000-0000-000052020000}"/>
    <cellStyle name="_2001년만_~MF1128_~MF373C_영구동력수량산출_수량산출서(2003.4.1)" xfId="279" xr:uid="{00000000-0005-0000-0000-000053020000}"/>
    <cellStyle name="_2001년만_~MF1128_~MF373C_영천댐수량산출" xfId="280" xr:uid="{00000000-0005-0000-0000-000054020000}"/>
    <cellStyle name="_2001년만_~MF1128_~MF373C_영천댐수량산출_수량산출서(2003.4.1)" xfId="281" xr:uid="{00000000-0005-0000-0000-000055020000}"/>
    <cellStyle name="_2001년만_~MF1128_~MF373C_영천댐최종(감시및CCTV)" xfId="282" xr:uid="{00000000-0005-0000-0000-000056020000}"/>
    <cellStyle name="_2001년만_~MF1128_~MF373C_영천댐최종(홍수예설비공사)" xfId="283" xr:uid="{00000000-0005-0000-0000-000057020000}"/>
    <cellStyle name="_2001년만_~MF1128_~MF373C_오리지날최종-경보국설계서(철관주2003.2.13) (version 3) (version 1)" xfId="284" xr:uid="{00000000-0005-0000-0000-000058020000}"/>
    <cellStyle name="_2001년만_~MF1128_~MF373C_오리지날최종-경보국설계서(철관주2003.2.13) (version 3) (version 1)_수량산출서(2003.4.1)" xfId="285" xr:uid="{00000000-0005-0000-0000-000059020000}"/>
    <cellStyle name="_2001년만_~MF1128_~MF373C_오리지날최종-경보국설계서(철관주2003.2.6)" xfId="286" xr:uid="{00000000-0005-0000-0000-00005A020000}"/>
    <cellStyle name="_2001년만_~MF1128_~MF373C_오리지날최종-경보국설계서(철관주2003.2.6)_수량산출서(2003.4.1)" xfId="287" xr:uid="{00000000-0005-0000-0000-00005B020000}"/>
    <cellStyle name="_2001년만_~MF1128_~MF373C_오리지날최종-경보국설계서(철관주2003.2.9) (version 2)" xfId="288" xr:uid="{00000000-0005-0000-0000-00005C020000}"/>
    <cellStyle name="_2001년만_~MF1128_~MF373C_오리지날최종-경보국설계서(철관주2003.2.9) (version 2)_수량산출서(2003.4.1)" xfId="289" xr:uid="{00000000-0005-0000-0000-00005D020000}"/>
    <cellStyle name="_2001년만_~MF1128_~MF373C_옥곡수량" xfId="290" xr:uid="{00000000-0005-0000-0000-00005E020000}"/>
    <cellStyle name="_2001년만_~MF1128_~MF373C_전기-광양3단계(옥곡가압장)" xfId="291" xr:uid="{00000000-0005-0000-0000-00005F020000}"/>
    <cellStyle name="_2001년만_~MF1128_~MF373C_전기내역서-광동댐" xfId="292" xr:uid="{00000000-0005-0000-0000-000060020000}"/>
    <cellStyle name="_2001년만_~MF1128_~MF373C_전기및계장-영천댐(03.9.8신설및철거나눔)" xfId="293" xr:uid="{00000000-0005-0000-0000-000061020000}"/>
    <cellStyle name="_2001년만_~MF1128_~MF373C_전기및계장-영천댐(03.9.8신설및철거나눔) (version 1)" xfId="294" xr:uid="{00000000-0005-0000-0000-000062020000}"/>
    <cellStyle name="_2001년만_~MF1128_~MF373C_전기및계장-영천댐취수능력(2003.4.8전기및계장)" xfId="295" xr:uid="{00000000-0005-0000-0000-000063020000}"/>
    <cellStyle name="_2001년만_~MF1128_~MF373C_전기방식" xfId="296" xr:uid="{00000000-0005-0000-0000-000064020000}"/>
    <cellStyle name="_2001년만_~MF1128_~MF373C_전기방식_수량산출서(2003.4.1)" xfId="297" xr:uid="{00000000-0005-0000-0000-000065020000}"/>
    <cellStyle name="_2001년만_~MF1128_~MF373C_전기-영천댐취수능력(2003.2.10) (version 1)" xfId="298" xr:uid="{00000000-0005-0000-0000-000066020000}"/>
    <cellStyle name="_2001년만_~MF1128_~MF373C_전기-영천댐취수능력(2003.2.10) (version 1)_수량산출서(2003.4.1)" xfId="299" xr:uid="{00000000-0005-0000-0000-000067020000}"/>
    <cellStyle name="_2001년만_~MF1128_~MF373C_최종실적(최종)" xfId="300" xr:uid="{00000000-0005-0000-0000-000068020000}"/>
    <cellStyle name="_2001년만_~MF1128_~MF373C_최종실적(최종)_수량산출서(2003.4.1)" xfId="301" xr:uid="{00000000-0005-0000-0000-000069020000}"/>
    <cellStyle name="_2001년만_~MF1128_~MF373C_최종실적(최종)_영천댐수량산출" xfId="302" xr:uid="{00000000-0005-0000-0000-00006A020000}"/>
    <cellStyle name="_2001년만_~MF1128_~MF373C_최종실적(최종)_영천댐수량산출_수량산출서(2003.4.1)" xfId="303" xr:uid="{00000000-0005-0000-0000-00006B020000}"/>
    <cellStyle name="_2001년만_~MF1128_2001예산배정액 및 내역2" xfId="304" xr:uid="{00000000-0005-0000-0000-00006C020000}"/>
    <cellStyle name="_2001년만_~MF1128_2001예산배정액 및 내역2_가설건축전기산출서" xfId="305" xr:uid="{00000000-0005-0000-0000-00006D020000}"/>
    <cellStyle name="_2001년만_~MF1128_2001예산배정액 및 내역2_가설건축전기산출서_수량산출서(2003.4.1)" xfId="306" xr:uid="{00000000-0005-0000-0000-00006E020000}"/>
    <cellStyle name="_2001년만_~MF1128_2001예산배정액 및 내역2_가설동력수량산출" xfId="307" xr:uid="{00000000-0005-0000-0000-00006F020000}"/>
    <cellStyle name="_2001년만_~MF1128_2001예산배정액 및 내역2_가설동력수량산출_수량산출서(2003.4.1)" xfId="308" xr:uid="{00000000-0005-0000-0000-000070020000}"/>
    <cellStyle name="_2001년만_~MF1128_2001예산배정액 및 내역2_가설통신수량" xfId="309" xr:uid="{00000000-0005-0000-0000-000071020000}"/>
    <cellStyle name="_2001년만_~MF1128_2001예산배정액 및 내역2_가설통신수량_수량산출서(2003.4.1)" xfId="310" xr:uid="{00000000-0005-0000-0000-000072020000}"/>
    <cellStyle name="_2001년만_~MF1128_2001예산배정액 및 내역2_경보국설계서(철관주2003.1.30최종)" xfId="311" xr:uid="{00000000-0005-0000-0000-000073020000}"/>
    <cellStyle name="_2001년만_~MF1128_2001예산배정액 및 내역2_경보국설계서(철관주2003.1.30최종)_수량산출서(2003.4.1)" xfId="312" xr:uid="{00000000-0005-0000-0000-000074020000}"/>
    <cellStyle name="_2001년만_~MF1128_2001예산배정액 및 내역2_경보국설계서(철관주2003.1.30최종)_영천댐수량산출" xfId="313" xr:uid="{00000000-0005-0000-0000-000075020000}"/>
    <cellStyle name="_2001년만_~MF1128_2001예산배정액 및 내역2_경보국설계서(철관주2003.1.30최종)_영천댐수량산출_수량산출서(2003.4.1)" xfId="314" xr:uid="{00000000-0005-0000-0000-000076020000}"/>
    <cellStyle name="_2001년만_~MF1128_2001예산배정액 및 내역2_광동댐전기내역서-1" xfId="315" xr:uid="{00000000-0005-0000-0000-000077020000}"/>
    <cellStyle name="_2001년만_~MF1128_2001예산배정액 및 내역2_대곡내역서0329(전기)-기계설비금액확인" xfId="316" xr:uid="{00000000-0005-0000-0000-000078020000}"/>
    <cellStyle name="_2001년만_~MF1128_2001예산배정액 및 내역2_수량산출서(2003.4.1)" xfId="317" xr:uid="{00000000-0005-0000-0000-000079020000}"/>
    <cellStyle name="_2001년만_~MF1128_2001예산배정액 및 내역2_영구동력수량산출" xfId="318" xr:uid="{00000000-0005-0000-0000-00007A020000}"/>
    <cellStyle name="_2001년만_~MF1128_2001예산배정액 및 내역2_영구동력수량산출_수량산출서(2003.4.1)" xfId="319" xr:uid="{00000000-0005-0000-0000-00007B020000}"/>
    <cellStyle name="_2001년만_~MF1128_2001예산배정액 및 내역2_영천댐수량산출" xfId="320" xr:uid="{00000000-0005-0000-0000-00007C020000}"/>
    <cellStyle name="_2001년만_~MF1128_2001예산배정액 및 내역2_영천댐수량산출_수량산출서(2003.4.1)" xfId="321" xr:uid="{00000000-0005-0000-0000-00007D020000}"/>
    <cellStyle name="_2001년만_~MF1128_2001예산배정액 및 내역2_영천댐최종(감시및CCTV)" xfId="322" xr:uid="{00000000-0005-0000-0000-00007E020000}"/>
    <cellStyle name="_2001년만_~MF1128_2001예산배정액 및 내역2_영천댐최종(홍수예설비공사)" xfId="323" xr:uid="{00000000-0005-0000-0000-00007F020000}"/>
    <cellStyle name="_2001년만_~MF1128_2001예산배정액 및 내역2_오리지날최종-경보국설계서(철관주2003.2.13) (version 3) (version 1)" xfId="324" xr:uid="{00000000-0005-0000-0000-000080020000}"/>
    <cellStyle name="_2001년만_~MF1128_2001예산배정액 및 내역2_오리지날최종-경보국설계서(철관주2003.2.13) (version 3) (version 1)_수량산출서(2003.4.1)" xfId="325" xr:uid="{00000000-0005-0000-0000-000081020000}"/>
    <cellStyle name="_2001년만_~MF1128_2001예산배정액 및 내역2_오리지날최종-경보국설계서(철관주2003.2.6)" xfId="326" xr:uid="{00000000-0005-0000-0000-000082020000}"/>
    <cellStyle name="_2001년만_~MF1128_2001예산배정액 및 내역2_오리지날최종-경보국설계서(철관주2003.2.6)_수량산출서(2003.4.1)" xfId="327" xr:uid="{00000000-0005-0000-0000-000083020000}"/>
    <cellStyle name="_2001년만_~MF1128_2001예산배정액 및 내역2_오리지날최종-경보국설계서(철관주2003.2.9) (version 2)" xfId="328" xr:uid="{00000000-0005-0000-0000-000084020000}"/>
    <cellStyle name="_2001년만_~MF1128_2001예산배정액 및 내역2_오리지날최종-경보국설계서(철관주2003.2.9) (version 2)_수량산출서(2003.4.1)" xfId="329" xr:uid="{00000000-0005-0000-0000-000085020000}"/>
    <cellStyle name="_2001년만_~MF1128_2001예산배정액 및 내역2_옥곡수량" xfId="330" xr:uid="{00000000-0005-0000-0000-000086020000}"/>
    <cellStyle name="_2001년만_~MF1128_2001예산배정액 및 내역2_전기-광양3단계(옥곡가압장)" xfId="331" xr:uid="{00000000-0005-0000-0000-000087020000}"/>
    <cellStyle name="_2001년만_~MF1128_2001예산배정액 및 내역2_전기내역서-광동댐" xfId="332" xr:uid="{00000000-0005-0000-0000-000088020000}"/>
    <cellStyle name="_2001년만_~MF1128_2001예산배정액 및 내역2_전기및계장-영천댐(03.9.8신설및철거나눔)" xfId="333" xr:uid="{00000000-0005-0000-0000-000089020000}"/>
    <cellStyle name="_2001년만_~MF1128_2001예산배정액 및 내역2_전기및계장-영천댐(03.9.8신설및철거나눔) (version 1)" xfId="334" xr:uid="{00000000-0005-0000-0000-00008A020000}"/>
    <cellStyle name="_2001년만_~MF1128_2001예산배정액 및 내역2_전기및계장-영천댐취수능력(2003.4.8전기및계장)" xfId="335" xr:uid="{00000000-0005-0000-0000-00008B020000}"/>
    <cellStyle name="_2001년만_~MF1128_2001예산배정액 및 내역2_전기방식" xfId="336" xr:uid="{00000000-0005-0000-0000-00008C020000}"/>
    <cellStyle name="_2001년만_~MF1128_2001예산배정액 및 내역2_전기방식_수량산출서(2003.4.1)" xfId="337" xr:uid="{00000000-0005-0000-0000-00008D020000}"/>
    <cellStyle name="_2001년만_~MF1128_2001예산배정액 및 내역2_전기-영천댐취수능력(2003.2.10) (version 1)" xfId="338" xr:uid="{00000000-0005-0000-0000-00008E020000}"/>
    <cellStyle name="_2001년만_~MF1128_2001예산배정액 및 내역2_전기-영천댐취수능력(2003.2.10) (version 1)_수량산출서(2003.4.1)" xfId="339" xr:uid="{00000000-0005-0000-0000-00008F020000}"/>
    <cellStyle name="_2001년만_~MF1128_2001예산배정액 및 내역2_최종실적(최종)" xfId="340" xr:uid="{00000000-0005-0000-0000-000090020000}"/>
    <cellStyle name="_2001년만_~MF1128_2001예산배정액 및 내역2_최종실적(최종)_수량산출서(2003.4.1)" xfId="341" xr:uid="{00000000-0005-0000-0000-000091020000}"/>
    <cellStyle name="_2001년만_~MF1128_2001예산배정액 및 내역2_최종실적(최종)_영천댐수량산출" xfId="342" xr:uid="{00000000-0005-0000-0000-000092020000}"/>
    <cellStyle name="_2001년만_~MF1128_2001예산배정액 및 내역2_최종실적(최종)_영천댐수량산출_수량산출서(2003.4.1)" xfId="343" xr:uid="{00000000-0005-0000-0000-000093020000}"/>
    <cellStyle name="_2001년만_~MF1128_가설건축전기산출서" xfId="344" xr:uid="{00000000-0005-0000-0000-000094020000}"/>
    <cellStyle name="_2001년만_~MF1128_가설건축전기산출서_수량산출서(2003.4.1)" xfId="345" xr:uid="{00000000-0005-0000-0000-000095020000}"/>
    <cellStyle name="_2001년만_~MF1128_가설동력수량산출" xfId="346" xr:uid="{00000000-0005-0000-0000-000096020000}"/>
    <cellStyle name="_2001년만_~MF1128_가설동력수량산출_수량산출서(2003.4.1)" xfId="347" xr:uid="{00000000-0005-0000-0000-000097020000}"/>
    <cellStyle name="_2001년만_~MF1128_가설통신수량" xfId="348" xr:uid="{00000000-0005-0000-0000-000098020000}"/>
    <cellStyle name="_2001년만_~MF1128_가설통신수량_수량산출서(2003.4.1)" xfId="349" xr:uid="{00000000-0005-0000-0000-000099020000}"/>
    <cellStyle name="_2001년만_~MF1128_경보국설계서(철관주2003.1.30최종)" xfId="350" xr:uid="{00000000-0005-0000-0000-00009A020000}"/>
    <cellStyle name="_2001년만_~MF1128_경보국설계서(철관주2003.1.30최종)_수량산출서(2003.4.1)" xfId="351" xr:uid="{00000000-0005-0000-0000-00009B020000}"/>
    <cellStyle name="_2001년만_~MF1128_경보국설계서(철관주2003.1.30최종)_영천댐수량산출" xfId="352" xr:uid="{00000000-0005-0000-0000-00009C020000}"/>
    <cellStyle name="_2001년만_~MF1128_경보국설계서(철관주2003.1.30최종)_영천댐수량산출_수량산출서(2003.4.1)" xfId="353" xr:uid="{00000000-0005-0000-0000-00009D020000}"/>
    <cellStyle name="_2001년만_~MF1128_광동댐전기내역서-1" xfId="354" xr:uid="{00000000-0005-0000-0000-00009E020000}"/>
    <cellStyle name="_2001년만_~MF1128_대곡내역서0329(전기)-기계설비금액확인" xfId="355" xr:uid="{00000000-0005-0000-0000-00009F020000}"/>
    <cellStyle name="_2001년만_~MF1128_수량산출서(2003.4.1)" xfId="356" xr:uid="{00000000-0005-0000-0000-0000A0020000}"/>
    <cellStyle name="_2001년만_~MF1128_영구동력수량산출" xfId="357" xr:uid="{00000000-0005-0000-0000-0000A1020000}"/>
    <cellStyle name="_2001년만_~MF1128_영구동력수량산출_수량산출서(2003.4.1)" xfId="358" xr:uid="{00000000-0005-0000-0000-0000A2020000}"/>
    <cellStyle name="_2001년만_~MF1128_영천댐수량산출" xfId="359" xr:uid="{00000000-0005-0000-0000-0000A3020000}"/>
    <cellStyle name="_2001년만_~MF1128_영천댐수량산출_수량산출서(2003.4.1)" xfId="360" xr:uid="{00000000-0005-0000-0000-0000A4020000}"/>
    <cellStyle name="_2001년만_~MF1128_영천댐최종(감시및CCTV)" xfId="361" xr:uid="{00000000-0005-0000-0000-0000A5020000}"/>
    <cellStyle name="_2001년만_~MF1128_영천댐최종(홍수예설비공사)" xfId="362" xr:uid="{00000000-0005-0000-0000-0000A6020000}"/>
    <cellStyle name="_2001년만_~MF1128_오리지날최종-경보국설계서(철관주2003.2.13) (version 3) (version 1)" xfId="363" xr:uid="{00000000-0005-0000-0000-0000A7020000}"/>
    <cellStyle name="_2001년만_~MF1128_오리지날최종-경보국설계서(철관주2003.2.13) (version 3) (version 1)_수량산출서(2003.4.1)" xfId="364" xr:uid="{00000000-0005-0000-0000-0000A8020000}"/>
    <cellStyle name="_2001년만_~MF1128_오리지날최종-경보국설계서(철관주2003.2.6)" xfId="365" xr:uid="{00000000-0005-0000-0000-0000A9020000}"/>
    <cellStyle name="_2001년만_~MF1128_오리지날최종-경보국설계서(철관주2003.2.6)_수량산출서(2003.4.1)" xfId="366" xr:uid="{00000000-0005-0000-0000-0000AA020000}"/>
    <cellStyle name="_2001년만_~MF1128_오리지날최종-경보국설계서(철관주2003.2.9) (version 2)" xfId="367" xr:uid="{00000000-0005-0000-0000-0000AB020000}"/>
    <cellStyle name="_2001년만_~MF1128_오리지날최종-경보국설계서(철관주2003.2.9) (version 2)_수량산출서(2003.4.1)" xfId="368" xr:uid="{00000000-0005-0000-0000-0000AC020000}"/>
    <cellStyle name="_2001년만_~MF1128_옥곡수량" xfId="369" xr:uid="{00000000-0005-0000-0000-0000AD020000}"/>
    <cellStyle name="_2001년만_~MF1128_전기-광양3단계(옥곡가압장)" xfId="370" xr:uid="{00000000-0005-0000-0000-0000AE020000}"/>
    <cellStyle name="_2001년만_~MF1128_전기내역서-광동댐" xfId="371" xr:uid="{00000000-0005-0000-0000-0000AF020000}"/>
    <cellStyle name="_2001년만_~MF1128_전기및계장-영천댐(03.9.8신설및철거나눔)" xfId="372" xr:uid="{00000000-0005-0000-0000-0000B0020000}"/>
    <cellStyle name="_2001년만_~MF1128_전기및계장-영천댐(03.9.8신설및철거나눔) (version 1)" xfId="373" xr:uid="{00000000-0005-0000-0000-0000B1020000}"/>
    <cellStyle name="_2001년만_~MF1128_전기및계장-영천댐취수능력(2003.4.8전기및계장)" xfId="374" xr:uid="{00000000-0005-0000-0000-0000B2020000}"/>
    <cellStyle name="_2001년만_~MF1128_전기방식" xfId="375" xr:uid="{00000000-0005-0000-0000-0000B3020000}"/>
    <cellStyle name="_2001년만_~MF1128_전기방식_수량산출서(2003.4.1)" xfId="376" xr:uid="{00000000-0005-0000-0000-0000B4020000}"/>
    <cellStyle name="_2001년만_~MF1128_전기-영천댐취수능력(2003.2.10) (version 1)" xfId="377" xr:uid="{00000000-0005-0000-0000-0000B5020000}"/>
    <cellStyle name="_2001년만_~MF1128_전기-영천댐취수능력(2003.2.10) (version 1)_수량산출서(2003.4.1)" xfId="378" xr:uid="{00000000-0005-0000-0000-0000B6020000}"/>
    <cellStyle name="_2001년만_~MF1128_최종실적(최종)" xfId="379" xr:uid="{00000000-0005-0000-0000-0000B7020000}"/>
    <cellStyle name="_2001년만_~MF1128_최종실적(최종)_수량산출서(2003.4.1)" xfId="380" xr:uid="{00000000-0005-0000-0000-0000B8020000}"/>
    <cellStyle name="_2001년만_~MF1128_최종실적(최종)_영천댐수량산출" xfId="381" xr:uid="{00000000-0005-0000-0000-0000B9020000}"/>
    <cellStyle name="_2001년만_~MF1128_최종실적(최종)_영천댐수량산출_수량산출서(2003.4.1)" xfId="382" xr:uid="{00000000-0005-0000-0000-0000BA020000}"/>
    <cellStyle name="_2001년만_~MF2110" xfId="383" xr:uid="{00000000-0005-0000-0000-0000BB020000}"/>
    <cellStyle name="_2001년만_~MF2110_가설건축전기산출서" xfId="384" xr:uid="{00000000-0005-0000-0000-0000BC020000}"/>
    <cellStyle name="_2001년만_~MF2110_가설건축전기산출서_수량산출서(2003.4.1)" xfId="385" xr:uid="{00000000-0005-0000-0000-0000BD020000}"/>
    <cellStyle name="_2001년만_~MF2110_가설동력수량산출" xfId="386" xr:uid="{00000000-0005-0000-0000-0000BE020000}"/>
    <cellStyle name="_2001년만_~MF2110_가설동력수량산출_수량산출서(2003.4.1)" xfId="387" xr:uid="{00000000-0005-0000-0000-0000BF020000}"/>
    <cellStyle name="_2001년만_~MF2110_가설통신수량" xfId="388" xr:uid="{00000000-0005-0000-0000-0000C0020000}"/>
    <cellStyle name="_2001년만_~MF2110_가설통신수량_수량산출서(2003.4.1)" xfId="389" xr:uid="{00000000-0005-0000-0000-0000C1020000}"/>
    <cellStyle name="_2001년만_~MF2110_경보국설계서(철관주2003.1.30최종)" xfId="390" xr:uid="{00000000-0005-0000-0000-0000C2020000}"/>
    <cellStyle name="_2001년만_~MF2110_경보국설계서(철관주2003.1.30최종)_수량산출서(2003.4.1)" xfId="391" xr:uid="{00000000-0005-0000-0000-0000C3020000}"/>
    <cellStyle name="_2001년만_~MF2110_경보국설계서(철관주2003.1.30최종)_영천댐수량산출" xfId="392" xr:uid="{00000000-0005-0000-0000-0000C4020000}"/>
    <cellStyle name="_2001년만_~MF2110_경보국설계서(철관주2003.1.30최종)_영천댐수량산출_수량산출서(2003.4.1)" xfId="393" xr:uid="{00000000-0005-0000-0000-0000C5020000}"/>
    <cellStyle name="_2001년만_~MF2110_광동댐전기내역서-1" xfId="394" xr:uid="{00000000-0005-0000-0000-0000C6020000}"/>
    <cellStyle name="_2001년만_~MF2110_대곡내역서0329(전기)-기계설비금액확인" xfId="395" xr:uid="{00000000-0005-0000-0000-0000C7020000}"/>
    <cellStyle name="_2001년만_~MF2110_수량산출서(2003.4.1)" xfId="396" xr:uid="{00000000-0005-0000-0000-0000C8020000}"/>
    <cellStyle name="_2001년만_~MF2110_영구동력수량산출" xfId="397" xr:uid="{00000000-0005-0000-0000-0000C9020000}"/>
    <cellStyle name="_2001년만_~MF2110_영구동력수량산출_수량산출서(2003.4.1)" xfId="398" xr:uid="{00000000-0005-0000-0000-0000CA020000}"/>
    <cellStyle name="_2001년만_~MF2110_영천댐수량산출" xfId="399" xr:uid="{00000000-0005-0000-0000-0000CB020000}"/>
    <cellStyle name="_2001년만_~MF2110_영천댐수량산출_수량산출서(2003.4.1)" xfId="400" xr:uid="{00000000-0005-0000-0000-0000CC020000}"/>
    <cellStyle name="_2001년만_~MF2110_영천댐최종(감시및CCTV)" xfId="401" xr:uid="{00000000-0005-0000-0000-0000CD020000}"/>
    <cellStyle name="_2001년만_~MF2110_영천댐최종(홍수예설비공사)" xfId="402" xr:uid="{00000000-0005-0000-0000-0000CE020000}"/>
    <cellStyle name="_2001년만_~MF2110_오리지날최종-경보국설계서(철관주2003.2.13) (version 3) (version 1)" xfId="403" xr:uid="{00000000-0005-0000-0000-0000CF020000}"/>
    <cellStyle name="_2001년만_~MF2110_오리지날최종-경보국설계서(철관주2003.2.13) (version 3) (version 1)_수량산출서(2003.4.1)" xfId="404" xr:uid="{00000000-0005-0000-0000-0000D0020000}"/>
    <cellStyle name="_2001년만_~MF2110_오리지날최종-경보국설계서(철관주2003.2.6)" xfId="405" xr:uid="{00000000-0005-0000-0000-0000D1020000}"/>
    <cellStyle name="_2001년만_~MF2110_오리지날최종-경보국설계서(철관주2003.2.6)_수량산출서(2003.4.1)" xfId="406" xr:uid="{00000000-0005-0000-0000-0000D2020000}"/>
    <cellStyle name="_2001년만_~MF2110_오리지날최종-경보국설계서(철관주2003.2.9) (version 2)" xfId="407" xr:uid="{00000000-0005-0000-0000-0000D3020000}"/>
    <cellStyle name="_2001년만_~MF2110_오리지날최종-경보국설계서(철관주2003.2.9) (version 2)_수량산출서(2003.4.1)" xfId="408" xr:uid="{00000000-0005-0000-0000-0000D4020000}"/>
    <cellStyle name="_2001년만_~MF2110_옥곡수량" xfId="409" xr:uid="{00000000-0005-0000-0000-0000D5020000}"/>
    <cellStyle name="_2001년만_~MF2110_전기-광양3단계(옥곡가압장)" xfId="410" xr:uid="{00000000-0005-0000-0000-0000D6020000}"/>
    <cellStyle name="_2001년만_~MF2110_전기내역서-광동댐" xfId="411" xr:uid="{00000000-0005-0000-0000-0000D7020000}"/>
    <cellStyle name="_2001년만_~MF2110_전기및계장-영천댐(03.9.8신설및철거나눔)" xfId="412" xr:uid="{00000000-0005-0000-0000-0000D8020000}"/>
    <cellStyle name="_2001년만_~MF2110_전기및계장-영천댐(03.9.8신설및철거나눔) (version 1)" xfId="413" xr:uid="{00000000-0005-0000-0000-0000D9020000}"/>
    <cellStyle name="_2001년만_~MF2110_전기및계장-영천댐취수능력(2003.4.8전기및계장)" xfId="414" xr:uid="{00000000-0005-0000-0000-0000DA020000}"/>
    <cellStyle name="_2001년만_~MF2110_전기방식" xfId="415" xr:uid="{00000000-0005-0000-0000-0000DB020000}"/>
    <cellStyle name="_2001년만_~MF2110_전기방식_수량산출서(2003.4.1)" xfId="416" xr:uid="{00000000-0005-0000-0000-0000DC020000}"/>
    <cellStyle name="_2001년만_~MF2110_전기-영천댐취수능력(2003.2.10) (version 1)" xfId="417" xr:uid="{00000000-0005-0000-0000-0000DD020000}"/>
    <cellStyle name="_2001년만_~MF2110_전기-영천댐취수능력(2003.2.10) (version 1)_수량산출서(2003.4.1)" xfId="418" xr:uid="{00000000-0005-0000-0000-0000DE020000}"/>
    <cellStyle name="_2001년만_~MF2110_최종실적(최종)" xfId="419" xr:uid="{00000000-0005-0000-0000-0000DF020000}"/>
    <cellStyle name="_2001년만_~MF2110_최종실적(최종)_수량산출서(2003.4.1)" xfId="420" xr:uid="{00000000-0005-0000-0000-0000E0020000}"/>
    <cellStyle name="_2001년만_~MF2110_최종실적(최종)_영천댐수량산출" xfId="421" xr:uid="{00000000-0005-0000-0000-0000E1020000}"/>
    <cellStyle name="_2001년만_~MF2110_최종실적(최종)_영천댐수량산출_수량산출서(2003.4.1)" xfId="422" xr:uid="{00000000-0005-0000-0000-0000E2020000}"/>
    <cellStyle name="_2001년만_~MF373C" xfId="423" xr:uid="{00000000-0005-0000-0000-0000E3020000}"/>
    <cellStyle name="_2001년만_~MF373C_가설건축전기산출서" xfId="424" xr:uid="{00000000-0005-0000-0000-0000E4020000}"/>
    <cellStyle name="_2001년만_~MF373C_가설건축전기산출서_수량산출서(2003.4.1)" xfId="425" xr:uid="{00000000-0005-0000-0000-0000E5020000}"/>
    <cellStyle name="_2001년만_~MF373C_가설동력수량산출" xfId="426" xr:uid="{00000000-0005-0000-0000-0000E6020000}"/>
    <cellStyle name="_2001년만_~MF373C_가설동력수량산출_수량산출서(2003.4.1)" xfId="427" xr:uid="{00000000-0005-0000-0000-0000E7020000}"/>
    <cellStyle name="_2001년만_~MF373C_가설통신수량" xfId="428" xr:uid="{00000000-0005-0000-0000-0000E8020000}"/>
    <cellStyle name="_2001년만_~MF373C_가설통신수량_수량산출서(2003.4.1)" xfId="429" xr:uid="{00000000-0005-0000-0000-0000E9020000}"/>
    <cellStyle name="_2001년만_~MF373C_경보국설계서(철관주2003.1.30최종)" xfId="430" xr:uid="{00000000-0005-0000-0000-0000EA020000}"/>
    <cellStyle name="_2001년만_~MF373C_경보국설계서(철관주2003.1.30최종)_수량산출서(2003.4.1)" xfId="431" xr:uid="{00000000-0005-0000-0000-0000EB020000}"/>
    <cellStyle name="_2001년만_~MF373C_경보국설계서(철관주2003.1.30최종)_영천댐수량산출" xfId="432" xr:uid="{00000000-0005-0000-0000-0000EC020000}"/>
    <cellStyle name="_2001년만_~MF373C_경보국설계서(철관주2003.1.30최종)_영천댐수량산출_수량산출서(2003.4.1)" xfId="433" xr:uid="{00000000-0005-0000-0000-0000ED020000}"/>
    <cellStyle name="_2001년만_~MF373C_광동댐전기내역서-1" xfId="434" xr:uid="{00000000-0005-0000-0000-0000EE020000}"/>
    <cellStyle name="_2001년만_~MF373C_대곡내역서0329(전기)-기계설비금액확인" xfId="435" xr:uid="{00000000-0005-0000-0000-0000EF020000}"/>
    <cellStyle name="_2001년만_~MF373C_수량산출서(2003.4.1)" xfId="436" xr:uid="{00000000-0005-0000-0000-0000F0020000}"/>
    <cellStyle name="_2001년만_~MF373C_영구동력수량산출" xfId="437" xr:uid="{00000000-0005-0000-0000-0000F1020000}"/>
    <cellStyle name="_2001년만_~MF373C_영구동력수량산출_수량산출서(2003.4.1)" xfId="438" xr:uid="{00000000-0005-0000-0000-0000F2020000}"/>
    <cellStyle name="_2001년만_~MF373C_영천댐수량산출" xfId="439" xr:uid="{00000000-0005-0000-0000-0000F3020000}"/>
    <cellStyle name="_2001년만_~MF373C_영천댐수량산출_수량산출서(2003.4.1)" xfId="440" xr:uid="{00000000-0005-0000-0000-0000F4020000}"/>
    <cellStyle name="_2001년만_~MF373C_영천댐최종(감시및CCTV)" xfId="441" xr:uid="{00000000-0005-0000-0000-0000F5020000}"/>
    <cellStyle name="_2001년만_~MF373C_영천댐최종(홍수예설비공사)" xfId="442" xr:uid="{00000000-0005-0000-0000-0000F6020000}"/>
    <cellStyle name="_2001년만_~MF373C_오리지날최종-경보국설계서(철관주2003.2.13) (version 3) (version 1)" xfId="443" xr:uid="{00000000-0005-0000-0000-0000F7020000}"/>
    <cellStyle name="_2001년만_~MF373C_오리지날최종-경보국설계서(철관주2003.2.13) (version 3) (version 1)_수량산출서(2003.4.1)" xfId="444" xr:uid="{00000000-0005-0000-0000-0000F8020000}"/>
    <cellStyle name="_2001년만_~MF373C_오리지날최종-경보국설계서(철관주2003.2.6)" xfId="445" xr:uid="{00000000-0005-0000-0000-0000F9020000}"/>
    <cellStyle name="_2001년만_~MF373C_오리지날최종-경보국설계서(철관주2003.2.6)_수량산출서(2003.4.1)" xfId="446" xr:uid="{00000000-0005-0000-0000-0000FA020000}"/>
    <cellStyle name="_2001년만_~MF373C_오리지날최종-경보국설계서(철관주2003.2.9) (version 2)" xfId="447" xr:uid="{00000000-0005-0000-0000-0000FB020000}"/>
    <cellStyle name="_2001년만_~MF373C_오리지날최종-경보국설계서(철관주2003.2.9) (version 2)_수량산출서(2003.4.1)" xfId="448" xr:uid="{00000000-0005-0000-0000-0000FC020000}"/>
    <cellStyle name="_2001년만_~MF373C_옥곡수량" xfId="449" xr:uid="{00000000-0005-0000-0000-0000FD020000}"/>
    <cellStyle name="_2001년만_~MF373C_전기-광양3단계(옥곡가압장)" xfId="450" xr:uid="{00000000-0005-0000-0000-0000FE020000}"/>
    <cellStyle name="_2001년만_~MF373C_전기내역서-광동댐" xfId="451" xr:uid="{00000000-0005-0000-0000-0000FF020000}"/>
    <cellStyle name="_2001년만_~MF373C_전기및계장-영천댐(03.9.8신설및철거나눔)" xfId="452" xr:uid="{00000000-0005-0000-0000-000000030000}"/>
    <cellStyle name="_2001년만_~MF373C_전기및계장-영천댐(03.9.8신설및철거나눔) (version 1)" xfId="453" xr:uid="{00000000-0005-0000-0000-000001030000}"/>
    <cellStyle name="_2001년만_~MF373C_전기및계장-영천댐취수능력(2003.4.8전기및계장)" xfId="454" xr:uid="{00000000-0005-0000-0000-000002030000}"/>
    <cellStyle name="_2001년만_~MF373C_전기방식" xfId="455" xr:uid="{00000000-0005-0000-0000-000003030000}"/>
    <cellStyle name="_2001년만_~MF373C_전기방식_수량산출서(2003.4.1)" xfId="456" xr:uid="{00000000-0005-0000-0000-000004030000}"/>
    <cellStyle name="_2001년만_~MF373C_전기-영천댐취수능력(2003.2.10) (version 1)" xfId="457" xr:uid="{00000000-0005-0000-0000-000005030000}"/>
    <cellStyle name="_2001년만_~MF373C_전기-영천댐취수능력(2003.2.10) (version 1)_수량산출서(2003.4.1)" xfId="458" xr:uid="{00000000-0005-0000-0000-000006030000}"/>
    <cellStyle name="_2001년만_~MF373C_최종실적(최종)" xfId="459" xr:uid="{00000000-0005-0000-0000-000007030000}"/>
    <cellStyle name="_2001년만_~MF373C_최종실적(최종)_수량산출서(2003.4.1)" xfId="460" xr:uid="{00000000-0005-0000-0000-000008030000}"/>
    <cellStyle name="_2001년만_~MF373C_최종실적(최종)_영천댐수량산출" xfId="461" xr:uid="{00000000-0005-0000-0000-000009030000}"/>
    <cellStyle name="_2001년만_~MF373C_최종실적(최종)_영천댐수량산출_수량산출서(2003.4.1)" xfId="462" xr:uid="{00000000-0005-0000-0000-00000A030000}"/>
    <cellStyle name="_2001년만_2001예산배정액 및 내역2" xfId="463" xr:uid="{00000000-0005-0000-0000-00000B030000}"/>
    <cellStyle name="_2001년만_2001예산배정액 및 내역2_가설건축전기산출서" xfId="464" xr:uid="{00000000-0005-0000-0000-00000C030000}"/>
    <cellStyle name="_2001년만_2001예산배정액 및 내역2_가설건축전기산출서_수량산출서(2003.4.1)" xfId="465" xr:uid="{00000000-0005-0000-0000-00000D030000}"/>
    <cellStyle name="_2001년만_2001예산배정액 및 내역2_가설동력수량산출" xfId="466" xr:uid="{00000000-0005-0000-0000-00000E030000}"/>
    <cellStyle name="_2001년만_2001예산배정액 및 내역2_가설동력수량산출_수량산출서(2003.4.1)" xfId="467" xr:uid="{00000000-0005-0000-0000-00000F030000}"/>
    <cellStyle name="_2001년만_2001예산배정액 및 내역2_가설통신수량" xfId="468" xr:uid="{00000000-0005-0000-0000-000010030000}"/>
    <cellStyle name="_2001년만_2001예산배정액 및 내역2_가설통신수량_수량산출서(2003.4.1)" xfId="469" xr:uid="{00000000-0005-0000-0000-000011030000}"/>
    <cellStyle name="_2001년만_2001예산배정액 및 내역2_경보국설계서(철관주2003.1.30최종)" xfId="470" xr:uid="{00000000-0005-0000-0000-000012030000}"/>
    <cellStyle name="_2001년만_2001예산배정액 및 내역2_경보국설계서(철관주2003.1.30최종)_수량산출서(2003.4.1)" xfId="471" xr:uid="{00000000-0005-0000-0000-000013030000}"/>
    <cellStyle name="_2001년만_2001예산배정액 및 내역2_경보국설계서(철관주2003.1.30최종)_영천댐수량산출" xfId="472" xr:uid="{00000000-0005-0000-0000-000014030000}"/>
    <cellStyle name="_2001년만_2001예산배정액 및 내역2_경보국설계서(철관주2003.1.30최종)_영천댐수량산출_수량산출서(2003.4.1)" xfId="473" xr:uid="{00000000-0005-0000-0000-000015030000}"/>
    <cellStyle name="_2001년만_2001예산배정액 및 내역2_광동댐전기내역서-1" xfId="474" xr:uid="{00000000-0005-0000-0000-000016030000}"/>
    <cellStyle name="_2001년만_2001예산배정액 및 내역2_대곡내역서0329(전기)-기계설비금액확인" xfId="475" xr:uid="{00000000-0005-0000-0000-000017030000}"/>
    <cellStyle name="_2001년만_2001예산배정액 및 내역2_수량산출서(2003.4.1)" xfId="476" xr:uid="{00000000-0005-0000-0000-000018030000}"/>
    <cellStyle name="_2001년만_2001예산배정액 및 내역2_영구동력수량산출" xfId="477" xr:uid="{00000000-0005-0000-0000-000019030000}"/>
    <cellStyle name="_2001년만_2001예산배정액 및 내역2_영구동력수량산출_수량산출서(2003.4.1)" xfId="478" xr:uid="{00000000-0005-0000-0000-00001A030000}"/>
    <cellStyle name="_2001년만_2001예산배정액 및 내역2_영천댐수량산출" xfId="479" xr:uid="{00000000-0005-0000-0000-00001B030000}"/>
    <cellStyle name="_2001년만_2001예산배정액 및 내역2_영천댐수량산출_수량산출서(2003.4.1)" xfId="480" xr:uid="{00000000-0005-0000-0000-00001C030000}"/>
    <cellStyle name="_2001년만_2001예산배정액 및 내역2_영천댐최종(감시및CCTV)" xfId="481" xr:uid="{00000000-0005-0000-0000-00001D030000}"/>
    <cellStyle name="_2001년만_2001예산배정액 및 내역2_영천댐최종(홍수예설비공사)" xfId="482" xr:uid="{00000000-0005-0000-0000-00001E030000}"/>
    <cellStyle name="_2001년만_2001예산배정액 및 내역2_오리지날최종-경보국설계서(철관주2003.2.13) (version 3) (version 1)" xfId="483" xr:uid="{00000000-0005-0000-0000-00001F030000}"/>
    <cellStyle name="_2001년만_2001예산배정액 및 내역2_오리지날최종-경보국설계서(철관주2003.2.13) (version 3) (version 1)_수량산출서(2003.4.1)" xfId="484" xr:uid="{00000000-0005-0000-0000-000020030000}"/>
    <cellStyle name="_2001년만_2001예산배정액 및 내역2_오리지날최종-경보국설계서(철관주2003.2.6)" xfId="485" xr:uid="{00000000-0005-0000-0000-000021030000}"/>
    <cellStyle name="_2001년만_2001예산배정액 및 내역2_오리지날최종-경보국설계서(철관주2003.2.6)_수량산출서(2003.4.1)" xfId="486" xr:uid="{00000000-0005-0000-0000-000022030000}"/>
    <cellStyle name="_2001년만_2001예산배정액 및 내역2_오리지날최종-경보국설계서(철관주2003.2.9) (version 2)" xfId="487" xr:uid="{00000000-0005-0000-0000-000023030000}"/>
    <cellStyle name="_2001년만_2001예산배정액 및 내역2_오리지날최종-경보국설계서(철관주2003.2.9) (version 2)_수량산출서(2003.4.1)" xfId="488" xr:uid="{00000000-0005-0000-0000-000024030000}"/>
    <cellStyle name="_2001년만_2001예산배정액 및 내역2_옥곡수량" xfId="489" xr:uid="{00000000-0005-0000-0000-000025030000}"/>
    <cellStyle name="_2001년만_2001예산배정액 및 내역2_전기-광양3단계(옥곡가압장)" xfId="490" xr:uid="{00000000-0005-0000-0000-000026030000}"/>
    <cellStyle name="_2001년만_2001예산배정액 및 내역2_전기내역서-광동댐" xfId="491" xr:uid="{00000000-0005-0000-0000-000027030000}"/>
    <cellStyle name="_2001년만_2001예산배정액 및 내역2_전기및계장-영천댐(03.9.8신설및철거나눔)" xfId="492" xr:uid="{00000000-0005-0000-0000-000028030000}"/>
    <cellStyle name="_2001년만_2001예산배정액 및 내역2_전기및계장-영천댐(03.9.8신설및철거나눔) (version 1)" xfId="493" xr:uid="{00000000-0005-0000-0000-000029030000}"/>
    <cellStyle name="_2001년만_2001예산배정액 및 내역2_전기및계장-영천댐취수능력(2003.4.8전기및계장)" xfId="494" xr:uid="{00000000-0005-0000-0000-00002A030000}"/>
    <cellStyle name="_2001년만_2001예산배정액 및 내역2_전기방식" xfId="495" xr:uid="{00000000-0005-0000-0000-00002B030000}"/>
    <cellStyle name="_2001년만_2001예산배정액 및 내역2_전기방식_수량산출서(2003.4.1)" xfId="496" xr:uid="{00000000-0005-0000-0000-00002C030000}"/>
    <cellStyle name="_2001년만_2001예산배정액 및 내역2_전기-영천댐취수능력(2003.2.10) (version 1)" xfId="497" xr:uid="{00000000-0005-0000-0000-00002D030000}"/>
    <cellStyle name="_2001년만_2001예산배정액 및 내역2_전기-영천댐취수능력(2003.2.10) (version 1)_수량산출서(2003.4.1)" xfId="498" xr:uid="{00000000-0005-0000-0000-00002E030000}"/>
    <cellStyle name="_2001년만_2001예산배정액 및 내역2_최종실적(최종)" xfId="499" xr:uid="{00000000-0005-0000-0000-00002F030000}"/>
    <cellStyle name="_2001년만_2001예산배정액 및 내역2_최종실적(최종)_수량산출서(2003.4.1)" xfId="500" xr:uid="{00000000-0005-0000-0000-000030030000}"/>
    <cellStyle name="_2001년만_2001예산배정액 및 내역2_최종실적(최종)_영천댐수량산출" xfId="501" xr:uid="{00000000-0005-0000-0000-000031030000}"/>
    <cellStyle name="_2001년만_2001예산배정액 및 내역2_최종실적(최종)_영천댐수량산출_수량산출서(2003.4.1)" xfId="502" xr:uid="{00000000-0005-0000-0000-000032030000}"/>
    <cellStyle name="_2001년만_가설건축전기산출서" xfId="503" xr:uid="{00000000-0005-0000-0000-000033030000}"/>
    <cellStyle name="_2001년만_가설건축전기산출서_수량산출서(2003.4.1)" xfId="504" xr:uid="{00000000-0005-0000-0000-000034030000}"/>
    <cellStyle name="_2001년만_가설동력수량산출" xfId="505" xr:uid="{00000000-0005-0000-0000-000035030000}"/>
    <cellStyle name="_2001년만_가설동력수량산출_수량산출서(2003.4.1)" xfId="506" xr:uid="{00000000-0005-0000-0000-000036030000}"/>
    <cellStyle name="_2001년만_가설통신수량" xfId="507" xr:uid="{00000000-0005-0000-0000-000037030000}"/>
    <cellStyle name="_2001년만_가설통신수량_수량산출서(2003.4.1)" xfId="508" xr:uid="{00000000-0005-0000-0000-000038030000}"/>
    <cellStyle name="_2001년만_경보국설계서(철관주2003.1.30최종)" xfId="509" xr:uid="{00000000-0005-0000-0000-000039030000}"/>
    <cellStyle name="_2001년만_경보국설계서(철관주2003.1.30최종)_수량산출서(2003.4.1)" xfId="510" xr:uid="{00000000-0005-0000-0000-00003A030000}"/>
    <cellStyle name="_2001년만_경보국설계서(철관주2003.1.30최종)_영천댐수량산출" xfId="511" xr:uid="{00000000-0005-0000-0000-00003B030000}"/>
    <cellStyle name="_2001년만_경보국설계서(철관주2003.1.30최종)_영천댐수량산출_수량산출서(2003.4.1)" xfId="512" xr:uid="{00000000-0005-0000-0000-00003C030000}"/>
    <cellStyle name="_2001년만_광동댐전기내역서-1" xfId="513" xr:uid="{00000000-0005-0000-0000-00003D030000}"/>
    <cellStyle name="_2001년만_대곡내역서0329(전기)-기계설비금액확인" xfId="514" xr:uid="{00000000-0005-0000-0000-00003E030000}"/>
    <cellStyle name="_2001년만_수량산출서(2003.4.1)" xfId="515" xr:uid="{00000000-0005-0000-0000-00003F030000}"/>
    <cellStyle name="_2001년만_영구동력수량산출" xfId="516" xr:uid="{00000000-0005-0000-0000-000040030000}"/>
    <cellStyle name="_2001년만_영구동력수량산출_수량산출서(2003.4.1)" xfId="517" xr:uid="{00000000-0005-0000-0000-000041030000}"/>
    <cellStyle name="_2001년만_영천댐수량산출" xfId="518" xr:uid="{00000000-0005-0000-0000-000042030000}"/>
    <cellStyle name="_2001년만_영천댐수량산출_수량산출서(2003.4.1)" xfId="519" xr:uid="{00000000-0005-0000-0000-000043030000}"/>
    <cellStyle name="_2001년만_영천댐최종(감시및CCTV)" xfId="520" xr:uid="{00000000-0005-0000-0000-000044030000}"/>
    <cellStyle name="_2001년만_영천댐최종(홍수예설비공사)" xfId="521" xr:uid="{00000000-0005-0000-0000-000045030000}"/>
    <cellStyle name="_2001년만_오리지날최종-경보국설계서(철관주2003.2.13) (version 3) (version 1)" xfId="522" xr:uid="{00000000-0005-0000-0000-000046030000}"/>
    <cellStyle name="_2001년만_오리지날최종-경보국설계서(철관주2003.2.13) (version 3) (version 1)_수량산출서(2003.4.1)" xfId="523" xr:uid="{00000000-0005-0000-0000-000047030000}"/>
    <cellStyle name="_2001년만_오리지날최종-경보국설계서(철관주2003.2.6)" xfId="524" xr:uid="{00000000-0005-0000-0000-000048030000}"/>
    <cellStyle name="_2001년만_오리지날최종-경보국설계서(철관주2003.2.6)_수량산출서(2003.4.1)" xfId="525" xr:uid="{00000000-0005-0000-0000-000049030000}"/>
    <cellStyle name="_2001년만_오리지날최종-경보국설계서(철관주2003.2.9) (version 2)" xfId="526" xr:uid="{00000000-0005-0000-0000-00004A030000}"/>
    <cellStyle name="_2001년만_오리지날최종-경보국설계서(철관주2003.2.9) (version 2)_수량산출서(2003.4.1)" xfId="527" xr:uid="{00000000-0005-0000-0000-00004B030000}"/>
    <cellStyle name="_2001년만_옥곡수량" xfId="528" xr:uid="{00000000-0005-0000-0000-00004C030000}"/>
    <cellStyle name="_2001년만_전기-광양3단계(옥곡가압장)" xfId="529" xr:uid="{00000000-0005-0000-0000-00004D030000}"/>
    <cellStyle name="_2001년만_전기내역서-광동댐" xfId="530" xr:uid="{00000000-0005-0000-0000-00004E030000}"/>
    <cellStyle name="_2001년만_전기및계장-영천댐(03.9.8신설및철거나눔)" xfId="531" xr:uid="{00000000-0005-0000-0000-00004F030000}"/>
    <cellStyle name="_2001년만_전기및계장-영천댐(03.9.8신설및철거나눔) (version 1)" xfId="532" xr:uid="{00000000-0005-0000-0000-000050030000}"/>
    <cellStyle name="_2001년만_전기및계장-영천댐취수능력(2003.4.8전기및계장)" xfId="533" xr:uid="{00000000-0005-0000-0000-000051030000}"/>
    <cellStyle name="_2001년만_전기방식" xfId="534" xr:uid="{00000000-0005-0000-0000-000052030000}"/>
    <cellStyle name="_2001년만_전기방식_수량산출서(2003.4.1)" xfId="535" xr:uid="{00000000-0005-0000-0000-000053030000}"/>
    <cellStyle name="_2001년만_전기-영천댐취수능력(2003.2.10) (version 1)" xfId="536" xr:uid="{00000000-0005-0000-0000-000054030000}"/>
    <cellStyle name="_2001년만_전기-영천댐취수능력(2003.2.10) (version 1)_수량산출서(2003.4.1)" xfId="537" xr:uid="{00000000-0005-0000-0000-000055030000}"/>
    <cellStyle name="_2001년만_최종실적(최종)" xfId="538" xr:uid="{00000000-0005-0000-0000-000056030000}"/>
    <cellStyle name="_2001년만_최종실적(최종)_수량산출서(2003.4.1)" xfId="539" xr:uid="{00000000-0005-0000-0000-000057030000}"/>
    <cellStyle name="_2001년만_최종실적(최종)_영천댐수량산출" xfId="540" xr:uid="{00000000-0005-0000-0000-000058030000}"/>
    <cellStyle name="_2001년만_최종실적(최종)_영천댐수량산출_수량산출서(2003.4.1)" xfId="541" xr:uid="{00000000-0005-0000-0000-000059030000}"/>
    <cellStyle name="_2001예산배정액 및 내역" xfId="542" xr:uid="{00000000-0005-0000-0000-00005A030000}"/>
    <cellStyle name="_2001예산배정액 및 내역_가설건축전기산출서" xfId="543" xr:uid="{00000000-0005-0000-0000-00005B030000}"/>
    <cellStyle name="_2001예산배정액 및 내역_가설건축전기산출서_수량산출서(2003.4.1)" xfId="544" xr:uid="{00000000-0005-0000-0000-00005C030000}"/>
    <cellStyle name="_2001예산배정액 및 내역_가설동력수량산출" xfId="545" xr:uid="{00000000-0005-0000-0000-00005D030000}"/>
    <cellStyle name="_2001예산배정액 및 내역_가설동력수량산출_수량산출서(2003.4.1)" xfId="546" xr:uid="{00000000-0005-0000-0000-00005E030000}"/>
    <cellStyle name="_2001예산배정액 및 내역_가설통신수량" xfId="547" xr:uid="{00000000-0005-0000-0000-00005F030000}"/>
    <cellStyle name="_2001예산배정액 및 내역_가설통신수량_수량산출서(2003.4.1)" xfId="548" xr:uid="{00000000-0005-0000-0000-000060030000}"/>
    <cellStyle name="_2001예산배정액 및 내역_경보국설계서(철관주2003.1.30최종)" xfId="549" xr:uid="{00000000-0005-0000-0000-000061030000}"/>
    <cellStyle name="_2001예산배정액 및 내역_경보국설계서(철관주2003.1.30최종)_수량산출서(2003.4.1)" xfId="550" xr:uid="{00000000-0005-0000-0000-000062030000}"/>
    <cellStyle name="_2001예산배정액 및 내역_경보국설계서(철관주2003.1.30최종)_영천댐수량산출" xfId="551" xr:uid="{00000000-0005-0000-0000-000063030000}"/>
    <cellStyle name="_2001예산배정액 및 내역_경보국설계서(철관주2003.1.30최종)_영천댐수량산출_수량산출서(2003.4.1)" xfId="552" xr:uid="{00000000-0005-0000-0000-000064030000}"/>
    <cellStyle name="_2001예산배정액 및 내역_광동댐전기내역서-1" xfId="553" xr:uid="{00000000-0005-0000-0000-000065030000}"/>
    <cellStyle name="_2001예산배정액 및 내역_대곡내역서0329(전기)-기계설비금액확인" xfId="554" xr:uid="{00000000-0005-0000-0000-000066030000}"/>
    <cellStyle name="_2001예산배정액 및 내역_수량산출서(2003.4.1)" xfId="555" xr:uid="{00000000-0005-0000-0000-000067030000}"/>
    <cellStyle name="_2001예산배정액 및 내역_영구동력수량산출" xfId="556" xr:uid="{00000000-0005-0000-0000-000068030000}"/>
    <cellStyle name="_2001예산배정액 및 내역_영구동력수량산출_수량산출서(2003.4.1)" xfId="557" xr:uid="{00000000-0005-0000-0000-000069030000}"/>
    <cellStyle name="_2001예산배정액 및 내역_영천댐수량산출" xfId="558" xr:uid="{00000000-0005-0000-0000-00006A030000}"/>
    <cellStyle name="_2001예산배정액 및 내역_영천댐수량산출_수량산출서(2003.4.1)" xfId="559" xr:uid="{00000000-0005-0000-0000-00006B030000}"/>
    <cellStyle name="_2001예산배정액 및 내역_영천댐최종(감시및CCTV)" xfId="560" xr:uid="{00000000-0005-0000-0000-00006C030000}"/>
    <cellStyle name="_2001예산배정액 및 내역_영천댐최종(홍수예설비공사)" xfId="561" xr:uid="{00000000-0005-0000-0000-00006D030000}"/>
    <cellStyle name="_2001예산배정액 및 내역_오리지날최종-경보국설계서(철관주2003.2.13) (version 3) (version 1)" xfId="562" xr:uid="{00000000-0005-0000-0000-00006E030000}"/>
    <cellStyle name="_2001예산배정액 및 내역_오리지날최종-경보국설계서(철관주2003.2.13) (version 3) (version 1)_수량산출서(2003.4.1)" xfId="563" xr:uid="{00000000-0005-0000-0000-00006F030000}"/>
    <cellStyle name="_2001예산배정액 및 내역_오리지날최종-경보국설계서(철관주2003.2.6)" xfId="564" xr:uid="{00000000-0005-0000-0000-000070030000}"/>
    <cellStyle name="_2001예산배정액 및 내역_오리지날최종-경보국설계서(철관주2003.2.6)_수량산출서(2003.4.1)" xfId="565" xr:uid="{00000000-0005-0000-0000-000071030000}"/>
    <cellStyle name="_2001예산배정액 및 내역_오리지날최종-경보국설계서(철관주2003.2.9) (version 2)" xfId="566" xr:uid="{00000000-0005-0000-0000-000072030000}"/>
    <cellStyle name="_2001예산배정액 및 내역_오리지날최종-경보국설계서(철관주2003.2.9) (version 2)_수량산출서(2003.4.1)" xfId="567" xr:uid="{00000000-0005-0000-0000-000073030000}"/>
    <cellStyle name="_2001예산배정액 및 내역_옥곡수량" xfId="568" xr:uid="{00000000-0005-0000-0000-000074030000}"/>
    <cellStyle name="_2001예산배정액 및 내역_전기-광양3단계(옥곡가압장)" xfId="569" xr:uid="{00000000-0005-0000-0000-000075030000}"/>
    <cellStyle name="_2001예산배정액 및 내역_전기내역서-광동댐" xfId="570" xr:uid="{00000000-0005-0000-0000-000076030000}"/>
    <cellStyle name="_2001예산배정액 및 내역_전기및계장-영천댐(03.9.8신설및철거나눔)" xfId="571" xr:uid="{00000000-0005-0000-0000-000077030000}"/>
    <cellStyle name="_2001예산배정액 및 내역_전기및계장-영천댐(03.9.8신설및철거나눔) (version 1)" xfId="572" xr:uid="{00000000-0005-0000-0000-000078030000}"/>
    <cellStyle name="_2001예산배정액 및 내역_전기및계장-영천댐취수능력(2003.4.8전기및계장)" xfId="573" xr:uid="{00000000-0005-0000-0000-000079030000}"/>
    <cellStyle name="_2001예산배정액 및 내역_전기방식" xfId="574" xr:uid="{00000000-0005-0000-0000-00007A030000}"/>
    <cellStyle name="_2001예산배정액 및 내역_전기방식_수량산출서(2003.4.1)" xfId="575" xr:uid="{00000000-0005-0000-0000-00007B030000}"/>
    <cellStyle name="_2001예산배정액 및 내역_전기-영천댐취수능력(2003.2.10) (version 1)" xfId="576" xr:uid="{00000000-0005-0000-0000-00007C030000}"/>
    <cellStyle name="_2001예산배정액 및 내역_전기-영천댐취수능력(2003.2.10) (version 1)_수량산출서(2003.4.1)" xfId="577" xr:uid="{00000000-0005-0000-0000-00007D030000}"/>
    <cellStyle name="_2001예산배정액 및 내역_최종실적(최종)" xfId="578" xr:uid="{00000000-0005-0000-0000-00007E030000}"/>
    <cellStyle name="_2001예산배정액 및 내역_최종실적(최종)_수량산출서(2003.4.1)" xfId="579" xr:uid="{00000000-0005-0000-0000-00007F030000}"/>
    <cellStyle name="_2001예산배정액 및 내역_최종실적(최종)_영천댐수량산출" xfId="580" xr:uid="{00000000-0005-0000-0000-000080030000}"/>
    <cellStyle name="_2001예산배정액 및 내역_최종실적(최종)_영천댐수량산출_수량산출서(2003.4.1)" xfId="581" xr:uid="{00000000-0005-0000-0000-000081030000}"/>
    <cellStyle name="_2001예산배정액 및 내역2" xfId="582" xr:uid="{00000000-0005-0000-0000-000082030000}"/>
    <cellStyle name="_2001예산배정액 및 내역2_가설건축전기산출서" xfId="583" xr:uid="{00000000-0005-0000-0000-000083030000}"/>
    <cellStyle name="_2001예산배정액 및 내역2_가설건축전기산출서_수량산출서(2003.4.1)" xfId="584" xr:uid="{00000000-0005-0000-0000-000084030000}"/>
    <cellStyle name="_2001예산배정액 및 내역2_가설동력수량산출" xfId="585" xr:uid="{00000000-0005-0000-0000-000085030000}"/>
    <cellStyle name="_2001예산배정액 및 내역2_가설동력수량산출_수량산출서(2003.4.1)" xfId="586" xr:uid="{00000000-0005-0000-0000-000086030000}"/>
    <cellStyle name="_2001예산배정액 및 내역2_가설통신수량" xfId="587" xr:uid="{00000000-0005-0000-0000-000087030000}"/>
    <cellStyle name="_2001예산배정액 및 내역2_가설통신수량_수량산출서(2003.4.1)" xfId="588" xr:uid="{00000000-0005-0000-0000-000088030000}"/>
    <cellStyle name="_2001예산배정액 및 내역2_경보국설계서(철관주2003.1.30최종)" xfId="589" xr:uid="{00000000-0005-0000-0000-000089030000}"/>
    <cellStyle name="_2001예산배정액 및 내역2_경보국설계서(철관주2003.1.30최종)_수량산출서(2003.4.1)" xfId="590" xr:uid="{00000000-0005-0000-0000-00008A030000}"/>
    <cellStyle name="_2001예산배정액 및 내역2_경보국설계서(철관주2003.1.30최종)_영천댐수량산출" xfId="591" xr:uid="{00000000-0005-0000-0000-00008B030000}"/>
    <cellStyle name="_2001예산배정액 및 내역2_경보국설계서(철관주2003.1.30최종)_영천댐수량산출_수량산출서(2003.4.1)" xfId="592" xr:uid="{00000000-0005-0000-0000-00008C030000}"/>
    <cellStyle name="_2001예산배정액 및 내역2_광동댐전기내역서-1" xfId="593" xr:uid="{00000000-0005-0000-0000-00008D030000}"/>
    <cellStyle name="_2001예산배정액 및 내역2_대곡내역서0329(전기)-기계설비금액확인" xfId="594" xr:uid="{00000000-0005-0000-0000-00008E030000}"/>
    <cellStyle name="_2001예산배정액 및 내역2_수량산출서(2003.4.1)" xfId="595" xr:uid="{00000000-0005-0000-0000-00008F030000}"/>
    <cellStyle name="_2001예산배정액 및 내역2_영구동력수량산출" xfId="596" xr:uid="{00000000-0005-0000-0000-000090030000}"/>
    <cellStyle name="_2001예산배정액 및 내역2_영구동력수량산출_수량산출서(2003.4.1)" xfId="597" xr:uid="{00000000-0005-0000-0000-000091030000}"/>
    <cellStyle name="_2001예산배정액 및 내역2_영천댐수량산출" xfId="598" xr:uid="{00000000-0005-0000-0000-000092030000}"/>
    <cellStyle name="_2001예산배정액 및 내역2_영천댐수량산출_수량산출서(2003.4.1)" xfId="599" xr:uid="{00000000-0005-0000-0000-000093030000}"/>
    <cellStyle name="_2001예산배정액 및 내역2_영천댐최종(감시및CCTV)" xfId="600" xr:uid="{00000000-0005-0000-0000-000094030000}"/>
    <cellStyle name="_2001예산배정액 및 내역2_영천댐최종(홍수예설비공사)" xfId="601" xr:uid="{00000000-0005-0000-0000-000095030000}"/>
    <cellStyle name="_2001예산배정액 및 내역2_오리지날최종-경보국설계서(철관주2003.2.13) (version 3) (version 1)" xfId="602" xr:uid="{00000000-0005-0000-0000-000096030000}"/>
    <cellStyle name="_2001예산배정액 및 내역2_오리지날최종-경보국설계서(철관주2003.2.13) (version 3) (version 1)_수량산출서(2003.4.1)" xfId="603" xr:uid="{00000000-0005-0000-0000-000097030000}"/>
    <cellStyle name="_2001예산배정액 및 내역2_오리지날최종-경보국설계서(철관주2003.2.6)" xfId="604" xr:uid="{00000000-0005-0000-0000-000098030000}"/>
    <cellStyle name="_2001예산배정액 및 내역2_오리지날최종-경보국설계서(철관주2003.2.6)_수량산출서(2003.4.1)" xfId="605" xr:uid="{00000000-0005-0000-0000-000099030000}"/>
    <cellStyle name="_2001예산배정액 및 내역2_오리지날최종-경보국설계서(철관주2003.2.9) (version 2)" xfId="606" xr:uid="{00000000-0005-0000-0000-00009A030000}"/>
    <cellStyle name="_2001예산배정액 및 내역2_오리지날최종-경보국설계서(철관주2003.2.9) (version 2)_수량산출서(2003.4.1)" xfId="607" xr:uid="{00000000-0005-0000-0000-00009B030000}"/>
    <cellStyle name="_2001예산배정액 및 내역2_옥곡수량" xfId="608" xr:uid="{00000000-0005-0000-0000-00009C030000}"/>
    <cellStyle name="_2001예산배정액 및 내역2_전기-광양3단계(옥곡가압장)" xfId="609" xr:uid="{00000000-0005-0000-0000-00009D030000}"/>
    <cellStyle name="_2001예산배정액 및 내역2_전기내역서-광동댐" xfId="610" xr:uid="{00000000-0005-0000-0000-00009E030000}"/>
    <cellStyle name="_2001예산배정액 및 내역2_전기및계장-영천댐(03.9.8신설및철거나눔)" xfId="611" xr:uid="{00000000-0005-0000-0000-00009F030000}"/>
    <cellStyle name="_2001예산배정액 및 내역2_전기및계장-영천댐(03.9.8신설및철거나눔) (version 1)" xfId="612" xr:uid="{00000000-0005-0000-0000-0000A0030000}"/>
    <cellStyle name="_2001예산배정액 및 내역2_전기및계장-영천댐취수능력(2003.4.8전기및계장)" xfId="613" xr:uid="{00000000-0005-0000-0000-0000A1030000}"/>
    <cellStyle name="_2001예산배정액 및 내역2_전기방식" xfId="614" xr:uid="{00000000-0005-0000-0000-0000A2030000}"/>
    <cellStyle name="_2001예산배정액 및 내역2_전기방식_수량산출서(2003.4.1)" xfId="615" xr:uid="{00000000-0005-0000-0000-0000A3030000}"/>
    <cellStyle name="_2001예산배정액 및 내역2_전기-영천댐취수능력(2003.2.10) (version 1)" xfId="616" xr:uid="{00000000-0005-0000-0000-0000A4030000}"/>
    <cellStyle name="_2001예산배정액 및 내역2_전기-영천댐취수능력(2003.2.10) (version 1)_수량산출서(2003.4.1)" xfId="617" xr:uid="{00000000-0005-0000-0000-0000A5030000}"/>
    <cellStyle name="_2001예산배정액 및 내역2_최종실적(최종)" xfId="618" xr:uid="{00000000-0005-0000-0000-0000A6030000}"/>
    <cellStyle name="_2001예산배정액 및 내역2_최종실적(최종)_수량산출서(2003.4.1)" xfId="619" xr:uid="{00000000-0005-0000-0000-0000A7030000}"/>
    <cellStyle name="_2001예산배정액 및 내역2_최종실적(최종)_영천댐수량산출" xfId="620" xr:uid="{00000000-0005-0000-0000-0000A8030000}"/>
    <cellStyle name="_2001예산배정액 및 내역2_최종실적(최종)_영천댐수량산출_수량산출서(2003.4.1)" xfId="621" xr:uid="{00000000-0005-0000-0000-0000A9030000}"/>
    <cellStyle name="_2003년설계품v2.1" xfId="4536" xr:uid="{00000000-0005-0000-0000-0000AA030000}"/>
    <cellStyle name="_2003년설계품v2.1 2" xfId="7132" xr:uid="{00000000-0005-0000-0000-0000AB030000}"/>
    <cellStyle name="_2003밸브실유지보수공사" xfId="622" xr:uid="{00000000-0005-0000-0000-0000AC030000}"/>
    <cellStyle name="_2004(하반기)단가서" xfId="1338" xr:uid="{00000000-0005-0000-0000-0000AD030000}"/>
    <cellStyle name="_2004(하반기)단가서_간이배수펌프장설치에 따른 타당성용역내역" xfId="1339" xr:uid="{00000000-0005-0000-0000-0000AE030000}"/>
    <cellStyle name="_2004년 도로와 지하시설물 공동구축 제1회 설계변경내역서(기환형작업)" xfId="4537" xr:uid="{00000000-0005-0000-0000-0000AF030000}"/>
    <cellStyle name="_2004년 도로와 지하시설물 공동구축 제1회 설계변경내역서(기환형작업) 2" xfId="7133" xr:uid="{00000000-0005-0000-0000-0000B0030000}"/>
    <cellStyle name="_2004년 설계내역서-추경" xfId="4538" xr:uid="{00000000-0005-0000-0000-0000B1030000}"/>
    <cellStyle name="_2004년 설계내역서-추경 2" xfId="7134" xr:uid="{00000000-0005-0000-0000-0000B2030000}"/>
    <cellStyle name="_2004년 추경예산 도로와 지하시설물 공동구축 설계내역서" xfId="4539" xr:uid="{00000000-0005-0000-0000-0000B3030000}"/>
    <cellStyle name="_2004년 추경예산 도로와 지하시설물 공동구축 설계내역서 2" xfId="7135" xr:uid="{00000000-0005-0000-0000-0000B4030000}"/>
    <cellStyle name="_2004년도상수,하수,도로내역(기본폼)" xfId="4540" xr:uid="{00000000-0005-0000-0000-0000B5030000}"/>
    <cellStyle name="_2004년도상수,하수,도로내역(기본폼) 2" xfId="7136" xr:uid="{00000000-0005-0000-0000-0000B6030000}"/>
    <cellStyle name="_2004년도상수,하수,도로내역(물량조정완료218)" xfId="4541" xr:uid="{00000000-0005-0000-0000-0000B7030000}"/>
    <cellStyle name="_2004년도상수,하수,도로내역(물량조정완료218) 2" xfId="7137" xr:uid="{00000000-0005-0000-0000-0000B8030000}"/>
    <cellStyle name="_2004년도상수,하수,도로내역(물량조정중)" xfId="4542" xr:uid="{00000000-0005-0000-0000-0000B9030000}"/>
    <cellStyle name="_2004년도상수,하수,도로내역(물량조정중) 2" xfId="7138" xr:uid="{00000000-0005-0000-0000-0000BA030000}"/>
    <cellStyle name="_2004년도상수,하수,도로설계변경내역(예정3)" xfId="4543" xr:uid="{00000000-0005-0000-0000-0000BB030000}"/>
    <cellStyle name="_2004년도상수,하수,도로설계변경내역(예정3) 2" xfId="7139" xr:uid="{00000000-0005-0000-0000-0000BC030000}"/>
    <cellStyle name="_2005년 사업 시스템 부문 설계내역서_2.0" xfId="4544" xr:uid="{00000000-0005-0000-0000-0000BD030000}"/>
    <cellStyle name="_2005년 사업 시스템 부문 설계내역서_2.0 2" xfId="7140" xr:uid="{00000000-0005-0000-0000-0000BE030000}"/>
    <cellStyle name="_20060203-ktis-Security견적v2(김재호과장님)v3" xfId="4545" xr:uid="{00000000-0005-0000-0000-0000BF030000}"/>
    <cellStyle name="_20060203-ktis-Security견적v2(김재호과장님)v3 2" xfId="7141" xr:uid="{00000000-0005-0000-0000-0000C0030000}"/>
    <cellStyle name="_2006수위계설치계약내역서(5월17일)" xfId="4546" xr:uid="{00000000-0005-0000-0000-0000C1030000}"/>
    <cellStyle name="_2006수위계설치계약내역서(5월17일) 2" xfId="7142" xr:uid="{00000000-0005-0000-0000-0000C2030000}"/>
    <cellStyle name="_2006수해복구수위계설치설계예산서" xfId="4547" xr:uid="{00000000-0005-0000-0000-0000C3030000}"/>
    <cellStyle name="_2006수해복구수위계설치설계예산서 2" xfId="7143" xr:uid="{00000000-0005-0000-0000-0000C4030000}"/>
    <cellStyle name="_2008년_시운전내역서(밀양시_분뇨)4개월" xfId="1800" xr:uid="{00000000-0005-0000-0000-0000C5030000}"/>
    <cellStyle name="_2008년도 소하천정비공사 실시설계용역(진동천)" xfId="4548" xr:uid="{00000000-0005-0000-0000-0000C6030000}"/>
    <cellStyle name="_20공구" xfId="1801" xr:uid="{00000000-0005-0000-0000-0000C7030000}"/>
    <cellStyle name="_2-4.상반기실적부문별요약" xfId="1802" xr:uid="{00000000-0005-0000-0000-0000C8030000}"/>
    <cellStyle name="_2-4.상반기실적부문별요약 2" xfId="7144" xr:uid="{00000000-0005-0000-0000-0000C9030000}"/>
    <cellStyle name="_2-4.상반기실적부문별요약(표지및목차포함)" xfId="1803" xr:uid="{00000000-0005-0000-0000-0000CA030000}"/>
    <cellStyle name="_2-4.상반기실적부문별요약(표지및목차포함) 2" xfId="7145" xr:uid="{00000000-0005-0000-0000-0000CB030000}"/>
    <cellStyle name="_2-4.상반기실적부문별요약(표지및목차포함)_091110 안성천권역(중하류) 설계내역서" xfId="7146" xr:uid="{00000000-0005-0000-0000-0000CC030000}"/>
    <cellStyle name="_2-4.상반기실적부문별요약(표지및목차포함)_1" xfId="1804" xr:uid="{00000000-0005-0000-0000-0000CD030000}"/>
    <cellStyle name="_2-4.상반기실적부문별요약(표지및목차포함)_1 2" xfId="7147" xr:uid="{00000000-0005-0000-0000-0000CE030000}"/>
    <cellStyle name="_2-4.상반기실적부문별요약(표지및목차포함)_100120 안성천권역(중하류) 2차분내역서" xfId="6853" xr:uid="{00000000-0005-0000-0000-0000CF030000}"/>
    <cellStyle name="_2-4.상반기실적부문별요약(표지및목차포함)_100120 안성천권역(중하류) 2차분내역서 2" xfId="7148" xr:uid="{00000000-0005-0000-0000-0000D0030000}"/>
    <cellStyle name="_2-4.상반기실적부문별요약(표지및목차포함)_논산천 권역 하천기본계획 설계예산서" xfId="7149" xr:uid="{00000000-0005-0000-0000-0000D1030000}"/>
    <cellStyle name="_2-4.상반기실적부문별요약(표지및목차포함)_사본 - 황강중류권역 하천기본계획 예산서(황강 미포함)-2차분_ rev2" xfId="6854" xr:uid="{00000000-0005-0000-0000-0000D2030000}"/>
    <cellStyle name="_2-4.상반기실적부문별요약(표지및목차포함)_소양강 상류권역 하천기본계획(변경) 및 하천시설관리대장작성_Lidar측량" xfId="7150" xr:uid="{00000000-0005-0000-0000-0000D3030000}"/>
    <cellStyle name="_2-4.상반기실적부문별요약(표지및목차포함)_안양천 하천기본계획 예산서_보완중" xfId="7151" xr:uid="{00000000-0005-0000-0000-0000D4030000}"/>
    <cellStyle name="_2-4.상반기실적부문별요약(표지및목차포함)_안양천권역 하천기본계획 설계예산서" xfId="7152" xr:uid="{00000000-0005-0000-0000-0000D5030000}"/>
    <cellStyle name="_2-4.상반기실적부문별요약(표지및목차포함)_한강하류 하천기본계획 설계예산서(지형측량)" xfId="7153" xr:uid="{00000000-0005-0000-0000-0000D6030000}"/>
    <cellStyle name="_2-4.상반기실적부문별요약(표지및목차포함)_한강하류내역서2" xfId="7154" xr:uid="{00000000-0005-0000-0000-0000D7030000}"/>
    <cellStyle name="_2-4.상반기실적부문별요약(표지및목차포함)_한탄강 하천기본계획 예산서_최종2" xfId="7155" xr:uid="{00000000-0005-0000-0000-0000D8030000}"/>
    <cellStyle name="_2-4.상반기실적부문별요약(표지및목차포함)_한탄강권역 하천기본계획 설계예산서(지형측량)" xfId="7156" xr:uid="{00000000-0005-0000-0000-0000D9030000}"/>
    <cellStyle name="_2-4.상반기실적부문별요약_1" xfId="1805" xr:uid="{00000000-0005-0000-0000-0000DA030000}"/>
    <cellStyle name="_2-4.상반기실적부문별요약_1 2" xfId="7157" xr:uid="{00000000-0005-0000-0000-0000DB030000}"/>
    <cellStyle name="_2500정사사진(2005년도2차물량 위성과 통합)" xfId="6855" xr:uid="{00000000-0005-0000-0000-0000DC030000}"/>
    <cellStyle name="_2500정사사진(2005년도2차물량 위성과 통합) 2" xfId="7158" xr:uid="{00000000-0005-0000-0000-0000DD030000}"/>
    <cellStyle name="_2차계약설계서" xfId="4549" xr:uid="{00000000-0005-0000-0000-0000DE030000}"/>
    <cellStyle name="_2차계약설계서 2" xfId="7159" xr:uid="{00000000-0005-0000-0000-0000DF030000}"/>
    <cellStyle name="_3) 최종-남천외 3개하천 하천기본계획 수립 용역 내역서(200800211)" xfId="4550" xr:uid="{00000000-0005-0000-0000-0000E0030000}"/>
    <cellStyle name="_3) 최종-남천외 3개하천 하천기본계획 수립 용역 내역서(200800211) 2" xfId="7160" xr:uid="{00000000-0005-0000-0000-0000E1030000}"/>
    <cellStyle name="_3.제경,기술" xfId="4551" xr:uid="{00000000-0005-0000-0000-0000E2030000}"/>
    <cellStyle name="_3.제경,기술 2" xfId="7161" xr:uid="{00000000-0005-0000-0000-0000E3030000}"/>
    <cellStyle name="_4차사업설계서(계약가)" xfId="4552" xr:uid="{00000000-0005-0000-0000-0000E4030000}"/>
    <cellStyle name="_4차사업설계서(계약가) 2" xfId="7162" xr:uid="{00000000-0005-0000-0000-0000E5030000}"/>
    <cellStyle name="_'99상반기경영개선활동결과(게시용)" xfId="1806" xr:uid="{00000000-0005-0000-0000-0000E6030000}"/>
    <cellStyle name="_'99상반기경영개선활동결과(게시용) 2" xfId="7163" xr:uid="{00000000-0005-0000-0000-0000E7030000}"/>
    <cellStyle name="_Book1" xfId="623" xr:uid="{00000000-0005-0000-0000-0000E8030000}"/>
    <cellStyle name="_Book1 2" xfId="7164" xr:uid="{00000000-0005-0000-0000-0000E9030000}"/>
    <cellStyle name="_Book1 3" xfId="7165" xr:uid="{00000000-0005-0000-0000-0000EA030000}"/>
    <cellStyle name="_Book1_대장천_도심생태복원사업_기본_및_실시설계용역_설계예산서(원내역)" xfId="4553" xr:uid="{00000000-0005-0000-0000-0000EB030000}"/>
    <cellStyle name="_Book2" xfId="1807" xr:uid="{00000000-0005-0000-0000-0000EC030000}"/>
    <cellStyle name="_Book3" xfId="4554" xr:uid="{00000000-0005-0000-0000-0000ED030000}"/>
    <cellStyle name="_cnm-hw" xfId="4555" xr:uid="{00000000-0005-0000-0000-0000EE030000}"/>
    <cellStyle name="_cnm-hw 2" xfId="7166" xr:uid="{00000000-0005-0000-0000-0000EF030000}"/>
    <cellStyle name="_COMPAQServer" xfId="4556" xr:uid="{00000000-0005-0000-0000-0000F0030000}"/>
    <cellStyle name="_COMPAQServer 2" xfId="7167" xr:uid="{00000000-0005-0000-0000-0000F1030000}"/>
    <cellStyle name="_CPU" xfId="4557" xr:uid="{00000000-0005-0000-0000-0000F2030000}"/>
    <cellStyle name="_DB구축설계서(남양주0816)" xfId="7168" xr:uid="{00000000-0005-0000-0000-0000F3030000}"/>
    <cellStyle name="_DB설계" xfId="4558" xr:uid="{00000000-0005-0000-0000-0000F4030000}"/>
    <cellStyle name="_DB설계 2" xfId="7169" xr:uid="{00000000-0005-0000-0000-0000F5030000}"/>
    <cellStyle name="_FAX1" xfId="1340" xr:uid="{00000000-0005-0000-0000-0000F6030000}"/>
    <cellStyle name="_FAX1_간이배수펌프장설치에 따른 타당성용역내역" xfId="1341" xr:uid="{00000000-0005-0000-0000-0000F7030000}"/>
    <cellStyle name="_FAX1_선정안(삼산)" xfId="1342" xr:uid="{00000000-0005-0000-0000-0000F8030000}"/>
    <cellStyle name="_FAX1_선정안(삼산)_간이배수펌프장설치에 따른 타당성용역내역" xfId="1343" xr:uid="{00000000-0005-0000-0000-0000F9030000}"/>
    <cellStyle name="_FAX1_추풍령" xfId="1344" xr:uid="{00000000-0005-0000-0000-0000FA030000}"/>
    <cellStyle name="_FAX1_추풍령_간이배수펌프장설치에 따른 타당성용역내역" xfId="1345" xr:uid="{00000000-0005-0000-0000-0000FB030000}"/>
    <cellStyle name="_FAX1_추풍령-1" xfId="1346" xr:uid="{00000000-0005-0000-0000-0000FC030000}"/>
    <cellStyle name="_FAX1_추풍령-1_간이배수펌프장설치에 따른 타당성용역내역" xfId="1347" xr:uid="{00000000-0005-0000-0000-0000FD030000}"/>
    <cellStyle name="_FAX2" xfId="1348" xr:uid="{00000000-0005-0000-0000-0000FE030000}"/>
    <cellStyle name="_FAX2_간이배수펌프장설치에 따른 타당성용역내역" xfId="1349" xr:uid="{00000000-0005-0000-0000-0000FF030000}"/>
    <cellStyle name="_FAX2_선정안(삼산)" xfId="1350" xr:uid="{00000000-0005-0000-0000-000000040000}"/>
    <cellStyle name="_FAX2_선정안(삼산)_간이배수펌프장설치에 따른 타당성용역내역" xfId="1351" xr:uid="{00000000-0005-0000-0000-000001040000}"/>
    <cellStyle name="_FAX2_추풍령" xfId="1352" xr:uid="{00000000-0005-0000-0000-000002040000}"/>
    <cellStyle name="_FAX2_추풍령_간이배수펌프장설치에 따른 타당성용역내역" xfId="1353" xr:uid="{00000000-0005-0000-0000-000003040000}"/>
    <cellStyle name="_FAX2_추풍령-1" xfId="1354" xr:uid="{00000000-0005-0000-0000-000004040000}"/>
    <cellStyle name="_FAX2_추풍령-1_간이배수펌프장설치에 따른 타당성용역내역" xfId="1355" xr:uid="{00000000-0005-0000-0000-000005040000}"/>
    <cellStyle name="_FCST (2)" xfId="4559" xr:uid="{00000000-0005-0000-0000-000006040000}"/>
    <cellStyle name="_FP_설계내역샘플_(가중치직접산정방식)_New" xfId="4560" xr:uid="{00000000-0005-0000-0000-000007040000}"/>
    <cellStyle name="_FP_설계내역샘플_(가중치직접산정방식)_New 2" xfId="7170" xr:uid="{00000000-0005-0000-0000-000008040000}"/>
    <cellStyle name="_FP_설계내역샘플_(평균가중치방식)_New" xfId="4561" xr:uid="{00000000-0005-0000-0000-000009040000}"/>
    <cellStyle name="_FP_설계내역샘플_(평균가중치방식)_New 2" xfId="7171" xr:uid="{00000000-0005-0000-0000-00000A040000}"/>
    <cellStyle name="_GIS총괄설계서(Version3.0)" xfId="4562" xr:uid="{00000000-0005-0000-0000-00000B040000}"/>
    <cellStyle name="_GIS총괄설계서(Version3.0) 2" xfId="7172" xr:uid="{00000000-0005-0000-0000-00000C040000}"/>
    <cellStyle name="_HIServlet?SLET=AttView&amp;APP=1&amp;ID=00050ozrw&amp;SEQ=0&amp;K=00U7A3Fxv1&amp;FILENAME=구조물단면" xfId="4563" xr:uid="{00000000-0005-0000-0000-00000D040000}"/>
    <cellStyle name="_HIServlet?SLET=AttView&amp;APP=1&amp;ID=00050ozrw&amp;SEQ=0&amp;K=00U7A3Fxv1&amp;FILENAME=구조물단면 2" xfId="7173" xr:uid="{00000000-0005-0000-0000-00000E040000}"/>
    <cellStyle name="_HIServlet?SLET=AttView&amp;APP=1&amp;ID=00050ozrw&amp;SEQ=0&amp;K=00U7A3Fxv1&amp;FILENAME=구조물단면_댐직하류 하천정비(환경)사업 기본계획 및 실시설계용역-수공용" xfId="4564" xr:uid="{00000000-0005-0000-0000-00000F040000}"/>
    <cellStyle name="_HIServlet?SLET=AttView&amp;APP=1&amp;ID=00050ozrw&amp;SEQ=0&amp;K=00U7A3Fxv1&amp;FILENAME=구조물단면_댐직하류 하천정비(환경)사업 기본계획 및 실시설계용역-수공용 2" xfId="7174" xr:uid="{00000000-0005-0000-0000-000010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" xfId="4565" xr:uid="{00000000-0005-0000-0000-000011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 2" xfId="7175" xr:uid="{00000000-0005-0000-0000-000012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" xfId="4566" xr:uid="{00000000-0005-0000-0000-000013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1) 신천금호강 종합개발 기본설계" xfId="4567" xr:uid="{00000000-0005-0000-0000-000014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4568" xr:uid="{00000000-0005-0000-0000-000015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4569" xr:uid="{00000000-0005-0000-0000-000016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신천-금호강)" xfId="4570" xr:uid="{00000000-0005-0000-0000-000017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4571" xr:uid="{00000000-0005-0000-0000-000018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4572" xr:uid="{00000000-0005-0000-0000-000019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전체)" xfId="4573" xr:uid="{00000000-0005-0000-0000-00001A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4574" xr:uid="{00000000-0005-0000-0000-00001B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4575" xr:uid="{00000000-0005-0000-0000-00001C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4576" xr:uid="{00000000-0005-0000-0000-00001D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4577" xr:uid="{00000000-0005-0000-0000-00001E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심사내역서" xfId="4578" xr:uid="{00000000-0005-0000-0000-00001F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176" xr:uid="{00000000-0005-0000-0000-000020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욱수천 하천재해예방사업 내역서" xfId="4579" xr:uid="{00000000-0005-0000-0000-000021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4580" xr:uid="{00000000-0005-0000-0000-000022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욱수천 하천재해예방사업 내역서" xfId="4581" xr:uid="{00000000-0005-0000-0000-00002304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욱수천 하천재해예방사업 내역서_002 욱수천정비공사실시설계 내역서_090113" xfId="4582" xr:uid="{00000000-0005-0000-0000-000024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" xfId="4583" xr:uid="{00000000-0005-0000-0000-000025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1) 신천금호강 종합개발 기본설계" xfId="4584" xr:uid="{00000000-0005-0000-0000-000026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2) 신천금호강 종합개발 동영상제작(변경최종)" xfId="4585" xr:uid="{00000000-0005-0000-0000-000027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3) 신천금호강 종합개발 산책로 실시설계(변경최종)" xfId="4586" xr:uid="{00000000-0005-0000-0000-000028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신천-금호강)" xfId="4587" xr:uid="{00000000-0005-0000-0000-000029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신천-금호강)_욱수천 하천재해예방사업 내역서" xfId="4588" xr:uid="{00000000-0005-0000-0000-00002A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4589" xr:uid="{00000000-0005-0000-0000-00002B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전체)" xfId="4590" xr:uid="{00000000-0005-0000-0000-00002C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전체)_욱수천 하천재해예방사업 내역서" xfId="4591" xr:uid="{00000000-0005-0000-0000-00002D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4592" xr:uid="{00000000-0005-0000-0000-00002E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신천금호강 종합개발 기본설계  내역서(수정분)" xfId="4593" xr:uid="{00000000-0005-0000-0000-00002F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신천금호강내역서(수정-보오링,사전재해및환경성제외,측량연장조정9(1).95억0726)" xfId="4594" xr:uid="{00000000-0005-0000-0000-000030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심사내역서" xfId="4595" xr:uid="{00000000-0005-0000-0000-000031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용담댐하류하천환경정비사업설계예산서(건희)" xfId="7177" xr:uid="{00000000-0005-0000-0000-000032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욱수천 하천재해예방사업 내역서" xfId="4596" xr:uid="{00000000-0005-0000-0000-000033040000}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욱수천 하천재해예방사업 내역서_002 욱수천정비공사실시설계 내역서_090113" xfId="4597" xr:uid="{00000000-0005-0000-0000-000034040000}"/>
    <cellStyle name="_HIServlet?SLET=AttView&amp;APP=1&amp;ID=00050ozrw&amp;SEQ=0&amp;K=00U7A3Fxv1&amp;FILENAME=구조물단면_댐직하류 하천정비(환경)사업 기본계획 및 실시설계용역-수공용_욱수천 하천재해예방사업 내역서" xfId="4598" xr:uid="{00000000-0005-0000-0000-000035040000}"/>
    <cellStyle name="_HIServlet?SLET=AttView&amp;APP=1&amp;ID=00050ozrw&amp;SEQ=0&amp;K=00U7A3Fxv1&amp;FILENAME=구조물단면_댐직하류 하천정비(환경)사업 기본계획 및 실시설계용역-수공용_욱수천 하천재해예방사업 내역서_002 욱수천정비공사실시설계 내역서_090113" xfId="4599" xr:uid="{00000000-0005-0000-0000-000036040000}"/>
    <cellStyle name="_HIServlet?SLET=AttView&amp;APP=1&amp;ID=00050ozrw&amp;SEQ=0&amp;K=00U7A3Fxv1&amp;FILENAME=구조물단면_용담댐하류하천환경정비사업설계예산서(건희)" xfId="4600" xr:uid="{00000000-0005-0000-0000-000037040000}"/>
    <cellStyle name="_HIServlet?SLET=AttView&amp;APP=1&amp;ID=00050ozrw&amp;SEQ=0&amp;K=00U7A3Fxv1&amp;FILENAME=구조물단면_용담댐하류하천환경정비사업설계예산서(건희)_1) 신천금호강 종합개발 기본설계" xfId="4601" xr:uid="{00000000-0005-0000-0000-000038040000}"/>
    <cellStyle name="_HIServlet?SLET=AttView&amp;APP=1&amp;ID=00050ozrw&amp;SEQ=0&amp;K=00U7A3Fxv1&amp;FILENAME=구조물단면_용담댐하류하천환경정비사업설계예산서(건희)_2) 신천금호강 종합개발 동영상제작(변경최종)" xfId="4602" xr:uid="{00000000-0005-0000-0000-000039040000}"/>
    <cellStyle name="_HIServlet?SLET=AttView&amp;APP=1&amp;ID=00050ozrw&amp;SEQ=0&amp;K=00U7A3Fxv1&amp;FILENAME=구조물단면_용담댐하류하천환경정비사업설계예산서(건희)_3) 신천금호강 종합개발 산책로 실시설계(변경최종)" xfId="4603" xr:uid="{00000000-0005-0000-0000-00003A040000}"/>
    <cellStyle name="_HIServlet?SLET=AttView&amp;APP=1&amp;ID=00050ozrw&amp;SEQ=0&amp;K=00U7A3Fxv1&amp;FILENAME=구조물단면_용담댐하류하천환경정비사업설계예산서(건희)_설계내역서(신천-금호강)" xfId="4604" xr:uid="{00000000-0005-0000-0000-00003B040000}"/>
    <cellStyle name="_HIServlet?SLET=AttView&amp;APP=1&amp;ID=00050ozrw&amp;SEQ=0&amp;K=00U7A3Fxv1&amp;FILENAME=구조물단면_용담댐하류하천환경정비사업설계예산서(건희)_설계내역서(신천-금호강)_욱수천 하천재해예방사업 내역서" xfId="4605" xr:uid="{00000000-0005-0000-0000-00003C040000}"/>
    <cellStyle name="_HIServlet?SLET=AttView&amp;APP=1&amp;ID=00050ozrw&amp;SEQ=0&amp;K=00U7A3Fxv1&amp;FILENAME=구조물단면_용담댐하류하천환경정비사업설계예산서(건희)_설계내역서(신천-금호강)_욱수천 하천재해예방사업 내역서_002 욱수천정비공사실시설계 내역서_090113" xfId="4606" xr:uid="{00000000-0005-0000-0000-00003D040000}"/>
    <cellStyle name="_HIServlet?SLET=AttView&amp;APP=1&amp;ID=00050ozrw&amp;SEQ=0&amp;K=00U7A3Fxv1&amp;FILENAME=구조물단면_용담댐하류하천환경정비사업설계예산서(건희)_설계내역서(전체)" xfId="4607" xr:uid="{00000000-0005-0000-0000-00003E040000}"/>
    <cellStyle name="_HIServlet?SLET=AttView&amp;APP=1&amp;ID=00050ozrw&amp;SEQ=0&amp;K=00U7A3Fxv1&amp;FILENAME=구조물단면_용담댐하류하천환경정비사업설계예산서(건희)_설계내역서(전체)_욱수천 하천재해예방사업 내역서" xfId="4608" xr:uid="{00000000-0005-0000-0000-00003F040000}"/>
    <cellStyle name="_HIServlet?SLET=AttView&amp;APP=1&amp;ID=00050ozrw&amp;SEQ=0&amp;K=00U7A3Fxv1&amp;FILENAME=구조물단면_용담댐하류하천환경정비사업설계예산서(건희)_설계내역서(전체)_욱수천 하천재해예방사업 내역서_002 욱수천정비공사실시설계 내역서_090113" xfId="4609" xr:uid="{00000000-0005-0000-0000-000040040000}"/>
    <cellStyle name="_HIServlet?SLET=AttView&amp;APP=1&amp;ID=00050ozrw&amp;SEQ=0&amp;K=00U7A3Fxv1&amp;FILENAME=구조물단면_용담댐하류하천환경정비사업설계예산서(건희)_신천금호강 종합개발 기본설계  내역서(수정분)" xfId="4610" xr:uid="{00000000-0005-0000-0000-000041040000}"/>
    <cellStyle name="_HIServlet?SLET=AttView&amp;APP=1&amp;ID=00050ozrw&amp;SEQ=0&amp;K=00U7A3Fxv1&amp;FILENAME=구조물단면_용담댐하류하천환경정비사업설계예산서(건희)_신천금호강내역서(수정-보오링,사전재해및환경성제외,측량연장조정9(1).95억0726)" xfId="4611" xr:uid="{00000000-0005-0000-0000-000042040000}"/>
    <cellStyle name="_HIServlet?SLET=AttView&amp;APP=1&amp;ID=00050ozrw&amp;SEQ=0&amp;K=00U7A3Fxv1&amp;FILENAME=구조물단면_용담댐하류하천환경정비사업설계예산서(건희)_심사내역서" xfId="4612" xr:uid="{00000000-0005-0000-0000-000043040000}"/>
    <cellStyle name="_HIServlet?SLET=AttView&amp;APP=1&amp;ID=00050ozrw&amp;SEQ=0&amp;K=00U7A3Fxv1&amp;FILENAME=구조물단면_용담댐하류하천환경정비사업설계예산서(건희)_용담댐하류하천환경정비사업설계예산서(건희)" xfId="7178" xr:uid="{00000000-0005-0000-0000-000044040000}"/>
    <cellStyle name="_HIServlet?SLET=AttView&amp;APP=1&amp;ID=00050ozrw&amp;SEQ=0&amp;K=00U7A3Fxv1&amp;FILENAME=구조물단면_용담댐하류하천환경정비사업설계예산서(건희)_욱수천 하천재해예방사업 내역서" xfId="4613" xr:uid="{00000000-0005-0000-0000-000045040000}"/>
    <cellStyle name="_HIServlet?SLET=AttView&amp;APP=1&amp;ID=00050ozrw&amp;SEQ=0&amp;K=00U7A3Fxv1&amp;FILENAME=구조물단면_용담댐하류하천환경정비사업설계예산서(건희)_욱수천 하천재해예방사업 내역서_002 욱수천정비공사실시설계 내역서_090113" xfId="4614" xr:uid="{00000000-0005-0000-0000-000046040000}"/>
    <cellStyle name="_HIServlet?SLET=AttView&amp;APP=1&amp;ID=00050ozrw&amp;SEQ=0&amp;K=00U7A3Fxv1&amp;FILENAME=구조물단면_욱수천 하천재해예방사업 내역서" xfId="4615" xr:uid="{00000000-0005-0000-0000-000047040000}"/>
    <cellStyle name="_HIServlet?SLET=AttView&amp;APP=1&amp;ID=00050ozrw&amp;SEQ=0&amp;K=00U7A3Fxv1&amp;FILENAME=구조물단면_욱수천 하천재해예방사업 내역서_002 욱수천정비공사실시설계 내역서_090113" xfId="4616" xr:uid="{00000000-0005-0000-0000-000048040000}"/>
    <cellStyle name="_hs 보령우회" xfId="1808" xr:uid="{00000000-0005-0000-0000-000049040000}"/>
    <cellStyle name="_hs 중앙선 8(선산토건)" xfId="1809" xr:uid="{00000000-0005-0000-0000-00004A040000}"/>
    <cellStyle name="_hs 중앙선 8(선산토건)_병천하수 견적060412" xfId="1810" xr:uid="{00000000-0005-0000-0000-00004B040000}"/>
    <cellStyle name="_hs 중앙선 8(선산토건)_사본 - 기성내역서(대경엔텍)" xfId="1811" xr:uid="{00000000-0005-0000-0000-00004C040000}"/>
    <cellStyle name="_hs 중앙선 8(선산토건)_사본 - 기성내역서(대경엔텍)_병천하수 견적060412" xfId="1812" xr:uid="{00000000-0005-0000-0000-00004D040000}"/>
    <cellStyle name="_hs 중앙선 8(선산토건)_사본 - 기성내역서(대경엔텍)_산북하수견적서" xfId="1813" xr:uid="{00000000-0005-0000-0000-00004E040000}"/>
    <cellStyle name="_hs 중앙선 8(선산토건)_사본 - 기성내역서(대경엔텍)_통일하수내역서" xfId="1814" xr:uid="{00000000-0005-0000-0000-00004F040000}"/>
    <cellStyle name="_hs 중앙선 8(선산토건)_산북하수견적서" xfId="1815" xr:uid="{00000000-0005-0000-0000-000050040000}"/>
    <cellStyle name="_hs 중앙선 8(선산토건)_제1회설계변경내역서(11.15~)update" xfId="1816" xr:uid="{00000000-0005-0000-0000-000051040000}"/>
    <cellStyle name="_hs 중앙선 8(선산토건)_제2회기성내역서(1차+2차공사)" xfId="1817" xr:uid="{00000000-0005-0000-0000-000052040000}"/>
    <cellStyle name="_hs 중앙선 8(선산토건)_제2회기성내역서(1차+2차공사)_병천하수 견적060412" xfId="1818" xr:uid="{00000000-0005-0000-0000-000053040000}"/>
    <cellStyle name="_hs 중앙선 8(선산토건)_제2회기성내역서(1차+2차공사)_산북하수견적서" xfId="1819" xr:uid="{00000000-0005-0000-0000-000054040000}"/>
    <cellStyle name="_hs 중앙선 8(선산토건)_제2회기성내역서(1차+2차공사)_제7회기성내역서(1차+2차공사)~ing" xfId="1820" xr:uid="{00000000-0005-0000-0000-000055040000}"/>
    <cellStyle name="_hs 중앙선 8(선산토건)_제2회기성내역서(1차+2차공사)_제7회기성내역서(1차+2차공사)~ing_병천하수 견적060412" xfId="1821" xr:uid="{00000000-0005-0000-0000-000056040000}"/>
    <cellStyle name="_hs 중앙선 8(선산토건)_제2회기성내역서(1차+2차공사)_제7회기성내역서(1차+2차공사)~ing_산북하수견적서" xfId="1822" xr:uid="{00000000-0005-0000-0000-000057040000}"/>
    <cellStyle name="_hs 중앙선 8(선산토건)_제2회기성내역서(1차+2차공사)_제7회기성내역서(1차+2차공사)~ing_통일하수내역서" xfId="1823" xr:uid="{00000000-0005-0000-0000-000058040000}"/>
    <cellStyle name="_hs 중앙선 8(선산토건)_제2회기성내역서(1차+2차공사)_통일하수내역서" xfId="1824" xr:uid="{00000000-0005-0000-0000-000059040000}"/>
    <cellStyle name="_hs 중앙선 8(선산토건)_통일하수내역서" xfId="1825" xr:uid="{00000000-0005-0000-0000-00005A040000}"/>
    <cellStyle name="_IBM" xfId="4617" xr:uid="{00000000-0005-0000-0000-00005B040000}"/>
    <cellStyle name="_IBM 2" xfId="7179" xr:uid="{00000000-0005-0000-0000-00005C040000}"/>
    <cellStyle name="_kcc 안산2단계" xfId="1826" xr:uid="{00000000-0005-0000-0000-00005D040000}"/>
    <cellStyle name="_kcc 안산2단계_병천하수 견적060412" xfId="1827" xr:uid="{00000000-0005-0000-0000-00005E040000}"/>
    <cellStyle name="_kcc 안산2단계_사본 - 기성내역서(대경엔텍)" xfId="1828" xr:uid="{00000000-0005-0000-0000-00005F040000}"/>
    <cellStyle name="_kcc 안산2단계_사본 - 기성내역서(대경엔텍)_병천하수 견적060412" xfId="1829" xr:uid="{00000000-0005-0000-0000-000060040000}"/>
    <cellStyle name="_kcc 안산2단계_사본 - 기성내역서(대경엔텍)_산북하수견적서" xfId="1830" xr:uid="{00000000-0005-0000-0000-000061040000}"/>
    <cellStyle name="_kcc 안산2단계_사본 - 기성내역서(대경엔텍)_통일하수내역서" xfId="1831" xr:uid="{00000000-0005-0000-0000-000062040000}"/>
    <cellStyle name="_kcc 안산2단계_산북하수견적서" xfId="1832" xr:uid="{00000000-0005-0000-0000-000063040000}"/>
    <cellStyle name="_kcc 안산2단계_제1회설계변경내역서(11.15~)update" xfId="1833" xr:uid="{00000000-0005-0000-0000-000064040000}"/>
    <cellStyle name="_kcc 안산2단계_제2회기성내역서(1차+2차공사)" xfId="1834" xr:uid="{00000000-0005-0000-0000-000065040000}"/>
    <cellStyle name="_kcc 안산2단계_제2회기성내역서(1차+2차공사)_병천하수 견적060412" xfId="1835" xr:uid="{00000000-0005-0000-0000-000066040000}"/>
    <cellStyle name="_kcc 안산2단계_제2회기성내역서(1차+2차공사)_산북하수견적서" xfId="1836" xr:uid="{00000000-0005-0000-0000-000067040000}"/>
    <cellStyle name="_kcc 안산2단계_제2회기성내역서(1차+2차공사)_제7회기성내역서(1차+2차공사)~ing" xfId="1837" xr:uid="{00000000-0005-0000-0000-000068040000}"/>
    <cellStyle name="_kcc 안산2단계_제2회기성내역서(1차+2차공사)_제7회기성내역서(1차+2차공사)~ing_병천하수 견적060412" xfId="1838" xr:uid="{00000000-0005-0000-0000-000069040000}"/>
    <cellStyle name="_kcc 안산2단계_제2회기성내역서(1차+2차공사)_제7회기성내역서(1차+2차공사)~ing_산북하수견적서" xfId="1839" xr:uid="{00000000-0005-0000-0000-00006A040000}"/>
    <cellStyle name="_kcc 안산2단계_제2회기성내역서(1차+2차공사)_제7회기성내역서(1차+2차공사)~ing_통일하수내역서" xfId="1840" xr:uid="{00000000-0005-0000-0000-00006B040000}"/>
    <cellStyle name="_kcc 안산2단계_제2회기성내역서(1차+2차공사)_통일하수내역서" xfId="1841" xr:uid="{00000000-0005-0000-0000-00006C040000}"/>
    <cellStyle name="_kcc 안산2단계_통일하수내역서" xfId="1842" xr:uid="{00000000-0005-0000-0000-00006D040000}"/>
    <cellStyle name="_kcc 합덕 신례원 1" xfId="1843" xr:uid="{00000000-0005-0000-0000-00006E040000}"/>
    <cellStyle name="_kcc 합덕 신례원 1_병천하수 견적060412" xfId="1844" xr:uid="{00000000-0005-0000-0000-00006F040000}"/>
    <cellStyle name="_kcc 합덕 신례원 1_사본 - 기성내역서(대경엔텍)" xfId="1845" xr:uid="{00000000-0005-0000-0000-000070040000}"/>
    <cellStyle name="_kcc 합덕 신례원 1_사본 - 기성내역서(대경엔텍)_병천하수 견적060412" xfId="1846" xr:uid="{00000000-0005-0000-0000-000071040000}"/>
    <cellStyle name="_kcc 합덕 신례원 1_사본 - 기성내역서(대경엔텍)_산북하수견적서" xfId="1847" xr:uid="{00000000-0005-0000-0000-000072040000}"/>
    <cellStyle name="_kcc 합덕 신례원 1_사본 - 기성내역서(대경엔텍)_통일하수내역서" xfId="1848" xr:uid="{00000000-0005-0000-0000-000073040000}"/>
    <cellStyle name="_kcc 합덕 신례원 1_산북하수견적서" xfId="1849" xr:uid="{00000000-0005-0000-0000-000074040000}"/>
    <cellStyle name="_kcc 합덕 신례원 1_제1회설계변경내역서(11.15~)update" xfId="1850" xr:uid="{00000000-0005-0000-0000-000075040000}"/>
    <cellStyle name="_kcc 합덕 신례원 1_제2회기성내역서(1차+2차공사)" xfId="1851" xr:uid="{00000000-0005-0000-0000-000076040000}"/>
    <cellStyle name="_kcc 합덕 신례원 1_제2회기성내역서(1차+2차공사)_병천하수 견적060412" xfId="1852" xr:uid="{00000000-0005-0000-0000-000077040000}"/>
    <cellStyle name="_kcc 합덕 신례원 1_제2회기성내역서(1차+2차공사)_산북하수견적서" xfId="1853" xr:uid="{00000000-0005-0000-0000-000078040000}"/>
    <cellStyle name="_kcc 합덕 신례원 1_제2회기성내역서(1차+2차공사)_제7회기성내역서(1차+2차공사)~ing" xfId="1854" xr:uid="{00000000-0005-0000-0000-000079040000}"/>
    <cellStyle name="_kcc 합덕 신례원 1_제2회기성내역서(1차+2차공사)_제7회기성내역서(1차+2차공사)~ing_병천하수 견적060412" xfId="1855" xr:uid="{00000000-0005-0000-0000-00007A040000}"/>
    <cellStyle name="_kcc 합덕 신례원 1_제2회기성내역서(1차+2차공사)_제7회기성내역서(1차+2차공사)~ing_산북하수견적서" xfId="1856" xr:uid="{00000000-0005-0000-0000-00007B040000}"/>
    <cellStyle name="_kcc 합덕 신례원 1_제2회기성내역서(1차+2차공사)_제7회기성내역서(1차+2차공사)~ing_통일하수내역서" xfId="1857" xr:uid="{00000000-0005-0000-0000-00007C040000}"/>
    <cellStyle name="_kcc 합덕 신례원 1_제2회기성내역서(1차+2차공사)_통일하수내역서" xfId="1858" xr:uid="{00000000-0005-0000-0000-00007D040000}"/>
    <cellStyle name="_kcc 합덕 신례원 1_통일하수내역서" xfId="1859" xr:uid="{00000000-0005-0000-0000-00007E040000}"/>
    <cellStyle name="_kcc-수동안의간" xfId="1860" xr:uid="{00000000-0005-0000-0000-00007F040000}"/>
    <cellStyle name="_kcc-수동안의간_병천하수 견적060412" xfId="1861" xr:uid="{00000000-0005-0000-0000-000080040000}"/>
    <cellStyle name="_kcc-수동안의간_사본 - 기성내역서(대경엔텍)" xfId="1862" xr:uid="{00000000-0005-0000-0000-000081040000}"/>
    <cellStyle name="_kcc-수동안의간_사본 - 기성내역서(대경엔텍)_병천하수 견적060412" xfId="1863" xr:uid="{00000000-0005-0000-0000-000082040000}"/>
    <cellStyle name="_kcc-수동안의간_사본 - 기성내역서(대경엔텍)_산북하수견적서" xfId="1864" xr:uid="{00000000-0005-0000-0000-000083040000}"/>
    <cellStyle name="_kcc-수동안의간_사본 - 기성내역서(대경엔텍)_통일하수내역서" xfId="1865" xr:uid="{00000000-0005-0000-0000-000084040000}"/>
    <cellStyle name="_kcc-수동안의간_산북하수견적서" xfId="1866" xr:uid="{00000000-0005-0000-0000-000085040000}"/>
    <cellStyle name="_kcc-수동안의간_제1회설계변경내역서(11.15~)update" xfId="1867" xr:uid="{00000000-0005-0000-0000-000086040000}"/>
    <cellStyle name="_kcc-수동안의간_제2회기성내역서(1차+2차공사)" xfId="1868" xr:uid="{00000000-0005-0000-0000-000087040000}"/>
    <cellStyle name="_kcc-수동안의간_제2회기성내역서(1차+2차공사)_병천하수 견적060412" xfId="1869" xr:uid="{00000000-0005-0000-0000-000088040000}"/>
    <cellStyle name="_kcc-수동안의간_제2회기성내역서(1차+2차공사)_산북하수견적서" xfId="1870" xr:uid="{00000000-0005-0000-0000-000089040000}"/>
    <cellStyle name="_kcc-수동안의간_제2회기성내역서(1차+2차공사)_제7회기성내역서(1차+2차공사)~ing" xfId="1871" xr:uid="{00000000-0005-0000-0000-00008A040000}"/>
    <cellStyle name="_kcc-수동안의간_제2회기성내역서(1차+2차공사)_제7회기성내역서(1차+2차공사)~ing_병천하수 견적060412" xfId="1872" xr:uid="{00000000-0005-0000-0000-00008B040000}"/>
    <cellStyle name="_kcc-수동안의간_제2회기성내역서(1차+2차공사)_제7회기성내역서(1차+2차공사)~ing_산북하수견적서" xfId="1873" xr:uid="{00000000-0005-0000-0000-00008C040000}"/>
    <cellStyle name="_kcc-수동안의간_제2회기성내역서(1차+2차공사)_제7회기성내역서(1차+2차공사)~ing_통일하수내역서" xfId="1874" xr:uid="{00000000-0005-0000-0000-00008D040000}"/>
    <cellStyle name="_kcc-수동안의간_제2회기성내역서(1차+2차공사)_통일하수내역서" xfId="1875" xr:uid="{00000000-0005-0000-0000-00008E040000}"/>
    <cellStyle name="_kcc-수동안의간_통일하수내역서" xfId="1876" xr:uid="{00000000-0005-0000-0000-00008F040000}"/>
    <cellStyle name="_kcc-안동시관내" xfId="1877" xr:uid="{00000000-0005-0000-0000-000090040000}"/>
    <cellStyle name="_kcc-안동시관내_병천하수 견적060412" xfId="1878" xr:uid="{00000000-0005-0000-0000-000091040000}"/>
    <cellStyle name="_kcc-안동시관내_사본 - 기성내역서(대경엔텍)" xfId="1879" xr:uid="{00000000-0005-0000-0000-000092040000}"/>
    <cellStyle name="_kcc-안동시관내_사본 - 기성내역서(대경엔텍)_병천하수 견적060412" xfId="1880" xr:uid="{00000000-0005-0000-0000-000093040000}"/>
    <cellStyle name="_kcc-안동시관내_사본 - 기성내역서(대경엔텍)_산북하수견적서" xfId="1881" xr:uid="{00000000-0005-0000-0000-000094040000}"/>
    <cellStyle name="_kcc-안동시관내_사본 - 기성내역서(대경엔텍)_통일하수내역서" xfId="1882" xr:uid="{00000000-0005-0000-0000-000095040000}"/>
    <cellStyle name="_kcc-안동시관내_산북하수견적서" xfId="1883" xr:uid="{00000000-0005-0000-0000-000096040000}"/>
    <cellStyle name="_kcc-안동시관내_제1회설계변경내역서(11.15~)update" xfId="1884" xr:uid="{00000000-0005-0000-0000-000097040000}"/>
    <cellStyle name="_kcc-안동시관내_제2회기성내역서(1차+2차공사)" xfId="1885" xr:uid="{00000000-0005-0000-0000-000098040000}"/>
    <cellStyle name="_kcc-안동시관내_제2회기성내역서(1차+2차공사)_병천하수 견적060412" xfId="1886" xr:uid="{00000000-0005-0000-0000-000099040000}"/>
    <cellStyle name="_kcc-안동시관내_제2회기성내역서(1차+2차공사)_산북하수견적서" xfId="1887" xr:uid="{00000000-0005-0000-0000-00009A040000}"/>
    <cellStyle name="_kcc-안동시관내_제2회기성내역서(1차+2차공사)_제7회기성내역서(1차+2차공사)~ing" xfId="1888" xr:uid="{00000000-0005-0000-0000-00009B040000}"/>
    <cellStyle name="_kcc-안동시관내_제2회기성내역서(1차+2차공사)_제7회기성내역서(1차+2차공사)~ing_병천하수 견적060412" xfId="1889" xr:uid="{00000000-0005-0000-0000-00009C040000}"/>
    <cellStyle name="_kcc-안동시관내_제2회기성내역서(1차+2차공사)_제7회기성내역서(1차+2차공사)~ing_산북하수견적서" xfId="1890" xr:uid="{00000000-0005-0000-0000-00009D040000}"/>
    <cellStyle name="_kcc-안동시관내_제2회기성내역서(1차+2차공사)_제7회기성내역서(1차+2차공사)~ing_통일하수내역서" xfId="1891" xr:uid="{00000000-0005-0000-0000-00009E040000}"/>
    <cellStyle name="_kcc-안동시관내_제2회기성내역서(1차+2차공사)_통일하수내역서" xfId="1892" xr:uid="{00000000-0005-0000-0000-00009F040000}"/>
    <cellStyle name="_kcc-안동시관내_통일하수내역서" xfId="1893" xr:uid="{00000000-0005-0000-0000-0000A0040000}"/>
    <cellStyle name="_kn 구룡포~대보간 1" xfId="1894" xr:uid="{00000000-0005-0000-0000-0000A1040000}"/>
    <cellStyle name="_kn 구룡포~대보간 1_병천하수 견적060412" xfId="1895" xr:uid="{00000000-0005-0000-0000-0000A2040000}"/>
    <cellStyle name="_kn 구룡포~대보간 1_사본 - 기성내역서(대경엔텍)" xfId="1896" xr:uid="{00000000-0005-0000-0000-0000A3040000}"/>
    <cellStyle name="_kn 구룡포~대보간 1_사본 - 기성내역서(대경엔텍)_병천하수 견적060412" xfId="1897" xr:uid="{00000000-0005-0000-0000-0000A4040000}"/>
    <cellStyle name="_kn 구룡포~대보간 1_사본 - 기성내역서(대경엔텍)_산북하수견적서" xfId="1898" xr:uid="{00000000-0005-0000-0000-0000A5040000}"/>
    <cellStyle name="_kn 구룡포~대보간 1_사본 - 기성내역서(대경엔텍)_통일하수내역서" xfId="1899" xr:uid="{00000000-0005-0000-0000-0000A6040000}"/>
    <cellStyle name="_kn 구룡포~대보간 1_산북하수견적서" xfId="1900" xr:uid="{00000000-0005-0000-0000-0000A7040000}"/>
    <cellStyle name="_kn 구룡포~대보간 1_제1회설계변경내역서(11.15~)update" xfId="1901" xr:uid="{00000000-0005-0000-0000-0000A8040000}"/>
    <cellStyle name="_kn 구룡포~대보간 1_제2회기성내역서(1차+2차공사)" xfId="1902" xr:uid="{00000000-0005-0000-0000-0000A9040000}"/>
    <cellStyle name="_kn 구룡포~대보간 1_제2회기성내역서(1차+2차공사)_병천하수 견적060412" xfId="1903" xr:uid="{00000000-0005-0000-0000-0000AA040000}"/>
    <cellStyle name="_kn 구룡포~대보간 1_제2회기성내역서(1차+2차공사)_산북하수견적서" xfId="1904" xr:uid="{00000000-0005-0000-0000-0000AB040000}"/>
    <cellStyle name="_kn 구룡포~대보간 1_제2회기성내역서(1차+2차공사)_제7회기성내역서(1차+2차공사)~ing" xfId="1905" xr:uid="{00000000-0005-0000-0000-0000AC040000}"/>
    <cellStyle name="_kn 구룡포~대보간 1_제2회기성내역서(1차+2차공사)_제7회기성내역서(1차+2차공사)~ing_병천하수 견적060412" xfId="1906" xr:uid="{00000000-0005-0000-0000-0000AD040000}"/>
    <cellStyle name="_kn 구룡포~대보간 1_제2회기성내역서(1차+2차공사)_제7회기성내역서(1차+2차공사)~ing_산북하수견적서" xfId="1907" xr:uid="{00000000-0005-0000-0000-0000AE040000}"/>
    <cellStyle name="_kn 구룡포~대보간 1_제2회기성내역서(1차+2차공사)_제7회기성내역서(1차+2차공사)~ing_통일하수내역서" xfId="1908" xr:uid="{00000000-0005-0000-0000-0000AF040000}"/>
    <cellStyle name="_kn 구룡포~대보간 1_제2회기성내역서(1차+2차공사)_통일하수내역서" xfId="1909" xr:uid="{00000000-0005-0000-0000-0000B0040000}"/>
    <cellStyle name="_kn 구룡포~대보간 1_통일하수내역서" xfId="1910" xr:uid="{00000000-0005-0000-0000-0000B1040000}"/>
    <cellStyle name="_ktis-Security견적(giga)_최종-조정안" xfId="4618" xr:uid="{00000000-0005-0000-0000-0000B2040000}"/>
    <cellStyle name="_ktis-Security견적(giga)_최종-조정안 2" xfId="7180" xr:uid="{00000000-0005-0000-0000-0000B3040000}"/>
    <cellStyle name="_lee 견적보고-2002년" xfId="1911" xr:uid="{00000000-0005-0000-0000-0000B4040000}"/>
    <cellStyle name="_lee 견적보고-2002년_병천하수 견적060412" xfId="1912" xr:uid="{00000000-0005-0000-0000-0000B5040000}"/>
    <cellStyle name="_lee 견적보고-2002년_사본 - 기성내역서(대경엔텍)" xfId="1913" xr:uid="{00000000-0005-0000-0000-0000B6040000}"/>
    <cellStyle name="_lee 견적보고-2002년_사본 - 기성내역서(대경엔텍)_병천하수 견적060412" xfId="1914" xr:uid="{00000000-0005-0000-0000-0000B7040000}"/>
    <cellStyle name="_lee 견적보고-2002년_사본 - 기성내역서(대경엔텍)_산북하수견적서" xfId="1915" xr:uid="{00000000-0005-0000-0000-0000B8040000}"/>
    <cellStyle name="_lee 견적보고-2002년_사본 - 기성내역서(대경엔텍)_통일하수내역서" xfId="1916" xr:uid="{00000000-0005-0000-0000-0000B9040000}"/>
    <cellStyle name="_lee 견적보고-2002년_산북하수견적서" xfId="1917" xr:uid="{00000000-0005-0000-0000-0000BA040000}"/>
    <cellStyle name="_lee 견적보고-2002년_제1회설계변경내역서(11.15~)update" xfId="1918" xr:uid="{00000000-0005-0000-0000-0000BB040000}"/>
    <cellStyle name="_lee 견적보고-2002년_제2회기성내역서(1차+2차공사)" xfId="1919" xr:uid="{00000000-0005-0000-0000-0000BC040000}"/>
    <cellStyle name="_lee 견적보고-2002년_제2회기성내역서(1차+2차공사)_병천하수 견적060412" xfId="1920" xr:uid="{00000000-0005-0000-0000-0000BD040000}"/>
    <cellStyle name="_lee 견적보고-2002년_제2회기성내역서(1차+2차공사)_산북하수견적서" xfId="1921" xr:uid="{00000000-0005-0000-0000-0000BE040000}"/>
    <cellStyle name="_lee 견적보고-2002년_제2회기성내역서(1차+2차공사)_제7회기성내역서(1차+2차공사)~ing" xfId="1922" xr:uid="{00000000-0005-0000-0000-0000BF040000}"/>
    <cellStyle name="_lee 견적보고-2002년_제2회기성내역서(1차+2차공사)_제7회기성내역서(1차+2차공사)~ing_병천하수 견적060412" xfId="1923" xr:uid="{00000000-0005-0000-0000-0000C0040000}"/>
    <cellStyle name="_lee 견적보고-2002년_제2회기성내역서(1차+2차공사)_제7회기성내역서(1차+2차공사)~ing_산북하수견적서" xfId="1924" xr:uid="{00000000-0005-0000-0000-0000C1040000}"/>
    <cellStyle name="_lee 견적보고-2002년_제2회기성내역서(1차+2차공사)_제7회기성내역서(1차+2차공사)~ing_통일하수내역서" xfId="1925" xr:uid="{00000000-0005-0000-0000-0000C2040000}"/>
    <cellStyle name="_lee 견적보고-2002년_제2회기성내역서(1차+2차공사)_통일하수내역서" xfId="1926" xr:uid="{00000000-0005-0000-0000-0000C3040000}"/>
    <cellStyle name="_lee 견적보고-2002년_통일하수내역서" xfId="1927" xr:uid="{00000000-0005-0000-0000-0000C4040000}"/>
    <cellStyle name="_P-03-092공통" xfId="4619" xr:uid="{00000000-0005-0000-0000-0000C5040000}"/>
    <cellStyle name="_P-03-092공통 2" xfId="7181" xr:uid="{00000000-0005-0000-0000-0000C6040000}"/>
    <cellStyle name="_P-04-007(공통)" xfId="4620" xr:uid="{00000000-0005-0000-0000-0000C7040000}"/>
    <cellStyle name="_P-04-007(공통) 2" xfId="7182" xr:uid="{00000000-0005-0000-0000-0000C8040000}"/>
    <cellStyle name="_P-04-007(총괄)" xfId="4621" xr:uid="{00000000-0005-0000-0000-0000C9040000}"/>
    <cellStyle name="_P-04-007(총괄) 2" xfId="7183" xr:uid="{00000000-0005-0000-0000-0000CA040000}"/>
    <cellStyle name="_PC-01. U-City_시설종합관리시스템 개발비_상세내역_(0328)" xfId="4622" xr:uid="{00000000-0005-0000-0000-0000CB040000}"/>
    <cellStyle name="_PC-01. U-City_시설종합관리시스템 개발비_상세내역_(0328) 2" xfId="7184" xr:uid="{00000000-0005-0000-0000-0000CC040000}"/>
    <cellStyle name="_RAMP-E교-최종000" xfId="624" xr:uid="{00000000-0005-0000-0000-0000CD040000}"/>
    <cellStyle name="_RAMP-E교-최종000 2" xfId="7185" xr:uid="{00000000-0005-0000-0000-0000CE040000}"/>
    <cellStyle name="_RAMP-E교-최종000_002 욱수천정비공사실시설계 내역서_090113" xfId="4623" xr:uid="{00000000-0005-0000-0000-0000CF040000}"/>
    <cellStyle name="_RAMP-E교-최종000_서울대 바이오테크 설계내역서" xfId="4624" xr:uid="{00000000-0005-0000-0000-0000D0040000}"/>
    <cellStyle name="_RAMP-E교-최종000_서울대 바이오테크 설계내역서 2" xfId="7186" xr:uid="{00000000-0005-0000-0000-0000D1040000}"/>
    <cellStyle name="_RAMP-E교-최종000_서울대 바이오테크 설계내역서(수정)" xfId="4625" xr:uid="{00000000-0005-0000-0000-0000D2040000}"/>
    <cellStyle name="_RAMP-E교-최종000_서울대 바이오테크 설계내역서(수정) 2" xfId="7187" xr:uid="{00000000-0005-0000-0000-0000D3040000}"/>
    <cellStyle name="_RAMP-E교-최종000_시방서" xfId="625" xr:uid="{00000000-0005-0000-0000-0000D4040000}"/>
    <cellStyle name="_RAMP-E교-최종000_시방서 2" xfId="7188" xr:uid="{00000000-0005-0000-0000-0000D5040000}"/>
    <cellStyle name="_RAMP-E교-최종000_시방서_002 욱수천정비공사실시설계 내역서_090113" xfId="4626" xr:uid="{00000000-0005-0000-0000-0000D6040000}"/>
    <cellStyle name="_RAMP-E교-최종000_시방서_서울대 바이오테크 설계내역서" xfId="4627" xr:uid="{00000000-0005-0000-0000-0000D7040000}"/>
    <cellStyle name="_RAMP-E교-최종000_시방서_서울대 바이오테크 설계내역서 2" xfId="7189" xr:uid="{00000000-0005-0000-0000-0000D8040000}"/>
    <cellStyle name="_RAMP-E교-최종000_시방서_서울대 바이오테크 설계내역서(수정)" xfId="4628" xr:uid="{00000000-0005-0000-0000-0000D9040000}"/>
    <cellStyle name="_RAMP-E교-최종000_시방서_서울대 바이오테크 설계내역서(수정) 2" xfId="7190" xr:uid="{00000000-0005-0000-0000-0000DA040000}"/>
    <cellStyle name="_RAMP-E교-최종000_파도 - 모항선 횡배수관 확장" xfId="626" xr:uid="{00000000-0005-0000-0000-0000DB040000}"/>
    <cellStyle name="_RAMP-E교-최종000_파도 - 모항선 횡배수관 확장 2" xfId="7191" xr:uid="{00000000-0005-0000-0000-0000DC040000}"/>
    <cellStyle name="_RAMP-E교-최종000_파도 - 모항선 횡배수관 확장_002 욱수천정비공사실시설계 내역서_090113" xfId="4629" xr:uid="{00000000-0005-0000-0000-0000DD040000}"/>
    <cellStyle name="_RAMP-E교-최종000_파도 - 모항선 횡배수관 확장_서울대 바이오테크 설계내역서" xfId="4630" xr:uid="{00000000-0005-0000-0000-0000DE040000}"/>
    <cellStyle name="_RAMP-E교-최종000_파도 - 모항선 횡배수관 확장_서울대 바이오테크 설계내역서 2" xfId="7192" xr:uid="{00000000-0005-0000-0000-0000DF040000}"/>
    <cellStyle name="_RAMP-E교-최종000_파도 - 모항선 횡배수관 확장_서울대 바이오테크 설계내역서(수정)" xfId="4631" xr:uid="{00000000-0005-0000-0000-0000E0040000}"/>
    <cellStyle name="_RAMP-E교-최종000_파도 - 모항선 횡배수관 확장_서울대 바이오테크 설계내역서(수정) 2" xfId="7193" xr:uid="{00000000-0005-0000-0000-0000E1040000}"/>
    <cellStyle name="_RAMP-E교-최종000_파도 - 모항선 횡배수관 확장_시방서" xfId="627" xr:uid="{00000000-0005-0000-0000-0000E2040000}"/>
    <cellStyle name="_RAMP-E교-최종000_파도 - 모항선 횡배수관 확장_시방서 2" xfId="7194" xr:uid="{00000000-0005-0000-0000-0000E3040000}"/>
    <cellStyle name="_RAMP-E교-최종000_파도 - 모항선 횡배수관 확장_시방서_002 욱수천정비공사실시설계 내역서_090113" xfId="4632" xr:uid="{00000000-0005-0000-0000-0000E4040000}"/>
    <cellStyle name="_RAMP-E교-최종000_파도 - 모항선 횡배수관 확장_시방서_서울대 바이오테크 설계내역서" xfId="4633" xr:uid="{00000000-0005-0000-0000-0000E5040000}"/>
    <cellStyle name="_RAMP-E교-최종000_파도 - 모항선 횡배수관 확장_시방서_서울대 바이오테크 설계내역서 2" xfId="7195" xr:uid="{00000000-0005-0000-0000-0000E6040000}"/>
    <cellStyle name="_RAMP-E교-최종000_파도 - 모항선 횡배수관 확장_시방서_서울대 바이오테크 설계내역서(수정)" xfId="4634" xr:uid="{00000000-0005-0000-0000-0000E7040000}"/>
    <cellStyle name="_RAMP-E교-최종000_파도 - 모항선 횡배수관 확장_시방서_서울대 바이오테크 설계내역서(수정) 2" xfId="7196" xr:uid="{00000000-0005-0000-0000-0000E8040000}"/>
    <cellStyle name="_RESULTS" xfId="4635" xr:uid="{00000000-0005-0000-0000-0000E9040000}"/>
    <cellStyle name="_SI부문_김천시" xfId="4636" xr:uid="{00000000-0005-0000-0000-0000EA040000}"/>
    <cellStyle name="_SI부문_김천시 2" xfId="7197" xr:uid="{00000000-0005-0000-0000-0000EB040000}"/>
    <cellStyle name="_ss dsi 중앙선 10" xfId="1928" xr:uid="{00000000-0005-0000-0000-0000EC040000}"/>
    <cellStyle name="_ss dsi 중앙선 10_병천하수 견적060412" xfId="1929" xr:uid="{00000000-0005-0000-0000-0000ED040000}"/>
    <cellStyle name="_ss dsi 중앙선 10_사본 - 기성내역서(대경엔텍)" xfId="1930" xr:uid="{00000000-0005-0000-0000-0000EE040000}"/>
    <cellStyle name="_ss dsi 중앙선 10_사본 - 기성내역서(대경엔텍)_병천하수 견적060412" xfId="1931" xr:uid="{00000000-0005-0000-0000-0000EF040000}"/>
    <cellStyle name="_ss dsi 중앙선 10_사본 - 기성내역서(대경엔텍)_산북하수견적서" xfId="1932" xr:uid="{00000000-0005-0000-0000-0000F0040000}"/>
    <cellStyle name="_ss dsi 중앙선 10_사본 - 기성내역서(대경엔텍)_통일하수내역서" xfId="1933" xr:uid="{00000000-0005-0000-0000-0000F1040000}"/>
    <cellStyle name="_ss dsi 중앙선 10_산북하수견적서" xfId="1934" xr:uid="{00000000-0005-0000-0000-0000F2040000}"/>
    <cellStyle name="_ss dsi 중앙선 10_제1회설계변경내역서(11.15~)update" xfId="1935" xr:uid="{00000000-0005-0000-0000-0000F3040000}"/>
    <cellStyle name="_ss dsi 중앙선 10_제2회기성내역서(1차+2차공사)" xfId="1936" xr:uid="{00000000-0005-0000-0000-0000F4040000}"/>
    <cellStyle name="_ss dsi 중앙선 10_제2회기성내역서(1차+2차공사)_병천하수 견적060412" xfId="1937" xr:uid="{00000000-0005-0000-0000-0000F5040000}"/>
    <cellStyle name="_ss dsi 중앙선 10_제2회기성내역서(1차+2차공사)_산북하수견적서" xfId="1938" xr:uid="{00000000-0005-0000-0000-0000F6040000}"/>
    <cellStyle name="_ss dsi 중앙선 10_제2회기성내역서(1차+2차공사)_제7회기성내역서(1차+2차공사)~ing" xfId="1939" xr:uid="{00000000-0005-0000-0000-0000F7040000}"/>
    <cellStyle name="_ss dsi 중앙선 10_제2회기성내역서(1차+2차공사)_제7회기성내역서(1차+2차공사)~ing_병천하수 견적060412" xfId="1940" xr:uid="{00000000-0005-0000-0000-0000F8040000}"/>
    <cellStyle name="_ss dsi 중앙선 10_제2회기성내역서(1차+2차공사)_제7회기성내역서(1차+2차공사)~ing_산북하수견적서" xfId="1941" xr:uid="{00000000-0005-0000-0000-0000F9040000}"/>
    <cellStyle name="_ss dsi 중앙선 10_제2회기성내역서(1차+2차공사)_제7회기성내역서(1차+2차공사)~ing_통일하수내역서" xfId="1942" xr:uid="{00000000-0005-0000-0000-0000FA040000}"/>
    <cellStyle name="_ss dsi 중앙선 10_제2회기성내역서(1차+2차공사)_통일하수내역서" xfId="1943" xr:uid="{00000000-0005-0000-0000-0000FB040000}"/>
    <cellStyle name="_ss dsi 중앙선 10_통일하수내역서" xfId="1944" xr:uid="{00000000-0005-0000-0000-0000FC040000}"/>
    <cellStyle name="_ss 굴포천" xfId="1945" xr:uid="{00000000-0005-0000-0000-0000FD040000}"/>
    <cellStyle name="_ss 굴포천_병천하수 견적060412" xfId="1946" xr:uid="{00000000-0005-0000-0000-0000FE040000}"/>
    <cellStyle name="_ss 굴포천_사본 - 기성내역서(대경엔텍)" xfId="1947" xr:uid="{00000000-0005-0000-0000-0000FF040000}"/>
    <cellStyle name="_ss 굴포천_사본 - 기성내역서(대경엔텍)_병천하수 견적060412" xfId="1948" xr:uid="{00000000-0005-0000-0000-000000050000}"/>
    <cellStyle name="_ss 굴포천_사본 - 기성내역서(대경엔텍)_산북하수견적서" xfId="1949" xr:uid="{00000000-0005-0000-0000-000001050000}"/>
    <cellStyle name="_ss 굴포천_사본 - 기성내역서(대경엔텍)_통일하수내역서" xfId="1950" xr:uid="{00000000-0005-0000-0000-000002050000}"/>
    <cellStyle name="_ss 굴포천_산북하수견적서" xfId="1951" xr:uid="{00000000-0005-0000-0000-000003050000}"/>
    <cellStyle name="_ss 굴포천_제1회설계변경내역서(11.15~)update" xfId="1952" xr:uid="{00000000-0005-0000-0000-000004050000}"/>
    <cellStyle name="_ss 굴포천_제2회기성내역서(1차+2차공사)" xfId="1953" xr:uid="{00000000-0005-0000-0000-000005050000}"/>
    <cellStyle name="_ss 굴포천_제2회기성내역서(1차+2차공사)_병천하수 견적060412" xfId="1954" xr:uid="{00000000-0005-0000-0000-000006050000}"/>
    <cellStyle name="_ss 굴포천_제2회기성내역서(1차+2차공사)_산북하수견적서" xfId="1955" xr:uid="{00000000-0005-0000-0000-000007050000}"/>
    <cellStyle name="_ss 굴포천_제2회기성내역서(1차+2차공사)_제7회기성내역서(1차+2차공사)~ing" xfId="1956" xr:uid="{00000000-0005-0000-0000-000008050000}"/>
    <cellStyle name="_ss 굴포천_제2회기성내역서(1차+2차공사)_제7회기성내역서(1차+2차공사)~ing_병천하수 견적060412" xfId="1957" xr:uid="{00000000-0005-0000-0000-000009050000}"/>
    <cellStyle name="_ss 굴포천_제2회기성내역서(1차+2차공사)_제7회기성내역서(1차+2차공사)~ing_산북하수견적서" xfId="1958" xr:uid="{00000000-0005-0000-0000-00000A050000}"/>
    <cellStyle name="_ss 굴포천_제2회기성내역서(1차+2차공사)_제7회기성내역서(1차+2차공사)~ing_통일하수내역서" xfId="1959" xr:uid="{00000000-0005-0000-0000-00000B050000}"/>
    <cellStyle name="_ss 굴포천_제2회기성내역서(1차+2차공사)_통일하수내역서" xfId="1960" xr:uid="{00000000-0005-0000-0000-00000C050000}"/>
    <cellStyle name="_ss 굴포천_통일하수내역서" xfId="1961" xr:uid="{00000000-0005-0000-0000-00000D050000}"/>
    <cellStyle name="_가설건축전기산출서" xfId="628" xr:uid="{00000000-0005-0000-0000-00000E050000}"/>
    <cellStyle name="_가설건축전기산출서_수량산출서(2003.4.1)" xfId="629" xr:uid="{00000000-0005-0000-0000-00000F050000}"/>
    <cellStyle name="_가설동력수량산출" xfId="630" xr:uid="{00000000-0005-0000-0000-000010050000}"/>
    <cellStyle name="_가설동력수량산출_수량산출서(2003.4.1)" xfId="631" xr:uid="{00000000-0005-0000-0000-000011050000}"/>
    <cellStyle name="_가설통신수량" xfId="632" xr:uid="{00000000-0005-0000-0000-000012050000}"/>
    <cellStyle name="_가설통신수량_수량산출서(2003.4.1)" xfId="633" xr:uid="{00000000-0005-0000-0000-000013050000}"/>
    <cellStyle name="_가압장철거" xfId="634" xr:uid="{00000000-0005-0000-0000-000014050000}"/>
    <cellStyle name="_가압장철거스탠드파이프추가" xfId="635" xr:uid="{00000000-0005-0000-0000-000015050000}"/>
    <cellStyle name="_감리내역" xfId="1962" xr:uid="{00000000-0005-0000-0000-000016050000}"/>
    <cellStyle name="_강남대_네트웍_컴스(시스코쓰리콤견적)" xfId="4637" xr:uid="{00000000-0005-0000-0000-000017050000}"/>
    <cellStyle name="_강원도 정책결정지원 인트라넷 구축사업_내역서" xfId="4638" xr:uid="{00000000-0005-0000-0000-000018050000}"/>
    <cellStyle name="_강원도 정책결정지원 인트라넷 구축사업_내역서 2" xfId="7198" xr:uid="{00000000-0005-0000-0000-000019050000}"/>
    <cellStyle name="_개발계획 및 실시계획변경 내역서(검토보고서)" xfId="1356" xr:uid="{00000000-0005-0000-0000-00001A050000}"/>
    <cellStyle name="_개발비 산출양식(웨이버스)" xfId="4639" xr:uid="{00000000-0005-0000-0000-00001B050000}"/>
    <cellStyle name="_개발비 산출양식(웨이버스) 2" xfId="7199" xr:uid="{00000000-0005-0000-0000-00001C050000}"/>
    <cellStyle name="_거제시 생활폐기물 설계변경" xfId="4640" xr:uid="{00000000-0005-0000-0000-00001D050000}"/>
    <cellStyle name="_거제시 생활폐기물 설계변경 2" xfId="7200" xr:uid="{00000000-0005-0000-0000-00001E050000}"/>
    <cellStyle name="_거창일반 산업단지 설계(범아)" xfId="4641" xr:uid="{00000000-0005-0000-0000-00001F050000}"/>
    <cellStyle name="_거창지방산단공원계획설계(070324)" xfId="4642" xr:uid="{00000000-0005-0000-0000-000020050000}"/>
    <cellStyle name="_건국대학교 매체제작실 견적서 03.0929" xfId="4643" xr:uid="{00000000-0005-0000-0000-000021050000}"/>
    <cellStyle name="_건축마감수량산출서(최종)" xfId="636" xr:uid="{00000000-0005-0000-0000-000022050000}"/>
    <cellStyle name="_검단천외_6개하천_하천기본계획수립용역_설계내역서" xfId="4644" xr:uid="{00000000-0005-0000-0000-000023050000}"/>
    <cellStyle name="_검단천외_6개하천_하천기본계획수립용역_설계내역서 2" xfId="7201" xr:uid="{00000000-0005-0000-0000-000024050000}"/>
    <cellStyle name="_견적_하이트맥주(10월8일)" xfId="4645" xr:uid="{00000000-0005-0000-0000-000025050000}"/>
    <cellStyle name="_견적결과" xfId="1357" xr:uid="{00000000-0005-0000-0000-000026050000}"/>
    <cellStyle name="_견적결과_간이배수펌프장설치에 따른 타당성용역내역" xfId="1358" xr:uid="{00000000-0005-0000-0000-000027050000}"/>
    <cellStyle name="_견적결과_선정안(삼산)" xfId="1359" xr:uid="{00000000-0005-0000-0000-000028050000}"/>
    <cellStyle name="_견적결과_선정안(삼산)_간이배수펌프장설치에 따른 타당성용역내역" xfId="1360" xr:uid="{00000000-0005-0000-0000-000029050000}"/>
    <cellStyle name="_견적결과_추풍령" xfId="1361" xr:uid="{00000000-0005-0000-0000-00002A050000}"/>
    <cellStyle name="_견적결과_추풍령_간이배수펌프장설치에 따른 타당성용역내역" xfId="1362" xr:uid="{00000000-0005-0000-0000-00002B050000}"/>
    <cellStyle name="_견적결과_추풍령-1" xfId="1363" xr:uid="{00000000-0005-0000-0000-00002C050000}"/>
    <cellStyle name="_견적결과_추풍령-1_간이배수펌프장설치에 따른 타당성용역내역" xfId="1364" xr:uid="{00000000-0005-0000-0000-00002D050000}"/>
    <cellStyle name="_견적서(예보지점)-토코넷v1(1).0" xfId="637" xr:uid="{00000000-0005-0000-0000-00002E050000}"/>
    <cellStyle name="_견적서(예보지점)-토코넷v1(1).0 2" xfId="7202" xr:uid="{00000000-0005-0000-0000-00002F050000}"/>
    <cellStyle name="_견적조건" xfId="1365" xr:uid="{00000000-0005-0000-0000-000030050000}"/>
    <cellStyle name="_견적조건_간이배수펌프장설치에 따른 타당성용역내역" xfId="1366" xr:uid="{00000000-0005-0000-0000-000031050000}"/>
    <cellStyle name="_견적조건_선정안(삼산)" xfId="1367" xr:uid="{00000000-0005-0000-0000-000032050000}"/>
    <cellStyle name="_견적조건_선정안(삼산)_간이배수펌프장설치에 따른 타당성용역내역" xfId="1368" xr:uid="{00000000-0005-0000-0000-000033050000}"/>
    <cellStyle name="_견적조건_추풍령" xfId="1369" xr:uid="{00000000-0005-0000-0000-000034050000}"/>
    <cellStyle name="_견적조건_추풍령_간이배수펌프장설치에 따른 타당성용역내역" xfId="1370" xr:uid="{00000000-0005-0000-0000-000035050000}"/>
    <cellStyle name="_견적조건_추풍령-1" xfId="1371" xr:uid="{00000000-0005-0000-0000-000036050000}"/>
    <cellStyle name="_견적조건_추풍령-1_간이배수펌프장설치에 따른 타당성용역내역" xfId="1372" xr:uid="{00000000-0005-0000-0000-000037050000}"/>
    <cellStyle name="_경관성검토(의령관리계힉)" xfId="4646" xr:uid="{00000000-0005-0000-0000-000038050000}"/>
    <cellStyle name="_경남교통표지판" xfId="4647" xr:uid="{00000000-0005-0000-0000-000039050000}"/>
    <cellStyle name="_경남교통표지판_문화의 거리 농로포장(김병국2차)" xfId="4648" xr:uid="{00000000-0005-0000-0000-00003A050000}"/>
    <cellStyle name="_경남교통표지판_문화의 거리 농로포장(김병국2차)_문화의 거리 농로포장(김병국2차)" xfId="4649" xr:uid="{00000000-0005-0000-0000-00003B050000}"/>
    <cellStyle name="_경보국설계서(철관주2003.1.30최종)" xfId="638" xr:uid="{00000000-0005-0000-0000-00003C050000}"/>
    <cellStyle name="_경보국설계서(철관주2003.1.30최종)_수량산출서(2003.4.1)" xfId="639" xr:uid="{00000000-0005-0000-0000-00003D050000}"/>
    <cellStyle name="_경보국설계서(철관주2003.1.30최종)_영천댐수량산출" xfId="640" xr:uid="{00000000-0005-0000-0000-00003E050000}"/>
    <cellStyle name="_경보국설계서(철관주2003.1.30최종)_영천댐수량산출_수량산출서(2003.4.1)" xfId="641" xr:uid="{00000000-0005-0000-0000-00003F050000}"/>
    <cellStyle name="_경영개선활동상반기실적(990708)" xfId="1963" xr:uid="{00000000-0005-0000-0000-000040050000}"/>
    <cellStyle name="_경영개선활동상반기실적(990708) 2" xfId="7203" xr:uid="{00000000-0005-0000-0000-000041050000}"/>
    <cellStyle name="_경영개선활동상반기실적(990708)_1" xfId="1964" xr:uid="{00000000-0005-0000-0000-000042050000}"/>
    <cellStyle name="_경영개선활동상반기실적(990708)_1 2" xfId="7204" xr:uid="{00000000-0005-0000-0000-000043050000}"/>
    <cellStyle name="_경영개선활동상반기실적(990708)_1_091110 안성천권역(중하류) 설계내역서" xfId="7205" xr:uid="{00000000-0005-0000-0000-000044050000}"/>
    <cellStyle name="_경영개선활동상반기실적(990708)_1_100120 안성천권역(중하류) 2차분내역서" xfId="6859" xr:uid="{00000000-0005-0000-0000-000045050000}"/>
    <cellStyle name="_경영개선활동상반기실적(990708)_1_100120 안성천권역(중하류) 2차분내역서 2" xfId="7206" xr:uid="{00000000-0005-0000-0000-000046050000}"/>
    <cellStyle name="_경영개선활동상반기실적(990708)_1_논산천 권역 하천기본계획 설계예산서" xfId="7207" xr:uid="{00000000-0005-0000-0000-000047050000}"/>
    <cellStyle name="_경영개선활동상반기실적(990708)_1_사본 - 황강중류권역 하천기본계획 예산서(황강 미포함)-2차분_ rev2" xfId="6860" xr:uid="{00000000-0005-0000-0000-000048050000}"/>
    <cellStyle name="_경영개선활동상반기실적(990708)_1_소양강 상류권역 하천기본계획(변경) 및 하천시설관리대장작성_Lidar측량" xfId="7208" xr:uid="{00000000-0005-0000-0000-000049050000}"/>
    <cellStyle name="_경영개선활동상반기실적(990708)_1_안양천 하천기본계획 예산서_보완중" xfId="7209" xr:uid="{00000000-0005-0000-0000-00004A050000}"/>
    <cellStyle name="_경영개선활동상반기실적(990708)_1_안양천권역 하천기본계획 설계예산서" xfId="7210" xr:uid="{00000000-0005-0000-0000-00004B050000}"/>
    <cellStyle name="_경영개선활동상반기실적(990708)_1_한강하류 하천기본계획 설계예산서(지형측량)" xfId="7211" xr:uid="{00000000-0005-0000-0000-00004C050000}"/>
    <cellStyle name="_경영개선활동상반기실적(990708)_1_한강하류내역서2" xfId="7212" xr:uid="{00000000-0005-0000-0000-00004D050000}"/>
    <cellStyle name="_경영개선활동상반기실적(990708)_1_한탄강 하천기본계획 예산서_최종2" xfId="7213" xr:uid="{00000000-0005-0000-0000-00004E050000}"/>
    <cellStyle name="_경영개선활동상반기실적(990708)_1_한탄강권역 하천기본계획 설계예산서(지형측량)" xfId="7214" xr:uid="{00000000-0005-0000-0000-00004F050000}"/>
    <cellStyle name="_경영개선활동상반기실적(990708)_2" xfId="1965" xr:uid="{00000000-0005-0000-0000-000050050000}"/>
    <cellStyle name="_경영개선활동상반기실적(990708)_2 2" xfId="7215" xr:uid="{00000000-0005-0000-0000-000051050000}"/>
    <cellStyle name="_경영개선활성화방안(990802)" xfId="1966" xr:uid="{00000000-0005-0000-0000-000052050000}"/>
    <cellStyle name="_경영개선활성화방안(990802) 2" xfId="7216" xr:uid="{00000000-0005-0000-0000-000053050000}"/>
    <cellStyle name="_경영개선활성화방안(990802)_1" xfId="1967" xr:uid="{00000000-0005-0000-0000-000054050000}"/>
    <cellStyle name="_경영개선활성화방안(990802)_1 2" xfId="7217" xr:uid="{00000000-0005-0000-0000-000055050000}"/>
    <cellStyle name="_경영개선활성화방안(990802)_1_091110 안성천권역(중하류) 설계내역서" xfId="7218" xr:uid="{00000000-0005-0000-0000-000056050000}"/>
    <cellStyle name="_경영개선활성화방안(990802)_1_100120 안성천권역(중하류) 2차분내역서" xfId="6861" xr:uid="{00000000-0005-0000-0000-000057050000}"/>
    <cellStyle name="_경영개선활성화방안(990802)_1_100120 안성천권역(중하류) 2차분내역서 2" xfId="7219" xr:uid="{00000000-0005-0000-0000-000058050000}"/>
    <cellStyle name="_경영개선활성화방안(990802)_1_논산천 권역 하천기본계획 설계예산서" xfId="7220" xr:uid="{00000000-0005-0000-0000-000059050000}"/>
    <cellStyle name="_경영개선활성화방안(990802)_1_사본 - 황강중류권역 하천기본계획 예산서(황강 미포함)-2차분_ rev2" xfId="6862" xr:uid="{00000000-0005-0000-0000-00005A050000}"/>
    <cellStyle name="_경영개선활성화방안(990802)_1_소양강 상류권역 하천기본계획(변경) 및 하천시설관리대장작성_Lidar측량" xfId="7221" xr:uid="{00000000-0005-0000-0000-00005B050000}"/>
    <cellStyle name="_경영개선활성화방안(990802)_1_안양천 하천기본계획 예산서_보완중" xfId="7222" xr:uid="{00000000-0005-0000-0000-00005C050000}"/>
    <cellStyle name="_경영개선활성화방안(990802)_1_안양천권역 하천기본계획 설계예산서" xfId="7223" xr:uid="{00000000-0005-0000-0000-00005D050000}"/>
    <cellStyle name="_경영개선활성화방안(990802)_1_한강하류 하천기본계획 설계예산서(지형측량)" xfId="7224" xr:uid="{00000000-0005-0000-0000-00005E050000}"/>
    <cellStyle name="_경영개선활성화방안(990802)_1_한강하류내역서2" xfId="7225" xr:uid="{00000000-0005-0000-0000-00005F050000}"/>
    <cellStyle name="_경영개선활성화방안(990802)_1_한탄강 하천기본계획 예산서_최종2" xfId="7226" xr:uid="{00000000-0005-0000-0000-000060050000}"/>
    <cellStyle name="_경영개선활성화방안(990802)_1_한탄강권역 하천기본계획 설계예산서(지형측량)" xfId="7227" xr:uid="{00000000-0005-0000-0000-000061050000}"/>
    <cellStyle name="_경전철조사측량내역" xfId="7228" xr:uid="{00000000-0005-0000-0000-000062050000}"/>
    <cellStyle name="_공문 " xfId="4650" xr:uid="{00000000-0005-0000-0000-000063050000}"/>
    <cellStyle name="_공문 _내역서" xfId="4651" xr:uid="{00000000-0005-0000-0000-000064050000}"/>
    <cellStyle name="_공문양식" xfId="4652" xr:uid="{00000000-0005-0000-0000-000065050000}"/>
    <cellStyle name="_공원녹지기본계획(30만) 설계내역서" xfId="7229" xr:uid="{00000000-0005-0000-0000-000066050000}"/>
    <cellStyle name="_광동댐전기내역서-1" xfId="642" xr:uid="{00000000-0005-0000-0000-000067050000}"/>
    <cellStyle name="_광역송수관 이설공사 설계(SK판넬, 최종)" xfId="4653" xr:uid="{00000000-0005-0000-0000-000068050000}"/>
    <cellStyle name="_광역송수관 이설공사 설계(SK판넬, 최종) 2" xfId="7230" xr:uid="{00000000-0005-0000-0000-000069050000}"/>
    <cellStyle name="_광역송수관 이설공사 설계(SK판넬, 최종)_댐직하류 하천정비(환경)사업 기본계획 및 실시설계용역-수공용" xfId="4654" xr:uid="{00000000-0005-0000-0000-00006A050000}"/>
    <cellStyle name="_광역송수관 이설공사 설계(SK판넬, 최종)_댐직하류 하천정비(환경)사업 기본계획 및 실시설계용역-수공용 2" xfId="7231" xr:uid="{00000000-0005-0000-0000-00006B050000}"/>
    <cellStyle name="_광역송수관 이설공사 설계(SK판넬, 최종)_댐직하류 하천정비(환경)사업 기본계획 및 실시설계용역-수공용_용담댐직하류 하천정비공사 설계예산서(남원작성)-" xfId="4655" xr:uid="{00000000-0005-0000-0000-00006C050000}"/>
    <cellStyle name="_광역송수관 이설공사 설계(SK판넬, 최종)_댐직하류 하천정비(환경)사업 기본계획 및 실시설계용역-수공용_용담댐직하류 하천정비공사 설계예산서(남원작성)- 2" xfId="7232" xr:uid="{00000000-0005-0000-0000-00006D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" xfId="4656" xr:uid="{00000000-0005-0000-0000-00006E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1) 신천금호강 종합개발 기본설계" xfId="4657" xr:uid="{00000000-0005-0000-0000-00006F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4658" xr:uid="{00000000-0005-0000-0000-000070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4659" xr:uid="{00000000-0005-0000-0000-000071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신천-금호강)" xfId="4660" xr:uid="{00000000-0005-0000-0000-000072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4661" xr:uid="{00000000-0005-0000-0000-000073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4662" xr:uid="{00000000-0005-0000-0000-000074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전체)" xfId="4663" xr:uid="{00000000-0005-0000-0000-000075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4664" xr:uid="{00000000-0005-0000-0000-000076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4665" xr:uid="{00000000-0005-0000-0000-000077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4666" xr:uid="{00000000-0005-0000-0000-000078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4667" xr:uid="{00000000-0005-0000-0000-000079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심사내역서" xfId="4668" xr:uid="{00000000-0005-0000-0000-00007A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233" xr:uid="{00000000-0005-0000-0000-00007B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욱수천 하천재해예방사업 내역서" xfId="4669" xr:uid="{00000000-0005-0000-0000-00007C050000}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4670" xr:uid="{00000000-0005-0000-0000-00007D050000}"/>
    <cellStyle name="_광역송수관 이설공사 설계(SK판넬, 최종)_댐직하류 하천정비(환경)사업 기본계획 및 실시설계용역-수공용_용담댐직하류 하천정비공사 설계예산서(남원작성)-_욱수천 하천재해예방사업 내역서" xfId="4671" xr:uid="{00000000-0005-0000-0000-00007E050000}"/>
    <cellStyle name="_광역송수관 이설공사 설계(SK판넬, 최종)_댐직하류 하천정비(환경)사업 기본계획 및 실시설계용역-수공용_용담댐직하류 하천정비공사 설계예산서(남원작성)-_욱수천 하천재해예방사업 내역서_002 욱수천정비공사실시설계 내역서_090113" xfId="4672" xr:uid="{00000000-0005-0000-0000-00007F050000}"/>
    <cellStyle name="_광역송수관 이설공사 설계(SK판넬, 최종)_댐직하류 하천정비(환경)사업 기본계획 및 실시설계용역-수공용_용담댐하류하천환경정비사업설계예산서(건희)" xfId="4673" xr:uid="{00000000-0005-0000-0000-000080050000}"/>
    <cellStyle name="_광역송수관 이설공사 설계(SK판넬, 최종)_댐직하류 하천정비(환경)사업 기본계획 및 실시설계용역-수공용_용담댐하류하천환경정비사업설계예산서(건희)_1) 신천금호강 종합개발 기본설계" xfId="4674" xr:uid="{00000000-0005-0000-0000-000081050000}"/>
    <cellStyle name="_광역송수관 이설공사 설계(SK판넬, 최종)_댐직하류 하천정비(환경)사업 기본계획 및 실시설계용역-수공용_용담댐하류하천환경정비사업설계예산서(건희)_2) 신천금호강 종합개발 동영상제작(변경최종)" xfId="4675" xr:uid="{00000000-0005-0000-0000-000082050000}"/>
    <cellStyle name="_광역송수관 이설공사 설계(SK판넬, 최종)_댐직하류 하천정비(환경)사업 기본계획 및 실시설계용역-수공용_용담댐하류하천환경정비사업설계예산서(건희)_3) 신천금호강 종합개발 산책로 실시설계(변경최종)" xfId="4676" xr:uid="{00000000-0005-0000-0000-000083050000}"/>
    <cellStyle name="_광역송수관 이설공사 설계(SK판넬, 최종)_댐직하류 하천정비(환경)사업 기본계획 및 실시설계용역-수공용_용담댐하류하천환경정비사업설계예산서(건희)_설계내역서(신천-금호강)" xfId="4677" xr:uid="{00000000-0005-0000-0000-000084050000}"/>
    <cellStyle name="_광역송수관 이설공사 설계(SK판넬, 최종)_댐직하류 하천정비(환경)사업 기본계획 및 실시설계용역-수공용_용담댐하류하천환경정비사업설계예산서(건희)_설계내역서(신천-금호강)_욱수천 하천재해예방사업 내역서" xfId="4678" xr:uid="{00000000-0005-0000-0000-000085050000}"/>
    <cellStyle name="_광역송수관 이설공사 설계(SK판넬, 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4679" xr:uid="{00000000-0005-0000-0000-000086050000}"/>
    <cellStyle name="_광역송수관 이설공사 설계(SK판넬, 최종)_댐직하류 하천정비(환경)사업 기본계획 및 실시설계용역-수공용_용담댐하류하천환경정비사업설계예산서(건희)_설계내역서(전체)" xfId="4680" xr:uid="{00000000-0005-0000-0000-000087050000}"/>
    <cellStyle name="_광역송수관 이설공사 설계(SK판넬, 최종)_댐직하류 하천정비(환경)사업 기본계획 및 실시설계용역-수공용_용담댐하류하천환경정비사업설계예산서(건희)_설계내역서(전체)_욱수천 하천재해예방사업 내역서" xfId="4681" xr:uid="{00000000-0005-0000-0000-000088050000}"/>
    <cellStyle name="_광역송수관 이설공사 설계(SK판넬, 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4682" xr:uid="{00000000-0005-0000-0000-000089050000}"/>
    <cellStyle name="_광역송수관 이설공사 설계(SK판넬, 최종)_댐직하류 하천정비(환경)사업 기본계획 및 실시설계용역-수공용_용담댐하류하천환경정비사업설계예산서(건희)_신천금호강 종합개발 기본설계  내역서(수정분)" xfId="4683" xr:uid="{00000000-0005-0000-0000-00008A050000}"/>
    <cellStyle name="_광역송수관 이설공사 설계(SK판넬, 최종)_댐직하류 하천정비(환경)사업 기본계획 및 실시설계용역-수공용_용담댐하류하천환경정비사업설계예산서(건희)_신천금호강내역서(수정-보오링,사전재해및환경성제외,측량연장조정9(1).95억0726)" xfId="4684" xr:uid="{00000000-0005-0000-0000-00008B050000}"/>
    <cellStyle name="_광역송수관 이설공사 설계(SK판넬, 최종)_댐직하류 하천정비(환경)사업 기본계획 및 실시설계용역-수공용_용담댐하류하천환경정비사업설계예산서(건희)_심사내역서" xfId="4685" xr:uid="{00000000-0005-0000-0000-00008C050000}"/>
    <cellStyle name="_광역송수관 이설공사 설계(SK판넬, 최종)_댐직하류 하천정비(환경)사업 기본계획 및 실시설계용역-수공용_용담댐하류하천환경정비사업설계예산서(건희)_용담댐하류하천환경정비사업설계예산서(건희)" xfId="7234" xr:uid="{00000000-0005-0000-0000-00008D050000}"/>
    <cellStyle name="_광역송수관 이설공사 설계(SK판넬, 최종)_댐직하류 하천정비(환경)사업 기본계획 및 실시설계용역-수공용_용담댐하류하천환경정비사업설계예산서(건희)_욱수천 하천재해예방사업 내역서" xfId="4686" xr:uid="{00000000-0005-0000-0000-00008E050000}"/>
    <cellStyle name="_광역송수관 이설공사 설계(SK판넬, 최종)_댐직하류 하천정비(환경)사업 기본계획 및 실시설계용역-수공용_용담댐하류하천환경정비사업설계예산서(건희)_욱수천 하천재해예방사업 내역서_002 욱수천정비공사실시설계 내역서_090113" xfId="4687" xr:uid="{00000000-0005-0000-0000-00008F050000}"/>
    <cellStyle name="_광역송수관 이설공사 설계(SK판넬, 최종)_댐직하류 하천정비(환경)사업 기본계획 및 실시설계용역-수공용_욱수천 하천재해예방사업 내역서" xfId="4688" xr:uid="{00000000-0005-0000-0000-000090050000}"/>
    <cellStyle name="_광역송수관 이설공사 설계(SK판넬, 최종)_댐직하류 하천정비(환경)사업 기본계획 및 실시설계용역-수공용_욱수천 하천재해예방사업 내역서_002 욱수천정비공사실시설계 내역서_090113" xfId="4689" xr:uid="{00000000-0005-0000-0000-000091050000}"/>
    <cellStyle name="_광역송수관 이설공사 설계(SK판넬, 최종)_용담댐하류하천환경정비사업설계예산서(건희)" xfId="4690" xr:uid="{00000000-0005-0000-0000-000092050000}"/>
    <cellStyle name="_광역송수관 이설공사 설계(SK판넬, 최종)_용담댐하류하천환경정비사업설계예산서(건희)_1) 신천금호강 종합개발 기본설계" xfId="4691" xr:uid="{00000000-0005-0000-0000-000093050000}"/>
    <cellStyle name="_광역송수관 이설공사 설계(SK판넬, 최종)_용담댐하류하천환경정비사업설계예산서(건희)_2) 신천금호강 종합개발 동영상제작(변경최종)" xfId="4692" xr:uid="{00000000-0005-0000-0000-000094050000}"/>
    <cellStyle name="_광역송수관 이설공사 설계(SK판넬, 최종)_용담댐하류하천환경정비사업설계예산서(건희)_3) 신천금호강 종합개발 산책로 실시설계(변경최종)" xfId="4693" xr:uid="{00000000-0005-0000-0000-000095050000}"/>
    <cellStyle name="_광역송수관 이설공사 설계(SK판넬, 최종)_용담댐하류하천환경정비사업설계예산서(건희)_설계내역서(신천-금호강)" xfId="4694" xr:uid="{00000000-0005-0000-0000-000096050000}"/>
    <cellStyle name="_광역송수관 이설공사 설계(SK판넬, 최종)_용담댐하류하천환경정비사업설계예산서(건희)_설계내역서(신천-금호강)_욱수천 하천재해예방사업 내역서" xfId="4695" xr:uid="{00000000-0005-0000-0000-000097050000}"/>
    <cellStyle name="_광역송수관 이설공사 설계(SK판넬, 최종)_용담댐하류하천환경정비사업설계예산서(건희)_설계내역서(신천-금호강)_욱수천 하천재해예방사업 내역서_002 욱수천정비공사실시설계 내역서_090113" xfId="4696" xr:uid="{00000000-0005-0000-0000-000098050000}"/>
    <cellStyle name="_광역송수관 이설공사 설계(SK판넬, 최종)_용담댐하류하천환경정비사업설계예산서(건희)_설계내역서(전체)" xfId="4697" xr:uid="{00000000-0005-0000-0000-000099050000}"/>
    <cellStyle name="_광역송수관 이설공사 설계(SK판넬, 최종)_용담댐하류하천환경정비사업설계예산서(건희)_설계내역서(전체)_욱수천 하천재해예방사업 내역서" xfId="4698" xr:uid="{00000000-0005-0000-0000-00009A050000}"/>
    <cellStyle name="_광역송수관 이설공사 설계(SK판넬, 최종)_용담댐하류하천환경정비사업설계예산서(건희)_설계내역서(전체)_욱수천 하천재해예방사업 내역서_002 욱수천정비공사실시설계 내역서_090113" xfId="4699" xr:uid="{00000000-0005-0000-0000-00009B050000}"/>
    <cellStyle name="_광역송수관 이설공사 설계(SK판넬, 최종)_용담댐하류하천환경정비사업설계예산서(건희)_신천금호강 종합개발 기본설계  내역서(수정분)" xfId="4700" xr:uid="{00000000-0005-0000-0000-00009C050000}"/>
    <cellStyle name="_광역송수관 이설공사 설계(SK판넬, 최종)_용담댐하류하천환경정비사업설계예산서(건희)_신천금호강내역서(수정-보오링,사전재해및환경성제외,측량연장조정9(1).95억0726)" xfId="4701" xr:uid="{00000000-0005-0000-0000-00009D050000}"/>
    <cellStyle name="_광역송수관 이설공사 설계(SK판넬, 최종)_용담댐하류하천환경정비사업설계예산서(건희)_심사내역서" xfId="4702" xr:uid="{00000000-0005-0000-0000-00009E050000}"/>
    <cellStyle name="_광역송수관 이설공사 설계(SK판넬, 최종)_용담댐하류하천환경정비사업설계예산서(건희)_용담댐하류하천환경정비사업설계예산서(건희)" xfId="7235" xr:uid="{00000000-0005-0000-0000-00009F050000}"/>
    <cellStyle name="_광역송수관 이설공사 설계(SK판넬, 최종)_용담댐하류하천환경정비사업설계예산서(건희)_욱수천 하천재해예방사업 내역서" xfId="4703" xr:uid="{00000000-0005-0000-0000-0000A0050000}"/>
    <cellStyle name="_광역송수관 이설공사 설계(SK판넬, 최종)_용담댐하류하천환경정비사업설계예산서(건희)_욱수천 하천재해예방사업 내역서_002 욱수천정비공사실시설계 내역서_090113" xfId="4704" xr:uid="{00000000-0005-0000-0000-0000A1050000}"/>
    <cellStyle name="_광역송수관 이설공사 설계(SK판넬, 최종)_욱수천 하천재해예방사업 내역서" xfId="4705" xr:uid="{00000000-0005-0000-0000-0000A2050000}"/>
    <cellStyle name="_광역송수관 이설공사 설계(SK판넬, 최종)_욱수천 하천재해예방사업 내역서_002 욱수천정비공사실시설계 내역서_090113" xfId="4706" xr:uid="{00000000-0005-0000-0000-0000A3050000}"/>
    <cellStyle name="_광역송수관 이설공사 설계(토공삭제최종)" xfId="4707" xr:uid="{00000000-0005-0000-0000-0000A4050000}"/>
    <cellStyle name="_광역송수관 이설공사 설계(토공삭제최종) 2" xfId="7236" xr:uid="{00000000-0005-0000-0000-0000A5050000}"/>
    <cellStyle name="_광역송수관 이설공사 설계(토공삭제최종)_댐직하류 하천정비(환경)사업 기본계획 및 실시설계용역-수공용" xfId="4708" xr:uid="{00000000-0005-0000-0000-0000A6050000}"/>
    <cellStyle name="_광역송수관 이설공사 설계(토공삭제최종)_댐직하류 하천정비(환경)사업 기본계획 및 실시설계용역-수공용 2" xfId="7237" xr:uid="{00000000-0005-0000-0000-0000A7050000}"/>
    <cellStyle name="_광역송수관 이설공사 설계(토공삭제최종)_댐직하류 하천정비(환경)사업 기본계획 및 실시설계용역-수공용_용담댐직하류 하천정비공사 설계예산서(남원작성)-" xfId="4709" xr:uid="{00000000-0005-0000-0000-0000A8050000}"/>
    <cellStyle name="_광역송수관 이설공사 설계(토공삭제최종)_댐직하류 하천정비(환경)사업 기본계획 및 실시설계용역-수공용_용담댐직하류 하천정비공사 설계예산서(남원작성)- 2" xfId="7238" xr:uid="{00000000-0005-0000-0000-0000A9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" xfId="4710" xr:uid="{00000000-0005-0000-0000-0000AA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1) 신천금호강 종합개발 기본설계" xfId="4711" xr:uid="{00000000-0005-0000-0000-0000AB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4712" xr:uid="{00000000-0005-0000-0000-0000AC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4713" xr:uid="{00000000-0005-0000-0000-0000AD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" xfId="4714" xr:uid="{00000000-0005-0000-0000-0000AE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4715" xr:uid="{00000000-0005-0000-0000-0000AF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4716" xr:uid="{00000000-0005-0000-0000-0000B0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전체)" xfId="4717" xr:uid="{00000000-0005-0000-0000-0000B1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4718" xr:uid="{00000000-0005-0000-0000-0000B2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4719" xr:uid="{00000000-0005-0000-0000-0000B3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4720" xr:uid="{00000000-0005-0000-0000-0000B4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4721" xr:uid="{00000000-0005-0000-0000-0000B5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심사내역서" xfId="4722" xr:uid="{00000000-0005-0000-0000-0000B6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239" xr:uid="{00000000-0005-0000-0000-0000B7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욱수천 하천재해예방사업 내역서" xfId="4723" xr:uid="{00000000-0005-0000-0000-0000B8050000}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4724" xr:uid="{00000000-0005-0000-0000-0000B9050000}"/>
    <cellStyle name="_광역송수관 이설공사 설계(토공삭제최종)_댐직하류 하천정비(환경)사업 기본계획 및 실시설계용역-수공용_용담댐직하류 하천정비공사 설계예산서(남원작성)-_욱수천 하천재해예방사업 내역서" xfId="4725" xr:uid="{00000000-0005-0000-0000-0000BA050000}"/>
    <cellStyle name="_광역송수관 이설공사 설계(토공삭제최종)_댐직하류 하천정비(환경)사업 기본계획 및 실시설계용역-수공용_용담댐직하류 하천정비공사 설계예산서(남원작성)-_욱수천 하천재해예방사업 내역서_002 욱수천정비공사실시설계 내역서_090113" xfId="4726" xr:uid="{00000000-0005-0000-0000-0000BB050000}"/>
    <cellStyle name="_광역송수관 이설공사 설계(토공삭제최종)_댐직하류 하천정비(환경)사업 기본계획 및 실시설계용역-수공용_용담댐하류하천환경정비사업설계예산서(건희)" xfId="4727" xr:uid="{00000000-0005-0000-0000-0000BC050000}"/>
    <cellStyle name="_광역송수관 이설공사 설계(토공삭제최종)_댐직하류 하천정비(환경)사업 기본계획 및 실시설계용역-수공용_용담댐하류하천환경정비사업설계예산서(건희)_1) 신천금호강 종합개발 기본설계" xfId="4728" xr:uid="{00000000-0005-0000-0000-0000BD050000}"/>
    <cellStyle name="_광역송수관 이설공사 설계(토공삭제최종)_댐직하류 하천정비(환경)사업 기본계획 및 실시설계용역-수공용_용담댐하류하천환경정비사업설계예산서(건희)_2) 신천금호강 종합개발 동영상제작(변경최종)" xfId="4729" xr:uid="{00000000-0005-0000-0000-0000BE050000}"/>
    <cellStyle name="_광역송수관 이설공사 설계(토공삭제최종)_댐직하류 하천정비(환경)사업 기본계획 및 실시설계용역-수공용_용담댐하류하천환경정비사업설계예산서(건희)_3) 신천금호강 종합개발 산책로 실시설계(변경최종)" xfId="4730" xr:uid="{00000000-0005-0000-0000-0000BF050000}"/>
    <cellStyle name="_광역송수관 이설공사 설계(토공삭제최종)_댐직하류 하천정비(환경)사업 기본계획 및 실시설계용역-수공용_용담댐하류하천환경정비사업설계예산서(건희)_설계내역서(신천-금호강)" xfId="4731" xr:uid="{00000000-0005-0000-0000-0000C0050000}"/>
    <cellStyle name="_광역송수관 이설공사 설계(토공삭제최종)_댐직하류 하천정비(환경)사업 기본계획 및 실시설계용역-수공용_용담댐하류하천환경정비사업설계예산서(건희)_설계내역서(신천-금호강)_욱수천 하천재해예방사업 내역서" xfId="4732" xr:uid="{00000000-0005-0000-0000-0000C1050000}"/>
    <cellStyle name="_광역송수관 이설공사 설계(토공삭제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4733" xr:uid="{00000000-0005-0000-0000-0000C2050000}"/>
    <cellStyle name="_광역송수관 이설공사 설계(토공삭제최종)_댐직하류 하천정비(환경)사업 기본계획 및 실시설계용역-수공용_용담댐하류하천환경정비사업설계예산서(건희)_설계내역서(전체)" xfId="4734" xr:uid="{00000000-0005-0000-0000-0000C3050000}"/>
    <cellStyle name="_광역송수관 이설공사 설계(토공삭제최종)_댐직하류 하천정비(환경)사업 기본계획 및 실시설계용역-수공용_용담댐하류하천환경정비사업설계예산서(건희)_설계내역서(전체)_욱수천 하천재해예방사업 내역서" xfId="4735" xr:uid="{00000000-0005-0000-0000-0000C4050000}"/>
    <cellStyle name="_광역송수관 이설공사 설계(토공삭제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4736" xr:uid="{00000000-0005-0000-0000-0000C5050000}"/>
    <cellStyle name="_광역송수관 이설공사 설계(토공삭제최종)_댐직하류 하천정비(환경)사업 기본계획 및 실시설계용역-수공용_용담댐하류하천환경정비사업설계예산서(건희)_신천금호강 종합개발 기본설계  내역서(수정분)" xfId="4737" xr:uid="{00000000-0005-0000-0000-0000C6050000}"/>
    <cellStyle name="_광역송수관 이설공사 설계(토공삭제최종)_댐직하류 하천정비(환경)사업 기본계획 및 실시설계용역-수공용_용담댐하류하천환경정비사업설계예산서(건희)_신천금호강내역서(수정-보오링,사전재해및환경성제외,측량연장조정9(1).95억0726)" xfId="4738" xr:uid="{00000000-0005-0000-0000-0000C7050000}"/>
    <cellStyle name="_광역송수관 이설공사 설계(토공삭제최종)_댐직하류 하천정비(환경)사업 기본계획 및 실시설계용역-수공용_용담댐하류하천환경정비사업설계예산서(건희)_심사내역서" xfId="4739" xr:uid="{00000000-0005-0000-0000-0000C8050000}"/>
    <cellStyle name="_광역송수관 이설공사 설계(토공삭제최종)_댐직하류 하천정비(환경)사업 기본계획 및 실시설계용역-수공용_용담댐하류하천환경정비사업설계예산서(건희)_용담댐하류하천환경정비사업설계예산서(건희)" xfId="7240" xr:uid="{00000000-0005-0000-0000-0000C9050000}"/>
    <cellStyle name="_광역송수관 이설공사 설계(토공삭제최종)_댐직하류 하천정비(환경)사업 기본계획 및 실시설계용역-수공용_용담댐하류하천환경정비사업설계예산서(건희)_욱수천 하천재해예방사업 내역서" xfId="4740" xr:uid="{00000000-0005-0000-0000-0000CA050000}"/>
    <cellStyle name="_광역송수관 이설공사 설계(토공삭제최종)_댐직하류 하천정비(환경)사업 기본계획 및 실시설계용역-수공용_용담댐하류하천환경정비사업설계예산서(건희)_욱수천 하천재해예방사업 내역서_002 욱수천정비공사실시설계 내역서_090113" xfId="4741" xr:uid="{00000000-0005-0000-0000-0000CB050000}"/>
    <cellStyle name="_광역송수관 이설공사 설계(토공삭제최종)_댐직하류 하천정비(환경)사업 기본계획 및 실시설계용역-수공용_욱수천 하천재해예방사업 내역서" xfId="4742" xr:uid="{00000000-0005-0000-0000-0000CC050000}"/>
    <cellStyle name="_광역송수관 이설공사 설계(토공삭제최종)_댐직하류 하천정비(환경)사업 기본계획 및 실시설계용역-수공용_욱수천 하천재해예방사업 내역서_002 욱수천정비공사실시설계 내역서_090113" xfId="4743" xr:uid="{00000000-0005-0000-0000-0000CD050000}"/>
    <cellStyle name="_광역송수관 이설공사 설계(토공삭제최종)_용담댐하류하천환경정비사업설계예산서(건희)" xfId="4744" xr:uid="{00000000-0005-0000-0000-0000CE050000}"/>
    <cellStyle name="_광역송수관 이설공사 설계(토공삭제최종)_용담댐하류하천환경정비사업설계예산서(건희)_1) 신천금호강 종합개발 기본설계" xfId="4745" xr:uid="{00000000-0005-0000-0000-0000CF050000}"/>
    <cellStyle name="_광역송수관 이설공사 설계(토공삭제최종)_용담댐하류하천환경정비사업설계예산서(건희)_2) 신천금호강 종합개발 동영상제작(변경최종)" xfId="4746" xr:uid="{00000000-0005-0000-0000-0000D0050000}"/>
    <cellStyle name="_광역송수관 이설공사 설계(토공삭제최종)_용담댐하류하천환경정비사업설계예산서(건희)_3) 신천금호강 종합개발 산책로 실시설계(변경최종)" xfId="4747" xr:uid="{00000000-0005-0000-0000-0000D1050000}"/>
    <cellStyle name="_광역송수관 이설공사 설계(토공삭제최종)_용담댐하류하천환경정비사업설계예산서(건희)_설계내역서(신천-금호강)" xfId="4748" xr:uid="{00000000-0005-0000-0000-0000D2050000}"/>
    <cellStyle name="_광역송수관 이설공사 설계(토공삭제최종)_용담댐하류하천환경정비사업설계예산서(건희)_설계내역서(신천-금호강)_욱수천 하천재해예방사업 내역서" xfId="4749" xr:uid="{00000000-0005-0000-0000-0000D3050000}"/>
    <cellStyle name="_광역송수관 이설공사 설계(토공삭제최종)_용담댐하류하천환경정비사업설계예산서(건희)_설계내역서(신천-금호강)_욱수천 하천재해예방사업 내역서_002 욱수천정비공사실시설계 내역서_090113" xfId="4750" xr:uid="{00000000-0005-0000-0000-0000D4050000}"/>
    <cellStyle name="_광역송수관 이설공사 설계(토공삭제최종)_용담댐하류하천환경정비사업설계예산서(건희)_설계내역서(전체)" xfId="4751" xr:uid="{00000000-0005-0000-0000-0000D5050000}"/>
    <cellStyle name="_광역송수관 이설공사 설계(토공삭제최종)_용담댐하류하천환경정비사업설계예산서(건희)_설계내역서(전체)_욱수천 하천재해예방사업 내역서" xfId="4752" xr:uid="{00000000-0005-0000-0000-0000D6050000}"/>
    <cellStyle name="_광역송수관 이설공사 설계(토공삭제최종)_용담댐하류하천환경정비사업설계예산서(건희)_설계내역서(전체)_욱수천 하천재해예방사업 내역서_002 욱수천정비공사실시설계 내역서_090113" xfId="4753" xr:uid="{00000000-0005-0000-0000-0000D7050000}"/>
    <cellStyle name="_광역송수관 이설공사 설계(토공삭제최종)_용담댐하류하천환경정비사업설계예산서(건희)_신천금호강 종합개발 기본설계  내역서(수정분)" xfId="4754" xr:uid="{00000000-0005-0000-0000-0000D8050000}"/>
    <cellStyle name="_광역송수관 이설공사 설계(토공삭제최종)_용담댐하류하천환경정비사업설계예산서(건희)_신천금호강내역서(수정-보오링,사전재해및환경성제외,측량연장조정9(1).95억0726)" xfId="4755" xr:uid="{00000000-0005-0000-0000-0000D9050000}"/>
    <cellStyle name="_광역송수관 이설공사 설계(토공삭제최종)_용담댐하류하천환경정비사업설계예산서(건희)_심사내역서" xfId="4756" xr:uid="{00000000-0005-0000-0000-0000DA050000}"/>
    <cellStyle name="_광역송수관 이설공사 설계(토공삭제최종)_용담댐하류하천환경정비사업설계예산서(건희)_용담댐하류하천환경정비사업설계예산서(건희)" xfId="7241" xr:uid="{00000000-0005-0000-0000-0000DB050000}"/>
    <cellStyle name="_광역송수관 이설공사 설계(토공삭제최종)_용담댐하류하천환경정비사업설계예산서(건희)_욱수천 하천재해예방사업 내역서" xfId="4757" xr:uid="{00000000-0005-0000-0000-0000DC050000}"/>
    <cellStyle name="_광역송수관 이설공사 설계(토공삭제최종)_용담댐하류하천환경정비사업설계예산서(건희)_욱수천 하천재해예방사업 내역서_002 욱수천정비공사실시설계 내역서_090113" xfId="4758" xr:uid="{00000000-0005-0000-0000-0000DD050000}"/>
    <cellStyle name="_광역송수관 이설공사 설계(토공삭제최종)_욱수천 하천재해예방사업 내역서" xfId="4759" xr:uid="{00000000-0005-0000-0000-0000DE050000}"/>
    <cellStyle name="_광역송수관 이설공사 설계(토공삭제최종)_욱수천 하천재해예방사업 내역서_002 욱수천정비공사실시설계 내역서_090113" xfId="4760" xr:uid="{00000000-0005-0000-0000-0000DF050000}"/>
    <cellStyle name="_광역송수관 이설공사 설계(흙막이)" xfId="4761" xr:uid="{00000000-0005-0000-0000-0000E0050000}"/>
    <cellStyle name="_광역송수관 이설공사 설계(흙막이) 2" xfId="7242" xr:uid="{00000000-0005-0000-0000-0000E1050000}"/>
    <cellStyle name="_광역송수관 이설공사 설계(흙막이)_댐직하류 하천정비(환경)사업 기본계획 및 실시설계용역-수공용" xfId="4762" xr:uid="{00000000-0005-0000-0000-0000E2050000}"/>
    <cellStyle name="_광역송수관 이설공사 설계(흙막이)_댐직하류 하천정비(환경)사업 기본계획 및 실시설계용역-수공용 2" xfId="7243" xr:uid="{00000000-0005-0000-0000-0000E3050000}"/>
    <cellStyle name="_광역송수관 이설공사 설계(흙막이)_댐직하류 하천정비(환경)사업 기본계획 및 실시설계용역-수공용_용담댐직하류 하천정비공사 설계예산서(남원작성)-" xfId="4763" xr:uid="{00000000-0005-0000-0000-0000E4050000}"/>
    <cellStyle name="_광역송수관 이설공사 설계(흙막이)_댐직하류 하천정비(환경)사업 기본계획 및 실시설계용역-수공용_용담댐직하류 하천정비공사 설계예산서(남원작성)- 2" xfId="7244" xr:uid="{00000000-0005-0000-0000-0000E5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" xfId="4764" xr:uid="{00000000-0005-0000-0000-0000E6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1) 신천금호강 종합개발 기본설계" xfId="4765" xr:uid="{00000000-0005-0000-0000-0000E7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4766" xr:uid="{00000000-0005-0000-0000-0000E8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4767" xr:uid="{00000000-0005-0000-0000-0000E9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신천-금호강)" xfId="4768" xr:uid="{00000000-0005-0000-0000-0000EA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4769" xr:uid="{00000000-0005-0000-0000-0000EB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4770" xr:uid="{00000000-0005-0000-0000-0000EC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전체)" xfId="4771" xr:uid="{00000000-0005-0000-0000-0000ED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4772" xr:uid="{00000000-0005-0000-0000-0000EE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4773" xr:uid="{00000000-0005-0000-0000-0000EF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4774" xr:uid="{00000000-0005-0000-0000-0000F0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4775" xr:uid="{00000000-0005-0000-0000-0000F1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심사내역서" xfId="4776" xr:uid="{00000000-0005-0000-0000-0000F2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245" xr:uid="{00000000-0005-0000-0000-0000F3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욱수천 하천재해예방사업 내역서" xfId="4777" xr:uid="{00000000-0005-0000-0000-0000F4050000}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4778" xr:uid="{00000000-0005-0000-0000-0000F5050000}"/>
    <cellStyle name="_광역송수관 이설공사 설계(흙막이)_댐직하류 하천정비(환경)사업 기본계획 및 실시설계용역-수공용_용담댐직하류 하천정비공사 설계예산서(남원작성)-_욱수천 하천재해예방사업 내역서" xfId="4779" xr:uid="{00000000-0005-0000-0000-0000F6050000}"/>
    <cellStyle name="_광역송수관 이설공사 설계(흙막이)_댐직하류 하천정비(환경)사업 기본계획 및 실시설계용역-수공용_용담댐직하류 하천정비공사 설계예산서(남원작성)-_욱수천 하천재해예방사업 내역서_002 욱수천정비공사실시설계 내역서_090113" xfId="4780" xr:uid="{00000000-0005-0000-0000-0000F7050000}"/>
    <cellStyle name="_광역송수관 이설공사 설계(흙막이)_댐직하류 하천정비(환경)사업 기본계획 및 실시설계용역-수공용_용담댐하류하천환경정비사업설계예산서(건희)" xfId="4781" xr:uid="{00000000-0005-0000-0000-0000F8050000}"/>
    <cellStyle name="_광역송수관 이설공사 설계(흙막이)_댐직하류 하천정비(환경)사업 기본계획 및 실시설계용역-수공용_용담댐하류하천환경정비사업설계예산서(건희)_1) 신천금호강 종합개발 기본설계" xfId="4782" xr:uid="{00000000-0005-0000-0000-0000F9050000}"/>
    <cellStyle name="_광역송수관 이설공사 설계(흙막이)_댐직하류 하천정비(환경)사업 기본계획 및 실시설계용역-수공용_용담댐하류하천환경정비사업설계예산서(건희)_2) 신천금호강 종합개발 동영상제작(변경최종)" xfId="4783" xr:uid="{00000000-0005-0000-0000-0000FA050000}"/>
    <cellStyle name="_광역송수관 이설공사 설계(흙막이)_댐직하류 하천정비(환경)사업 기본계획 및 실시설계용역-수공용_용담댐하류하천환경정비사업설계예산서(건희)_3) 신천금호강 종합개발 산책로 실시설계(변경최종)" xfId="4784" xr:uid="{00000000-0005-0000-0000-0000FB050000}"/>
    <cellStyle name="_광역송수관 이설공사 설계(흙막이)_댐직하류 하천정비(환경)사업 기본계획 및 실시설계용역-수공용_용담댐하류하천환경정비사업설계예산서(건희)_설계내역서(신천-금호강)" xfId="4785" xr:uid="{00000000-0005-0000-0000-0000FC050000}"/>
    <cellStyle name="_광역송수관 이설공사 설계(흙막이)_댐직하류 하천정비(환경)사업 기본계획 및 실시설계용역-수공용_용담댐하류하천환경정비사업설계예산서(건희)_설계내역서(신천-금호강)_욱수천 하천재해예방사업 내역서" xfId="4786" xr:uid="{00000000-0005-0000-0000-0000FD050000}"/>
    <cellStyle name="_광역송수관 이설공사 설계(흙막이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4787" xr:uid="{00000000-0005-0000-0000-0000FE050000}"/>
    <cellStyle name="_광역송수관 이설공사 설계(흙막이)_댐직하류 하천정비(환경)사업 기본계획 및 실시설계용역-수공용_용담댐하류하천환경정비사업설계예산서(건희)_설계내역서(전체)" xfId="4788" xr:uid="{00000000-0005-0000-0000-0000FF050000}"/>
    <cellStyle name="_광역송수관 이설공사 설계(흙막이)_댐직하류 하천정비(환경)사업 기본계획 및 실시설계용역-수공용_용담댐하류하천환경정비사업설계예산서(건희)_설계내역서(전체)_욱수천 하천재해예방사업 내역서" xfId="4789" xr:uid="{00000000-0005-0000-0000-000000060000}"/>
    <cellStyle name="_광역송수관 이설공사 설계(흙막이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4790" xr:uid="{00000000-0005-0000-0000-000001060000}"/>
    <cellStyle name="_광역송수관 이설공사 설계(흙막이)_댐직하류 하천정비(환경)사업 기본계획 및 실시설계용역-수공용_용담댐하류하천환경정비사업설계예산서(건희)_신천금호강 종합개발 기본설계  내역서(수정분)" xfId="4791" xr:uid="{00000000-0005-0000-0000-000002060000}"/>
    <cellStyle name="_광역송수관 이설공사 설계(흙막이)_댐직하류 하천정비(환경)사업 기본계획 및 실시설계용역-수공용_용담댐하류하천환경정비사업설계예산서(건희)_신천금호강내역서(수정-보오링,사전재해및환경성제외,측량연장조정9(1).95억0726)" xfId="4792" xr:uid="{00000000-0005-0000-0000-000003060000}"/>
    <cellStyle name="_광역송수관 이설공사 설계(흙막이)_댐직하류 하천정비(환경)사업 기본계획 및 실시설계용역-수공용_용담댐하류하천환경정비사업설계예산서(건희)_심사내역서" xfId="4793" xr:uid="{00000000-0005-0000-0000-000004060000}"/>
    <cellStyle name="_광역송수관 이설공사 설계(흙막이)_댐직하류 하천정비(환경)사업 기본계획 및 실시설계용역-수공용_용담댐하류하천환경정비사업설계예산서(건희)_용담댐하류하천환경정비사업설계예산서(건희)" xfId="7246" xr:uid="{00000000-0005-0000-0000-000005060000}"/>
    <cellStyle name="_광역송수관 이설공사 설계(흙막이)_댐직하류 하천정비(환경)사업 기본계획 및 실시설계용역-수공용_용담댐하류하천환경정비사업설계예산서(건희)_욱수천 하천재해예방사업 내역서" xfId="4794" xr:uid="{00000000-0005-0000-0000-000006060000}"/>
    <cellStyle name="_광역송수관 이설공사 설계(흙막이)_댐직하류 하천정비(환경)사업 기본계획 및 실시설계용역-수공용_용담댐하류하천환경정비사업설계예산서(건희)_욱수천 하천재해예방사업 내역서_002 욱수천정비공사실시설계 내역서_090113" xfId="4795" xr:uid="{00000000-0005-0000-0000-000007060000}"/>
    <cellStyle name="_광역송수관 이설공사 설계(흙막이)_댐직하류 하천정비(환경)사업 기본계획 및 실시설계용역-수공용_욱수천 하천재해예방사업 내역서" xfId="4796" xr:uid="{00000000-0005-0000-0000-000008060000}"/>
    <cellStyle name="_광역송수관 이설공사 설계(흙막이)_댐직하류 하천정비(환경)사업 기본계획 및 실시설계용역-수공용_욱수천 하천재해예방사업 내역서_002 욱수천정비공사실시설계 내역서_090113" xfId="4797" xr:uid="{00000000-0005-0000-0000-000009060000}"/>
    <cellStyle name="_광역송수관 이설공사 설계(흙막이)_용담댐하류하천환경정비사업설계예산서(건희)" xfId="4798" xr:uid="{00000000-0005-0000-0000-00000A060000}"/>
    <cellStyle name="_광역송수관 이설공사 설계(흙막이)_용담댐하류하천환경정비사업설계예산서(건희)_1) 신천금호강 종합개발 기본설계" xfId="4799" xr:uid="{00000000-0005-0000-0000-00000B060000}"/>
    <cellStyle name="_광역송수관 이설공사 설계(흙막이)_용담댐하류하천환경정비사업설계예산서(건희)_2) 신천금호강 종합개발 동영상제작(변경최종)" xfId="4800" xr:uid="{00000000-0005-0000-0000-00000C060000}"/>
    <cellStyle name="_광역송수관 이설공사 설계(흙막이)_용담댐하류하천환경정비사업설계예산서(건희)_3) 신천금호강 종합개발 산책로 실시설계(변경최종)" xfId="4801" xr:uid="{00000000-0005-0000-0000-00000D060000}"/>
    <cellStyle name="_광역송수관 이설공사 설계(흙막이)_용담댐하류하천환경정비사업설계예산서(건희)_설계내역서(신천-금호강)" xfId="4802" xr:uid="{00000000-0005-0000-0000-00000E060000}"/>
    <cellStyle name="_광역송수관 이설공사 설계(흙막이)_용담댐하류하천환경정비사업설계예산서(건희)_설계내역서(신천-금호강)_욱수천 하천재해예방사업 내역서" xfId="4803" xr:uid="{00000000-0005-0000-0000-00000F060000}"/>
    <cellStyle name="_광역송수관 이설공사 설계(흙막이)_용담댐하류하천환경정비사업설계예산서(건희)_설계내역서(신천-금호강)_욱수천 하천재해예방사업 내역서_002 욱수천정비공사실시설계 내역서_090113" xfId="4804" xr:uid="{00000000-0005-0000-0000-000010060000}"/>
    <cellStyle name="_광역송수관 이설공사 설계(흙막이)_용담댐하류하천환경정비사업설계예산서(건희)_설계내역서(전체)" xfId="4805" xr:uid="{00000000-0005-0000-0000-000011060000}"/>
    <cellStyle name="_광역송수관 이설공사 설계(흙막이)_용담댐하류하천환경정비사업설계예산서(건희)_설계내역서(전체)_욱수천 하천재해예방사업 내역서" xfId="4806" xr:uid="{00000000-0005-0000-0000-000012060000}"/>
    <cellStyle name="_광역송수관 이설공사 설계(흙막이)_용담댐하류하천환경정비사업설계예산서(건희)_설계내역서(전체)_욱수천 하천재해예방사업 내역서_002 욱수천정비공사실시설계 내역서_090113" xfId="4807" xr:uid="{00000000-0005-0000-0000-000013060000}"/>
    <cellStyle name="_광역송수관 이설공사 설계(흙막이)_용담댐하류하천환경정비사업설계예산서(건희)_신천금호강 종합개발 기본설계  내역서(수정분)" xfId="4808" xr:uid="{00000000-0005-0000-0000-000014060000}"/>
    <cellStyle name="_광역송수관 이설공사 설계(흙막이)_용담댐하류하천환경정비사업설계예산서(건희)_신천금호강내역서(수정-보오링,사전재해및환경성제외,측량연장조정9(1).95억0726)" xfId="4809" xr:uid="{00000000-0005-0000-0000-000015060000}"/>
    <cellStyle name="_광역송수관 이설공사 설계(흙막이)_용담댐하류하천환경정비사업설계예산서(건희)_심사내역서" xfId="4810" xr:uid="{00000000-0005-0000-0000-000016060000}"/>
    <cellStyle name="_광역송수관 이설공사 설계(흙막이)_용담댐하류하천환경정비사업설계예산서(건희)_용담댐하류하천환경정비사업설계예산서(건희)" xfId="7247" xr:uid="{00000000-0005-0000-0000-000017060000}"/>
    <cellStyle name="_광역송수관 이설공사 설계(흙막이)_용담댐하류하천환경정비사업설계예산서(건희)_욱수천 하천재해예방사업 내역서" xfId="4811" xr:uid="{00000000-0005-0000-0000-000018060000}"/>
    <cellStyle name="_광역송수관 이설공사 설계(흙막이)_용담댐하류하천환경정비사업설계예산서(건희)_욱수천 하천재해예방사업 내역서_002 욱수천정비공사실시설계 내역서_090113" xfId="4812" xr:uid="{00000000-0005-0000-0000-000019060000}"/>
    <cellStyle name="_광역송수관 이설공사 설계(흙막이)_욱수천 하천재해예방사업 내역서" xfId="4813" xr:uid="{00000000-0005-0000-0000-00001A060000}"/>
    <cellStyle name="_광역송수관 이설공사 설계(흙막이)_욱수천 하천재해예방사업 내역서_002 욱수천정비공사실시설계 내역서_090113" xfId="4814" xr:uid="{00000000-0005-0000-0000-00001B060000}"/>
    <cellStyle name="_광역송수관 이설공사 설계(흙막이+양수)" xfId="4815" xr:uid="{00000000-0005-0000-0000-00001C060000}"/>
    <cellStyle name="_광역송수관 이설공사 설계(흙막이+양수) 2" xfId="7248" xr:uid="{00000000-0005-0000-0000-00001D060000}"/>
    <cellStyle name="_광역송수관 이설공사 설계(흙막이+양수)_댐직하류 하천정비(환경)사업 기본계획 및 실시설계용역-수공용" xfId="4816" xr:uid="{00000000-0005-0000-0000-00001E060000}"/>
    <cellStyle name="_광역송수관 이설공사 설계(흙막이+양수)_댐직하류 하천정비(환경)사업 기본계획 및 실시설계용역-수공용 2" xfId="7249" xr:uid="{00000000-0005-0000-0000-00001F060000}"/>
    <cellStyle name="_광역송수관 이설공사 설계(흙막이+양수)_댐직하류 하천정비(환경)사업 기본계획 및 실시설계용역-수공용_용담댐직하류 하천정비공사 설계예산서(남원작성)-" xfId="4817" xr:uid="{00000000-0005-0000-0000-000020060000}"/>
    <cellStyle name="_광역송수관 이설공사 설계(흙막이+양수)_댐직하류 하천정비(환경)사업 기본계획 및 실시설계용역-수공용_용담댐직하류 하천정비공사 설계예산서(남원작성)- 2" xfId="7250" xr:uid="{00000000-0005-0000-0000-000021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" xfId="4818" xr:uid="{00000000-0005-0000-0000-000022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1) 신천금호강 종합개발 기본설계" xfId="4819" xr:uid="{00000000-0005-0000-0000-000023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4820" xr:uid="{00000000-0005-0000-0000-000024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4821" xr:uid="{00000000-0005-0000-0000-000025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신천-금호강)" xfId="4822" xr:uid="{00000000-0005-0000-0000-000026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4823" xr:uid="{00000000-0005-0000-0000-000027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4824" xr:uid="{00000000-0005-0000-0000-000028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전체)" xfId="4825" xr:uid="{00000000-0005-0000-0000-000029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4826" xr:uid="{00000000-0005-0000-0000-00002A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4827" xr:uid="{00000000-0005-0000-0000-00002B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4828" xr:uid="{00000000-0005-0000-0000-00002C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4829" xr:uid="{00000000-0005-0000-0000-00002D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심사내역서" xfId="4830" xr:uid="{00000000-0005-0000-0000-00002E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251" xr:uid="{00000000-0005-0000-0000-00002F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욱수천 하천재해예방사업 내역서" xfId="4831" xr:uid="{00000000-0005-0000-0000-000030060000}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4832" xr:uid="{00000000-0005-0000-0000-000031060000}"/>
    <cellStyle name="_광역송수관 이설공사 설계(흙막이+양수)_댐직하류 하천정비(환경)사업 기본계획 및 실시설계용역-수공용_용담댐직하류 하천정비공사 설계예산서(남원작성)-_욱수천 하천재해예방사업 내역서" xfId="4833" xr:uid="{00000000-0005-0000-0000-000032060000}"/>
    <cellStyle name="_광역송수관 이설공사 설계(흙막이+양수)_댐직하류 하천정비(환경)사업 기본계획 및 실시설계용역-수공용_용담댐직하류 하천정비공사 설계예산서(남원작성)-_욱수천 하천재해예방사업 내역서_002 욱수천정비공사실시설계 내역서_090113" xfId="4834" xr:uid="{00000000-0005-0000-0000-000033060000}"/>
    <cellStyle name="_광역송수관 이설공사 설계(흙막이+양수)_댐직하류 하천정비(환경)사업 기본계획 및 실시설계용역-수공용_용담댐하류하천환경정비사업설계예산서(건희)" xfId="4835" xr:uid="{00000000-0005-0000-0000-000034060000}"/>
    <cellStyle name="_광역송수관 이설공사 설계(흙막이+양수)_댐직하류 하천정비(환경)사업 기본계획 및 실시설계용역-수공용_용담댐하류하천환경정비사업설계예산서(건희)_1) 신천금호강 종합개발 기본설계" xfId="4836" xr:uid="{00000000-0005-0000-0000-000035060000}"/>
    <cellStyle name="_광역송수관 이설공사 설계(흙막이+양수)_댐직하류 하천정비(환경)사업 기본계획 및 실시설계용역-수공용_용담댐하류하천환경정비사업설계예산서(건희)_2) 신천금호강 종합개발 동영상제작(변경최종)" xfId="4837" xr:uid="{00000000-0005-0000-0000-000036060000}"/>
    <cellStyle name="_광역송수관 이설공사 설계(흙막이+양수)_댐직하류 하천정비(환경)사업 기본계획 및 실시설계용역-수공용_용담댐하류하천환경정비사업설계예산서(건희)_3) 신천금호강 종합개발 산책로 실시설계(변경최종)" xfId="4838" xr:uid="{00000000-0005-0000-0000-000037060000}"/>
    <cellStyle name="_광역송수관 이설공사 설계(흙막이+양수)_댐직하류 하천정비(환경)사업 기본계획 및 실시설계용역-수공용_용담댐하류하천환경정비사업설계예산서(건희)_설계내역서(신천-금호강)" xfId="4839" xr:uid="{00000000-0005-0000-0000-000038060000}"/>
    <cellStyle name="_광역송수관 이설공사 설계(흙막이+양수)_댐직하류 하천정비(환경)사업 기본계획 및 실시설계용역-수공용_용담댐하류하천환경정비사업설계예산서(건희)_설계내역서(신천-금호강)_욱수천 하천재해예방사업 내역서" xfId="4840" xr:uid="{00000000-0005-0000-0000-000039060000}"/>
    <cellStyle name="_광역송수관 이설공사 설계(흙막이+양수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4841" xr:uid="{00000000-0005-0000-0000-00003A060000}"/>
    <cellStyle name="_광역송수관 이설공사 설계(흙막이+양수)_댐직하류 하천정비(환경)사업 기본계획 및 실시설계용역-수공용_용담댐하류하천환경정비사업설계예산서(건희)_설계내역서(전체)" xfId="4842" xr:uid="{00000000-0005-0000-0000-00003B060000}"/>
    <cellStyle name="_광역송수관 이설공사 설계(흙막이+양수)_댐직하류 하천정비(환경)사업 기본계획 및 실시설계용역-수공용_용담댐하류하천환경정비사업설계예산서(건희)_설계내역서(전체)_욱수천 하천재해예방사업 내역서" xfId="4843" xr:uid="{00000000-0005-0000-0000-00003C060000}"/>
    <cellStyle name="_광역송수관 이설공사 설계(흙막이+양수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4844" xr:uid="{00000000-0005-0000-0000-00003D060000}"/>
    <cellStyle name="_광역송수관 이설공사 설계(흙막이+양수)_댐직하류 하천정비(환경)사업 기본계획 및 실시설계용역-수공용_용담댐하류하천환경정비사업설계예산서(건희)_신천금호강 종합개발 기본설계  내역서(수정분)" xfId="4845" xr:uid="{00000000-0005-0000-0000-00003E060000}"/>
    <cellStyle name="_광역송수관 이설공사 설계(흙막이+양수)_댐직하류 하천정비(환경)사업 기본계획 및 실시설계용역-수공용_용담댐하류하천환경정비사업설계예산서(건희)_신천금호강내역서(수정-보오링,사전재해및환경성제외,측량연장조정9(1).95억0726)" xfId="4846" xr:uid="{00000000-0005-0000-0000-00003F060000}"/>
    <cellStyle name="_광역송수관 이설공사 설계(흙막이+양수)_댐직하류 하천정비(환경)사업 기본계획 및 실시설계용역-수공용_용담댐하류하천환경정비사업설계예산서(건희)_심사내역서" xfId="4847" xr:uid="{00000000-0005-0000-0000-000040060000}"/>
    <cellStyle name="_광역송수관 이설공사 설계(흙막이+양수)_댐직하류 하천정비(환경)사업 기본계획 및 실시설계용역-수공용_용담댐하류하천환경정비사업설계예산서(건희)_용담댐하류하천환경정비사업설계예산서(건희)" xfId="7252" xr:uid="{00000000-0005-0000-0000-000041060000}"/>
    <cellStyle name="_광역송수관 이설공사 설계(흙막이+양수)_댐직하류 하천정비(환경)사업 기본계획 및 실시설계용역-수공용_용담댐하류하천환경정비사업설계예산서(건희)_욱수천 하천재해예방사업 내역서" xfId="4848" xr:uid="{00000000-0005-0000-0000-000042060000}"/>
    <cellStyle name="_광역송수관 이설공사 설계(흙막이+양수)_댐직하류 하천정비(환경)사업 기본계획 및 실시설계용역-수공용_용담댐하류하천환경정비사업설계예산서(건희)_욱수천 하천재해예방사업 내역서_002 욱수천정비공사실시설계 내역서_090113" xfId="4849" xr:uid="{00000000-0005-0000-0000-000043060000}"/>
    <cellStyle name="_광역송수관 이설공사 설계(흙막이+양수)_댐직하류 하천정비(환경)사업 기본계획 및 실시설계용역-수공용_욱수천 하천재해예방사업 내역서" xfId="4850" xr:uid="{00000000-0005-0000-0000-000044060000}"/>
    <cellStyle name="_광역송수관 이설공사 설계(흙막이+양수)_댐직하류 하천정비(환경)사업 기본계획 및 실시설계용역-수공용_욱수천 하천재해예방사업 내역서_002 욱수천정비공사실시설계 내역서_090113" xfId="4851" xr:uid="{00000000-0005-0000-0000-000045060000}"/>
    <cellStyle name="_광역송수관 이설공사 설계(흙막이+양수)_용담댐하류하천환경정비사업설계예산서(건희)" xfId="4852" xr:uid="{00000000-0005-0000-0000-000046060000}"/>
    <cellStyle name="_광역송수관 이설공사 설계(흙막이+양수)_용담댐하류하천환경정비사업설계예산서(건희)_1) 신천금호강 종합개발 기본설계" xfId="4853" xr:uid="{00000000-0005-0000-0000-000047060000}"/>
    <cellStyle name="_광역송수관 이설공사 설계(흙막이+양수)_용담댐하류하천환경정비사업설계예산서(건희)_2) 신천금호강 종합개발 동영상제작(변경최종)" xfId="4854" xr:uid="{00000000-0005-0000-0000-000048060000}"/>
    <cellStyle name="_광역송수관 이설공사 설계(흙막이+양수)_용담댐하류하천환경정비사업설계예산서(건희)_3) 신천금호강 종합개발 산책로 실시설계(변경최종)" xfId="4855" xr:uid="{00000000-0005-0000-0000-000049060000}"/>
    <cellStyle name="_광역송수관 이설공사 설계(흙막이+양수)_용담댐하류하천환경정비사업설계예산서(건희)_설계내역서(신천-금호강)" xfId="4856" xr:uid="{00000000-0005-0000-0000-00004A060000}"/>
    <cellStyle name="_광역송수관 이설공사 설계(흙막이+양수)_용담댐하류하천환경정비사업설계예산서(건희)_설계내역서(신천-금호강)_욱수천 하천재해예방사업 내역서" xfId="4857" xr:uid="{00000000-0005-0000-0000-00004B060000}"/>
    <cellStyle name="_광역송수관 이설공사 설계(흙막이+양수)_용담댐하류하천환경정비사업설계예산서(건희)_설계내역서(신천-금호강)_욱수천 하천재해예방사업 내역서_002 욱수천정비공사실시설계 내역서_090113" xfId="4858" xr:uid="{00000000-0005-0000-0000-00004C060000}"/>
    <cellStyle name="_광역송수관 이설공사 설계(흙막이+양수)_용담댐하류하천환경정비사업설계예산서(건희)_설계내역서(전체)" xfId="4859" xr:uid="{00000000-0005-0000-0000-00004D060000}"/>
    <cellStyle name="_광역송수관 이설공사 설계(흙막이+양수)_용담댐하류하천환경정비사업설계예산서(건희)_설계내역서(전체)_욱수천 하천재해예방사업 내역서" xfId="4860" xr:uid="{00000000-0005-0000-0000-00004E060000}"/>
    <cellStyle name="_광역송수관 이설공사 설계(흙막이+양수)_용담댐하류하천환경정비사업설계예산서(건희)_설계내역서(전체)_욱수천 하천재해예방사업 내역서_002 욱수천정비공사실시설계 내역서_090113" xfId="4861" xr:uid="{00000000-0005-0000-0000-00004F060000}"/>
    <cellStyle name="_광역송수관 이설공사 설계(흙막이+양수)_용담댐하류하천환경정비사업설계예산서(건희)_신천금호강 종합개발 기본설계  내역서(수정분)" xfId="4862" xr:uid="{00000000-0005-0000-0000-000050060000}"/>
    <cellStyle name="_광역송수관 이설공사 설계(흙막이+양수)_용담댐하류하천환경정비사업설계예산서(건희)_신천금호강내역서(수정-보오링,사전재해및환경성제외,측량연장조정9(1).95억0726)" xfId="4863" xr:uid="{00000000-0005-0000-0000-000051060000}"/>
    <cellStyle name="_광역송수관 이설공사 설계(흙막이+양수)_용담댐하류하천환경정비사업설계예산서(건희)_심사내역서" xfId="4864" xr:uid="{00000000-0005-0000-0000-000052060000}"/>
    <cellStyle name="_광역송수관 이설공사 설계(흙막이+양수)_용담댐하류하천환경정비사업설계예산서(건희)_용담댐하류하천환경정비사업설계예산서(건희)" xfId="7253" xr:uid="{00000000-0005-0000-0000-000053060000}"/>
    <cellStyle name="_광역송수관 이설공사 설계(흙막이+양수)_용담댐하류하천환경정비사업설계예산서(건희)_욱수천 하천재해예방사업 내역서" xfId="4865" xr:uid="{00000000-0005-0000-0000-000054060000}"/>
    <cellStyle name="_광역송수관 이설공사 설계(흙막이+양수)_용담댐하류하천환경정비사업설계예산서(건희)_욱수천 하천재해예방사업 내역서_002 욱수천정비공사실시설계 내역서_090113" xfId="4866" xr:uid="{00000000-0005-0000-0000-000055060000}"/>
    <cellStyle name="_광역송수관 이설공사 설계(흙막이+양수)_욱수천 하천재해예방사업 내역서" xfId="4867" xr:uid="{00000000-0005-0000-0000-000056060000}"/>
    <cellStyle name="_광역송수관 이설공사 설계(흙막이+양수)_욱수천 하천재해예방사업 내역서_002 욱수천정비공사실시설계 내역서_090113" xfId="4868" xr:uid="{00000000-0005-0000-0000-000057060000}"/>
    <cellStyle name="_광주시 2차 시스템" xfId="4869" xr:uid="{00000000-0005-0000-0000-000058060000}"/>
    <cellStyle name="_광주시 2차 시스템 2" xfId="7254" xr:uid="{00000000-0005-0000-0000-000059060000}"/>
    <cellStyle name="_광주시 도로와 지하시설물도 공동구축사업(2차) 설계내역서_1.0" xfId="4870" xr:uid="{00000000-0005-0000-0000-00005A060000}"/>
    <cellStyle name="_광주시 도로와 지하시설물도 공동구축사업(2차) 설계내역서_1.0 2" xfId="7255" xr:uid="{00000000-0005-0000-0000-00005B060000}"/>
    <cellStyle name="_구미내역서(표지목차WBS참조)" xfId="643" xr:uid="{00000000-0005-0000-0000-00005C060000}"/>
    <cellStyle name="_구미정수장a(건축,총괄집계표까지참조)" xfId="644" xr:uid="{00000000-0005-0000-0000-00005D060000}"/>
    <cellStyle name="_구미정수장B(건축,기계,토목)" xfId="645" xr:uid="{00000000-0005-0000-0000-00005E060000}"/>
    <cellStyle name="_구즉내역서" xfId="4871" xr:uid="{00000000-0005-0000-0000-00005F060000}"/>
    <cellStyle name="_국공유지실태조사(최종)" xfId="4872" xr:uid="{00000000-0005-0000-0000-000060060000}"/>
    <cellStyle name="_국공유지실태조사(최종) 2" xfId="7256" xr:uid="{00000000-0005-0000-0000-000061060000}"/>
    <cellStyle name="_군산내항-품셈기준" xfId="4873" xr:uid="{00000000-0005-0000-0000-000062060000}"/>
    <cellStyle name="_군산내항-품셈기준 2" xfId="7257" xr:uid="{00000000-0005-0000-0000-000063060000}"/>
    <cellStyle name="_군산시_UIS설계서(0308)" xfId="4874" xr:uid="{00000000-0005-0000-0000-000064060000}"/>
    <cellStyle name="_군산시_UIS설계서(0308) 2" xfId="7258" xr:uid="{00000000-0005-0000-0000-000065060000}"/>
    <cellStyle name="_군포시 지하시설물통합정보시스템 구축사업 설계내역서_2.3" xfId="4875" xr:uid="{00000000-0005-0000-0000-000066060000}"/>
    <cellStyle name="_군포시 지하시설물통합정보시스템 구축사업 설계내역서_2.3 2" xfId="7259" xr:uid="{00000000-0005-0000-0000-000067060000}"/>
    <cellStyle name="_금강시스템구축_용역내역서" xfId="4876" xr:uid="{00000000-0005-0000-0000-000068060000}"/>
    <cellStyle name="_금강시스템구축_용역내역서 2" xfId="7260" xr:uid="{00000000-0005-0000-0000-000069060000}"/>
    <cellStyle name="_기본및실시-샛강내역_0718_680억_감리3%포함" xfId="4877" xr:uid="{00000000-0005-0000-0000-00006A060000}"/>
    <cellStyle name="_기본및실시-샛강내역_0718_680억_감리3%포함 2" xfId="7261" xr:uid="{00000000-0005-0000-0000-00006B060000}"/>
    <cellStyle name="_기성검사원" xfId="4878" xr:uid="{00000000-0005-0000-0000-00006C060000}"/>
    <cellStyle name="_기성검사원_내역서" xfId="4879" xr:uid="{00000000-0005-0000-0000-00006D060000}"/>
    <cellStyle name="_기안" xfId="1968" xr:uid="{00000000-0005-0000-0000-00006E060000}"/>
    <cellStyle name="_기안_병천하수 견적060412" xfId="1969" xr:uid="{00000000-0005-0000-0000-00006F060000}"/>
    <cellStyle name="_기안_사본 - 기성내역서(대경엔텍)" xfId="1970" xr:uid="{00000000-0005-0000-0000-000070060000}"/>
    <cellStyle name="_기안_사본 - 기성내역서(대경엔텍)_병천하수 견적060412" xfId="1971" xr:uid="{00000000-0005-0000-0000-000071060000}"/>
    <cellStyle name="_기안_사본 - 기성내역서(대경엔텍)_산북하수견적서" xfId="1972" xr:uid="{00000000-0005-0000-0000-000072060000}"/>
    <cellStyle name="_기안_사본 - 기성내역서(대경엔텍)_통일하수내역서" xfId="1973" xr:uid="{00000000-0005-0000-0000-000073060000}"/>
    <cellStyle name="_기안_산북하수견적서" xfId="1974" xr:uid="{00000000-0005-0000-0000-000074060000}"/>
    <cellStyle name="_기안_제1회설계변경내역서(11.15~)update" xfId="1975" xr:uid="{00000000-0005-0000-0000-000075060000}"/>
    <cellStyle name="_기안_제2회기성내역서(1차+2차공사)" xfId="1976" xr:uid="{00000000-0005-0000-0000-000076060000}"/>
    <cellStyle name="_기안_제2회기성내역서(1차+2차공사)_병천하수 견적060412" xfId="1977" xr:uid="{00000000-0005-0000-0000-000077060000}"/>
    <cellStyle name="_기안_제2회기성내역서(1차+2차공사)_산북하수견적서" xfId="1978" xr:uid="{00000000-0005-0000-0000-000078060000}"/>
    <cellStyle name="_기안_제2회기성내역서(1차+2차공사)_제7회기성내역서(1차+2차공사)~ing" xfId="1979" xr:uid="{00000000-0005-0000-0000-000079060000}"/>
    <cellStyle name="_기안_제2회기성내역서(1차+2차공사)_제7회기성내역서(1차+2차공사)~ing_병천하수 견적060412" xfId="1980" xr:uid="{00000000-0005-0000-0000-00007A060000}"/>
    <cellStyle name="_기안_제2회기성내역서(1차+2차공사)_제7회기성내역서(1차+2차공사)~ing_산북하수견적서" xfId="1981" xr:uid="{00000000-0005-0000-0000-00007B060000}"/>
    <cellStyle name="_기안_제2회기성내역서(1차+2차공사)_제7회기성내역서(1차+2차공사)~ing_통일하수내역서" xfId="1982" xr:uid="{00000000-0005-0000-0000-00007C060000}"/>
    <cellStyle name="_기안_제2회기성내역서(1차+2차공사)_통일하수내역서" xfId="1983" xr:uid="{00000000-0005-0000-0000-00007D060000}"/>
    <cellStyle name="_기안_통일하수내역서" xfId="1984" xr:uid="{00000000-0005-0000-0000-00007E060000}"/>
    <cellStyle name="_김제시 GIS 구축사업 설계내역서_시스템부문_4" xfId="4880" xr:uid="{00000000-0005-0000-0000-00007F060000}"/>
    <cellStyle name="_김제시 GIS 구축사업 설계내역서_시스템부문_4 2" xfId="7262" xr:uid="{00000000-0005-0000-0000-000080060000}"/>
    <cellStyle name="_김제시 도로와 지하시설물 공동구축사업 설계서_계약(1차년도)_1" xfId="4881" xr:uid="{00000000-0005-0000-0000-000081060000}"/>
    <cellStyle name="_김제시 도로와 지하시설물 공동구축사업 설계서_계약(1차년도)_1 2" xfId="7263" xr:uid="{00000000-0005-0000-0000-000082060000}"/>
    <cellStyle name="_김천시설계서(제출용)" xfId="4882" xr:uid="{00000000-0005-0000-0000-000083060000}"/>
    <cellStyle name="_김천시설계서(제출용) 2" xfId="7264" xr:uid="{00000000-0005-0000-0000-000084060000}"/>
    <cellStyle name="_김포시 UIS-설계내역서" xfId="4883" xr:uid="{00000000-0005-0000-0000-000085060000}"/>
    <cellStyle name="_김포시 UIS-설계내역서 2" xfId="7265" xr:uid="{00000000-0005-0000-0000-000086060000}"/>
    <cellStyle name="_김해시_도로와지하시설물도공동구축사업 설계내역서.2.9" xfId="4884" xr:uid="{00000000-0005-0000-0000-000087060000}"/>
    <cellStyle name="_김해시_도로와지하시설물도공동구축사업 설계내역서.2.9 2" xfId="7266" xr:uid="{00000000-0005-0000-0000-000088060000}"/>
    <cellStyle name="_나주시-품셈기준" xfId="4885" xr:uid="{00000000-0005-0000-0000-000089060000}"/>
    <cellStyle name="_낙동강(상류)사전재해내역서(0508)" xfId="4886" xr:uid="{00000000-0005-0000-0000-00008A060000}"/>
    <cellStyle name="_낙동강(상류)사전재해내역서(0508) 2" xfId="7267" xr:uid="{00000000-0005-0000-0000-00008B060000}"/>
    <cellStyle name="_낙동강(상류)사전재해내역서(0508)_091110 안성천권역(중하류) 설계내역서" xfId="7268" xr:uid="{00000000-0005-0000-0000-00008C060000}"/>
    <cellStyle name="_낙동강(상류)사전재해내역서(0508)_100120 안성천권역(중하류) 2차분내역서" xfId="6865" xr:uid="{00000000-0005-0000-0000-00008D060000}"/>
    <cellStyle name="_낙동강(상류)사전재해내역서(0508)_100120 안성천권역(중하류) 2차분내역서 2" xfId="7269" xr:uid="{00000000-0005-0000-0000-00008E060000}"/>
    <cellStyle name="_낙동강(상류)사전재해내역서(0508)_논산천 권역 하천기본계획 설계예산서" xfId="7270" xr:uid="{00000000-0005-0000-0000-00008F060000}"/>
    <cellStyle name="_낙동강(상류)사전재해내역서(0508)_사본 - 황강중류권역 하천기본계획 예산서(황강 미포함)-2차분_ rev2" xfId="6866" xr:uid="{00000000-0005-0000-0000-000090060000}"/>
    <cellStyle name="_낙동강(상류)사전재해내역서(0508)_소양강 상류권역 하천기본계획(변경) 및 하천시설관리대장작성_Lidar측량" xfId="7271" xr:uid="{00000000-0005-0000-0000-000091060000}"/>
    <cellStyle name="_낙동강(상류)사전재해내역서(0508)_안양천 하천기본계획 예산서_보완중" xfId="7272" xr:uid="{00000000-0005-0000-0000-000092060000}"/>
    <cellStyle name="_낙동강(상류)사전재해내역서(0508)_안양천권역 하천기본계획 설계예산서" xfId="7273" xr:uid="{00000000-0005-0000-0000-000093060000}"/>
    <cellStyle name="_낙동강(상류)사전재해내역서(0508)_한강하류 하천기본계획 설계예산서(지형측량)" xfId="7274" xr:uid="{00000000-0005-0000-0000-000094060000}"/>
    <cellStyle name="_낙동강(상류)사전재해내역서(0508)_한강하류내역서2" xfId="7275" xr:uid="{00000000-0005-0000-0000-000095060000}"/>
    <cellStyle name="_낙동강(상류)사전재해내역서(0508)_한탄강 하천기본계획 예산서_최종2" xfId="7276" xr:uid="{00000000-0005-0000-0000-000096060000}"/>
    <cellStyle name="_낙동강(상류)사전재해내역서(0508)_한탄강권역 하천기본계획 설계예산서(지형측량)" xfId="7277" xr:uid="{00000000-0005-0000-0000-000097060000}"/>
    <cellStyle name="_남북공유하천용역설계서(최종)" xfId="646" xr:uid="{00000000-0005-0000-0000-000098060000}"/>
    <cellStyle name="_남북공유하천용역설계서(최종) 2" xfId="7278" xr:uid="{00000000-0005-0000-0000-000099060000}"/>
    <cellStyle name="_남한강내역서(전체)" xfId="7279" xr:uid="{00000000-0005-0000-0000-00009A060000}"/>
    <cellStyle name="_남해군 관리계획 지적고시 설계내역서" xfId="4887" xr:uid="{00000000-0005-0000-0000-00009B060000}"/>
    <cellStyle name="_내역.2종지구단위(공장입지유도지구)밀양용전.미전" xfId="4888" xr:uid="{00000000-0005-0000-0000-00009C060000}"/>
    <cellStyle name="_내역.2종지구단위(공장입지유도지구)밀양용전.미전_111" xfId="4889" xr:uid="{00000000-0005-0000-0000-00009D060000}"/>
    <cellStyle name="_내역.2종지구단위(공장입지유도지구)밀양용전.미전_내역.2종지구단위(공장입지유도지구)밀양용전1" xfId="4890" xr:uid="{00000000-0005-0000-0000-00009E060000}"/>
    <cellStyle name="_내역.2종지구단위(공장입지유도지구)밀양용전1" xfId="4891" xr:uid="{00000000-0005-0000-0000-00009F060000}"/>
    <cellStyle name="_내역_2울진랜드(울진)교평" xfId="4892" xr:uid="{00000000-0005-0000-0000-0000A0060000}"/>
    <cellStyle name="_내역_4울진랜드(울진)기본.실시설계" xfId="4893" xr:uid="{00000000-0005-0000-0000-0000A1060000}"/>
    <cellStyle name="_내역_토질조사" xfId="4894" xr:uid="{00000000-0005-0000-0000-0000A2060000}"/>
    <cellStyle name="_내역서" xfId="4895" xr:uid="{00000000-0005-0000-0000-0000A3060000}"/>
    <cellStyle name="_내역서(개발계획단계-환지)" xfId="1373" xr:uid="{00000000-0005-0000-0000-0000A4060000}"/>
    <cellStyle name="_내역서(실시계획)수정" xfId="1374" xr:uid="{00000000-0005-0000-0000-0000A5060000}"/>
    <cellStyle name="_내역서(총괄착수내역서)" xfId="4896" xr:uid="{00000000-0005-0000-0000-0000A6060000}"/>
    <cellStyle name="_내역서(총괄착수내역서) 2" xfId="7280" xr:uid="{00000000-0005-0000-0000-0000A7060000}"/>
    <cellStyle name="_내역서_5공구 설계내역서" xfId="4897" xr:uid="{00000000-0005-0000-0000-0000A8060000}"/>
    <cellStyle name="_내역서_문화의 거리 농로포장(김병국2차)" xfId="4898" xr:uid="{00000000-0005-0000-0000-0000A9060000}"/>
    <cellStyle name="_내역서_문화의 거리 농로포장(김병국2차)_문화의 거리 농로포장(김병국2차)" xfId="4899" xr:uid="{00000000-0005-0000-0000-0000AA060000}"/>
    <cellStyle name="_내역서-구룡지구" xfId="1375" xr:uid="{00000000-0005-0000-0000-0000AB060000}"/>
    <cellStyle name="_능성천외3개하천하천기본계획수립 및 하천시설관리대장 작성용역(20100122)" xfId="4900" xr:uid="{00000000-0005-0000-0000-0000AC060000}"/>
    <cellStyle name="_능성천외3개하천하천기본계획수립 및 하천시설관리대장 작성용역(20100122) 2" xfId="7281" xr:uid="{00000000-0005-0000-0000-0000AD060000}"/>
    <cellStyle name="_다우SW(1023)" xfId="4901" xr:uid="{00000000-0005-0000-0000-0000AE060000}"/>
    <cellStyle name="_다우SW(1023) 2" xfId="7282" xr:uid="{00000000-0005-0000-0000-0000AF060000}"/>
    <cellStyle name="_단가산출서" xfId="4902" xr:uid="{00000000-0005-0000-0000-0000B0060000}"/>
    <cellStyle name="_단가산출서 2" xfId="7283" xr:uid="{00000000-0005-0000-0000-0000B1060000}"/>
    <cellStyle name="_단가산출서_댐직하류 하천정비(환경)사업 기본계획 및 실시설계용역-수공용" xfId="4903" xr:uid="{00000000-0005-0000-0000-0000B2060000}"/>
    <cellStyle name="_단가산출서_댐직하류 하천정비(환경)사업 기본계획 및 실시설계용역-수공용 2" xfId="7284" xr:uid="{00000000-0005-0000-0000-0000B3060000}"/>
    <cellStyle name="_단가산출서_댐직하류 하천정비(환경)사업 기본계획 및 실시설계용역-수공용_용담댐직하류 하천정비공사 설계예산서(남원작성)-" xfId="4904" xr:uid="{00000000-0005-0000-0000-0000B4060000}"/>
    <cellStyle name="_단가산출서_댐직하류 하천정비(환경)사업 기본계획 및 실시설계용역-수공용_용담댐직하류 하천정비공사 설계예산서(남원작성)- 2" xfId="7285" xr:uid="{00000000-0005-0000-0000-0000B5060000}"/>
    <cellStyle name="_단가산출서_댐직하류 하천정비(환경)사업 기본계획 및 실시설계용역-수공용_용담댐직하류 하천정비공사 설계예산서(남원작성)-_용담댐하류하천환경정비사업설계예산서(건희)" xfId="4905" xr:uid="{00000000-0005-0000-0000-0000B6060000}"/>
    <cellStyle name="_단가산출서_댐직하류 하천정비(환경)사업 기본계획 및 실시설계용역-수공용_용담댐직하류 하천정비공사 설계예산서(남원작성)-_용담댐하류하천환경정비사업설계예산서(건희)_1) 신천금호강 종합개발 기본설계" xfId="4906" xr:uid="{00000000-0005-0000-0000-0000B7060000}"/>
    <cellStyle name="_단가산출서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4907" xr:uid="{00000000-0005-0000-0000-0000B8060000}"/>
    <cellStyle name="_단가산출서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4908" xr:uid="{00000000-0005-0000-0000-0000B9060000}"/>
    <cellStyle name="_단가산출서_댐직하류 하천정비(환경)사업 기본계획 및 실시설계용역-수공용_용담댐직하류 하천정비공사 설계예산서(남원작성)-_용담댐하류하천환경정비사업설계예산서(건희)_설계내역서(신천-금호강)" xfId="4909" xr:uid="{00000000-0005-0000-0000-0000BA060000}"/>
    <cellStyle name="_단가산출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4910" xr:uid="{00000000-0005-0000-0000-0000BB060000}"/>
    <cellStyle name="_단가산출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4911" xr:uid="{00000000-0005-0000-0000-0000BC060000}"/>
    <cellStyle name="_단가산출서_댐직하류 하천정비(환경)사업 기본계획 및 실시설계용역-수공용_용담댐직하류 하천정비공사 설계예산서(남원작성)-_용담댐하류하천환경정비사업설계예산서(건희)_설계내역서(전체)" xfId="4912" xr:uid="{00000000-0005-0000-0000-0000BD060000}"/>
    <cellStyle name="_단가산출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4913" xr:uid="{00000000-0005-0000-0000-0000BE060000}"/>
    <cellStyle name="_단가산출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4914" xr:uid="{00000000-0005-0000-0000-0000BF060000}"/>
    <cellStyle name="_단가산출서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4915" xr:uid="{00000000-0005-0000-0000-0000C0060000}"/>
    <cellStyle name="_단가산출서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4916" xr:uid="{00000000-0005-0000-0000-0000C1060000}"/>
    <cellStyle name="_단가산출서_댐직하류 하천정비(환경)사업 기본계획 및 실시설계용역-수공용_용담댐직하류 하천정비공사 설계예산서(남원작성)-_용담댐하류하천환경정비사업설계예산서(건희)_심사내역서" xfId="4917" xr:uid="{00000000-0005-0000-0000-0000C2060000}"/>
    <cellStyle name="_단가산출서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286" xr:uid="{00000000-0005-0000-0000-0000C3060000}"/>
    <cellStyle name="_단가산출서_댐직하류 하천정비(환경)사업 기본계획 및 실시설계용역-수공용_용담댐직하류 하천정비공사 설계예산서(남원작성)-_용담댐하류하천환경정비사업설계예산서(건희)_욱수천 하천재해예방사업 내역서" xfId="4918" xr:uid="{00000000-0005-0000-0000-0000C4060000}"/>
    <cellStyle name="_단가산출서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4919" xr:uid="{00000000-0005-0000-0000-0000C5060000}"/>
    <cellStyle name="_단가산출서_댐직하류 하천정비(환경)사업 기본계획 및 실시설계용역-수공용_용담댐직하류 하천정비공사 설계예산서(남원작성)-_욱수천 하천재해예방사업 내역서" xfId="4920" xr:uid="{00000000-0005-0000-0000-0000C6060000}"/>
    <cellStyle name="_단가산출서_댐직하류 하천정비(환경)사업 기본계획 및 실시설계용역-수공용_용담댐직하류 하천정비공사 설계예산서(남원작성)-_욱수천 하천재해예방사업 내역서_002 욱수천정비공사실시설계 내역서_090113" xfId="4921" xr:uid="{00000000-0005-0000-0000-0000C7060000}"/>
    <cellStyle name="_단가산출서_댐직하류 하천정비(환경)사업 기본계획 및 실시설계용역-수공용_용담댐하류하천환경정비사업설계예산서(건희)" xfId="4922" xr:uid="{00000000-0005-0000-0000-0000C8060000}"/>
    <cellStyle name="_단가산출서_댐직하류 하천정비(환경)사업 기본계획 및 실시설계용역-수공용_용담댐하류하천환경정비사업설계예산서(건희)_1) 신천금호강 종합개발 기본설계" xfId="4923" xr:uid="{00000000-0005-0000-0000-0000C9060000}"/>
    <cellStyle name="_단가산출서_댐직하류 하천정비(환경)사업 기본계획 및 실시설계용역-수공용_용담댐하류하천환경정비사업설계예산서(건희)_2) 신천금호강 종합개발 동영상제작(변경최종)" xfId="4924" xr:uid="{00000000-0005-0000-0000-0000CA060000}"/>
    <cellStyle name="_단가산출서_댐직하류 하천정비(환경)사업 기본계획 및 실시설계용역-수공용_용담댐하류하천환경정비사업설계예산서(건희)_3) 신천금호강 종합개발 산책로 실시설계(변경최종)" xfId="4925" xr:uid="{00000000-0005-0000-0000-0000CB060000}"/>
    <cellStyle name="_단가산출서_댐직하류 하천정비(환경)사업 기본계획 및 실시설계용역-수공용_용담댐하류하천환경정비사업설계예산서(건희)_설계내역서(신천-금호강)" xfId="4926" xr:uid="{00000000-0005-0000-0000-0000CC060000}"/>
    <cellStyle name="_단가산출서_댐직하류 하천정비(환경)사업 기본계획 및 실시설계용역-수공용_용담댐하류하천환경정비사업설계예산서(건희)_설계내역서(신천-금호강)_욱수천 하천재해예방사업 내역서" xfId="4927" xr:uid="{00000000-0005-0000-0000-0000CD060000}"/>
    <cellStyle name="_단가산출서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4928" xr:uid="{00000000-0005-0000-0000-0000CE060000}"/>
    <cellStyle name="_단가산출서_댐직하류 하천정비(환경)사업 기본계획 및 실시설계용역-수공용_용담댐하류하천환경정비사업설계예산서(건희)_설계내역서(전체)" xfId="4929" xr:uid="{00000000-0005-0000-0000-0000CF060000}"/>
    <cellStyle name="_단가산출서_댐직하류 하천정비(환경)사업 기본계획 및 실시설계용역-수공용_용담댐하류하천환경정비사업설계예산서(건희)_설계내역서(전체)_욱수천 하천재해예방사업 내역서" xfId="4930" xr:uid="{00000000-0005-0000-0000-0000D0060000}"/>
    <cellStyle name="_단가산출서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4931" xr:uid="{00000000-0005-0000-0000-0000D1060000}"/>
    <cellStyle name="_단가산출서_댐직하류 하천정비(환경)사업 기본계획 및 실시설계용역-수공용_용담댐하류하천환경정비사업설계예산서(건희)_신천금호강 종합개발 기본설계  내역서(수정분)" xfId="4932" xr:uid="{00000000-0005-0000-0000-0000D2060000}"/>
    <cellStyle name="_단가산출서_댐직하류 하천정비(환경)사업 기본계획 및 실시설계용역-수공용_용담댐하류하천환경정비사업설계예산서(건희)_신천금호강내역서(수정-보오링,사전재해및환경성제외,측량연장조정9(1).95억0726)" xfId="4933" xr:uid="{00000000-0005-0000-0000-0000D3060000}"/>
    <cellStyle name="_단가산출서_댐직하류 하천정비(환경)사업 기본계획 및 실시설계용역-수공용_용담댐하류하천환경정비사업설계예산서(건희)_심사내역서" xfId="4934" xr:uid="{00000000-0005-0000-0000-0000D4060000}"/>
    <cellStyle name="_단가산출서_댐직하류 하천정비(환경)사업 기본계획 및 실시설계용역-수공용_용담댐하류하천환경정비사업설계예산서(건희)_용담댐하류하천환경정비사업설계예산서(건희)" xfId="7287" xr:uid="{00000000-0005-0000-0000-0000D5060000}"/>
    <cellStyle name="_단가산출서_댐직하류 하천정비(환경)사업 기본계획 및 실시설계용역-수공용_용담댐하류하천환경정비사업설계예산서(건희)_욱수천 하천재해예방사업 내역서" xfId="4935" xr:uid="{00000000-0005-0000-0000-0000D6060000}"/>
    <cellStyle name="_단가산출서_댐직하류 하천정비(환경)사업 기본계획 및 실시설계용역-수공용_용담댐하류하천환경정비사업설계예산서(건희)_욱수천 하천재해예방사업 내역서_002 욱수천정비공사실시설계 내역서_090113" xfId="4936" xr:uid="{00000000-0005-0000-0000-0000D7060000}"/>
    <cellStyle name="_단가산출서_댐직하류 하천정비(환경)사업 기본계획 및 실시설계용역-수공용_욱수천 하천재해예방사업 내역서" xfId="4937" xr:uid="{00000000-0005-0000-0000-0000D8060000}"/>
    <cellStyle name="_단가산출서_댐직하류 하천정비(환경)사업 기본계획 및 실시설계용역-수공용_욱수천 하천재해예방사업 내역서_002 욱수천정비공사실시설계 내역서_090113" xfId="4938" xr:uid="{00000000-0005-0000-0000-0000D9060000}"/>
    <cellStyle name="_단가산출서_용담댐하류하천환경정비사업설계예산서(건희)" xfId="4939" xr:uid="{00000000-0005-0000-0000-0000DA060000}"/>
    <cellStyle name="_단가산출서_용담댐하류하천환경정비사업설계예산서(건희)_1) 신천금호강 종합개발 기본설계" xfId="4940" xr:uid="{00000000-0005-0000-0000-0000DB060000}"/>
    <cellStyle name="_단가산출서_용담댐하류하천환경정비사업설계예산서(건희)_2) 신천금호강 종합개발 동영상제작(변경최종)" xfId="4941" xr:uid="{00000000-0005-0000-0000-0000DC060000}"/>
    <cellStyle name="_단가산출서_용담댐하류하천환경정비사업설계예산서(건희)_3) 신천금호강 종합개발 산책로 실시설계(변경최종)" xfId="4942" xr:uid="{00000000-0005-0000-0000-0000DD060000}"/>
    <cellStyle name="_단가산출서_용담댐하류하천환경정비사업설계예산서(건희)_설계내역서(신천-금호강)" xfId="4943" xr:uid="{00000000-0005-0000-0000-0000DE060000}"/>
    <cellStyle name="_단가산출서_용담댐하류하천환경정비사업설계예산서(건희)_설계내역서(신천-금호강)_욱수천 하천재해예방사업 내역서" xfId="4944" xr:uid="{00000000-0005-0000-0000-0000DF060000}"/>
    <cellStyle name="_단가산출서_용담댐하류하천환경정비사업설계예산서(건희)_설계내역서(신천-금호강)_욱수천 하천재해예방사업 내역서_002 욱수천정비공사실시설계 내역서_090113" xfId="4945" xr:uid="{00000000-0005-0000-0000-0000E0060000}"/>
    <cellStyle name="_단가산출서_용담댐하류하천환경정비사업설계예산서(건희)_설계내역서(전체)" xfId="4946" xr:uid="{00000000-0005-0000-0000-0000E1060000}"/>
    <cellStyle name="_단가산출서_용담댐하류하천환경정비사업설계예산서(건희)_설계내역서(전체)_욱수천 하천재해예방사업 내역서" xfId="4947" xr:uid="{00000000-0005-0000-0000-0000E2060000}"/>
    <cellStyle name="_단가산출서_용담댐하류하천환경정비사업설계예산서(건희)_설계내역서(전체)_욱수천 하천재해예방사업 내역서_002 욱수천정비공사실시설계 내역서_090113" xfId="4948" xr:uid="{00000000-0005-0000-0000-0000E3060000}"/>
    <cellStyle name="_단가산출서_용담댐하류하천환경정비사업설계예산서(건희)_신천금호강 종합개발 기본설계  내역서(수정분)" xfId="4949" xr:uid="{00000000-0005-0000-0000-0000E4060000}"/>
    <cellStyle name="_단가산출서_용담댐하류하천환경정비사업설계예산서(건희)_신천금호강내역서(수정-보오링,사전재해및환경성제외,측량연장조정9(1).95억0726)" xfId="4950" xr:uid="{00000000-0005-0000-0000-0000E5060000}"/>
    <cellStyle name="_단가산출서_용담댐하류하천환경정비사업설계예산서(건희)_심사내역서" xfId="4951" xr:uid="{00000000-0005-0000-0000-0000E6060000}"/>
    <cellStyle name="_단가산출서_용담댐하류하천환경정비사업설계예산서(건희)_용담댐하류하천환경정비사업설계예산서(건희)" xfId="7288" xr:uid="{00000000-0005-0000-0000-0000E7060000}"/>
    <cellStyle name="_단가산출서_용담댐하류하천환경정비사업설계예산서(건희)_욱수천 하천재해예방사업 내역서" xfId="4952" xr:uid="{00000000-0005-0000-0000-0000E8060000}"/>
    <cellStyle name="_단가산출서_용담댐하류하천환경정비사업설계예산서(건희)_욱수천 하천재해예방사업 내역서_002 욱수천정비공사실시설계 내역서_090113" xfId="4953" xr:uid="{00000000-0005-0000-0000-0000E9060000}"/>
    <cellStyle name="_단가산출서_욱수천 하천재해예방사업 내역서" xfId="4954" xr:uid="{00000000-0005-0000-0000-0000EA060000}"/>
    <cellStyle name="_단가산출서_욱수천 하천재해예방사업 내역서_002 욱수천정비공사실시설계 내역서_090113" xfId="4955" xr:uid="{00000000-0005-0000-0000-0000EB060000}"/>
    <cellStyle name="_대곡내역서0329(전기)-기계설비금액확인" xfId="647" xr:uid="{00000000-0005-0000-0000-0000EC060000}"/>
    <cellStyle name="_대동천 환경관리내역서" xfId="4956" xr:uid="{00000000-0005-0000-0000-0000ED060000}"/>
    <cellStyle name="_대동천 환경관리내역서 2" xfId="7289" xr:uid="{00000000-0005-0000-0000-0000EE060000}"/>
    <cellStyle name="_대신체육공원실시설계용역" xfId="648" xr:uid="{00000000-0005-0000-0000-0000EF060000}"/>
    <cellStyle name="_대신체육공원실시설계용역 2" xfId="7290" xr:uid="{00000000-0005-0000-0000-0000F0060000}"/>
    <cellStyle name="_대전시동구소하천종합계획(재정비)" xfId="7291" xr:uid="{00000000-0005-0000-0000-0000F1060000}"/>
    <cellStyle name="_도곡1교 교대 수량" xfId="649" xr:uid="{00000000-0005-0000-0000-0000F2060000}"/>
    <cellStyle name="_도곡1교 교대 수량 2" xfId="7292" xr:uid="{00000000-0005-0000-0000-0000F3060000}"/>
    <cellStyle name="_도곡1교 교대 수량_002 욱수천정비공사실시설계 내역서_090113" xfId="4957" xr:uid="{00000000-0005-0000-0000-0000F4060000}"/>
    <cellStyle name="_도곡1교 교대 수량_RAMP-E교-최종000" xfId="650" xr:uid="{00000000-0005-0000-0000-0000F5060000}"/>
    <cellStyle name="_도곡1교 교대 수량_RAMP-E교-최종000 2" xfId="7293" xr:uid="{00000000-0005-0000-0000-0000F6060000}"/>
    <cellStyle name="_도곡1교 교대 수량_RAMP-E교-최종000_002 욱수천정비공사실시설계 내역서_090113" xfId="4958" xr:uid="{00000000-0005-0000-0000-0000F7060000}"/>
    <cellStyle name="_도곡1교 교대 수량_RAMP-E교-최종000_서울대 바이오테크 설계내역서" xfId="4959" xr:uid="{00000000-0005-0000-0000-0000F8060000}"/>
    <cellStyle name="_도곡1교 교대 수량_RAMP-E교-최종000_서울대 바이오테크 설계내역서 2" xfId="7294" xr:uid="{00000000-0005-0000-0000-0000F9060000}"/>
    <cellStyle name="_도곡1교 교대 수량_RAMP-E교-최종000_서울대 바이오테크 설계내역서(수정)" xfId="4960" xr:uid="{00000000-0005-0000-0000-0000FA060000}"/>
    <cellStyle name="_도곡1교 교대 수량_RAMP-E교-최종000_서울대 바이오테크 설계내역서(수정) 2" xfId="7295" xr:uid="{00000000-0005-0000-0000-0000FB060000}"/>
    <cellStyle name="_도곡1교 교대 수량_RAMP-E교-최종000_시방서" xfId="651" xr:uid="{00000000-0005-0000-0000-0000FC060000}"/>
    <cellStyle name="_도곡1교 교대 수량_RAMP-E교-최종000_시방서 2" xfId="7296" xr:uid="{00000000-0005-0000-0000-0000FD060000}"/>
    <cellStyle name="_도곡1교 교대 수량_RAMP-E교-최종000_시방서_002 욱수천정비공사실시설계 내역서_090113" xfId="4961" xr:uid="{00000000-0005-0000-0000-0000FE060000}"/>
    <cellStyle name="_도곡1교 교대 수량_RAMP-E교-최종000_시방서_서울대 바이오테크 설계내역서" xfId="4962" xr:uid="{00000000-0005-0000-0000-0000FF060000}"/>
    <cellStyle name="_도곡1교 교대 수량_RAMP-E교-최종000_시방서_서울대 바이오테크 설계내역서 2" xfId="7297" xr:uid="{00000000-0005-0000-0000-000000070000}"/>
    <cellStyle name="_도곡1교 교대 수량_RAMP-E교-최종000_시방서_서울대 바이오테크 설계내역서(수정)" xfId="4963" xr:uid="{00000000-0005-0000-0000-000001070000}"/>
    <cellStyle name="_도곡1교 교대 수량_RAMP-E교-최종000_시방서_서울대 바이오테크 설계내역서(수정) 2" xfId="7298" xr:uid="{00000000-0005-0000-0000-000002070000}"/>
    <cellStyle name="_도곡1교 교대 수량_RAMP-E교-최종000_파도 - 모항선 횡배수관 확장" xfId="652" xr:uid="{00000000-0005-0000-0000-000003070000}"/>
    <cellStyle name="_도곡1교 교대 수량_RAMP-E교-최종000_파도 - 모항선 횡배수관 확장 2" xfId="7299" xr:uid="{00000000-0005-0000-0000-000004070000}"/>
    <cellStyle name="_도곡1교 교대 수량_RAMP-E교-최종000_파도 - 모항선 횡배수관 확장_002 욱수천정비공사실시설계 내역서_090113" xfId="4964" xr:uid="{00000000-0005-0000-0000-000005070000}"/>
    <cellStyle name="_도곡1교 교대 수량_RAMP-E교-최종000_파도 - 모항선 횡배수관 확장_서울대 바이오테크 설계내역서" xfId="4965" xr:uid="{00000000-0005-0000-0000-000006070000}"/>
    <cellStyle name="_도곡1교 교대 수량_RAMP-E교-최종000_파도 - 모항선 횡배수관 확장_서울대 바이오테크 설계내역서 2" xfId="7300" xr:uid="{00000000-0005-0000-0000-000007070000}"/>
    <cellStyle name="_도곡1교 교대 수량_RAMP-E교-최종000_파도 - 모항선 횡배수관 확장_서울대 바이오테크 설계내역서(수정)" xfId="4966" xr:uid="{00000000-0005-0000-0000-000008070000}"/>
    <cellStyle name="_도곡1교 교대 수량_RAMP-E교-최종000_파도 - 모항선 횡배수관 확장_서울대 바이오테크 설계내역서(수정) 2" xfId="7301" xr:uid="{00000000-0005-0000-0000-000009070000}"/>
    <cellStyle name="_도곡1교 교대 수량_RAMP-E교-최종000_파도 - 모항선 횡배수관 확장_시방서" xfId="653" xr:uid="{00000000-0005-0000-0000-00000A070000}"/>
    <cellStyle name="_도곡1교 교대 수량_RAMP-E교-최종000_파도 - 모항선 횡배수관 확장_시방서 2" xfId="7302" xr:uid="{00000000-0005-0000-0000-00000B070000}"/>
    <cellStyle name="_도곡1교 교대 수량_RAMP-E교-최종000_파도 - 모항선 횡배수관 확장_시방서_002 욱수천정비공사실시설계 내역서_090113" xfId="4967" xr:uid="{00000000-0005-0000-0000-00000C070000}"/>
    <cellStyle name="_도곡1교 교대 수량_RAMP-E교-최종000_파도 - 모항선 횡배수관 확장_시방서_서울대 바이오테크 설계내역서" xfId="4968" xr:uid="{00000000-0005-0000-0000-00000D070000}"/>
    <cellStyle name="_도곡1교 교대 수량_RAMP-E교-최종000_파도 - 모항선 횡배수관 확장_시방서_서울대 바이오테크 설계내역서 2" xfId="7303" xr:uid="{00000000-0005-0000-0000-00000E070000}"/>
    <cellStyle name="_도곡1교 교대 수량_RAMP-E교-최종000_파도 - 모항선 횡배수관 확장_시방서_서울대 바이오테크 설계내역서(수정)" xfId="4969" xr:uid="{00000000-0005-0000-0000-00000F070000}"/>
    <cellStyle name="_도곡1교 교대 수량_RAMP-E교-최종000_파도 - 모항선 횡배수관 확장_시방서_서울대 바이오테크 설계내역서(수정) 2" xfId="7304" xr:uid="{00000000-0005-0000-0000-000010070000}"/>
    <cellStyle name="_도곡1교 교대 수량_서울대 바이오테크 설계내역서" xfId="4970" xr:uid="{00000000-0005-0000-0000-000011070000}"/>
    <cellStyle name="_도곡1교 교대 수량_서울대 바이오테크 설계내역서 2" xfId="7305" xr:uid="{00000000-0005-0000-0000-000012070000}"/>
    <cellStyle name="_도곡1교 교대 수량_서울대 바이오테크 설계내역서(수정)" xfId="4971" xr:uid="{00000000-0005-0000-0000-000013070000}"/>
    <cellStyle name="_도곡1교 교대 수량_서울대 바이오테크 설계내역서(수정) 2" xfId="7306" xr:uid="{00000000-0005-0000-0000-000014070000}"/>
    <cellStyle name="_도곡1교 교대 수량_시방서" xfId="654" xr:uid="{00000000-0005-0000-0000-000015070000}"/>
    <cellStyle name="_도곡1교 교대 수량_시방서 2" xfId="7307" xr:uid="{00000000-0005-0000-0000-000016070000}"/>
    <cellStyle name="_도곡1교 교대 수량_시방서_002 욱수천정비공사실시설계 내역서_090113" xfId="4972" xr:uid="{00000000-0005-0000-0000-000017070000}"/>
    <cellStyle name="_도곡1교 교대 수량_시방서_서울대 바이오테크 설계내역서" xfId="4973" xr:uid="{00000000-0005-0000-0000-000018070000}"/>
    <cellStyle name="_도곡1교 교대 수량_시방서_서울대 바이오테크 설계내역서 2" xfId="7308" xr:uid="{00000000-0005-0000-0000-000019070000}"/>
    <cellStyle name="_도곡1교 교대 수량_시방서_서울대 바이오테크 설계내역서(수정)" xfId="4974" xr:uid="{00000000-0005-0000-0000-00001A070000}"/>
    <cellStyle name="_도곡1교 교대 수량_시방서_서울대 바이오테크 설계내역서(수정) 2" xfId="7309" xr:uid="{00000000-0005-0000-0000-00001B070000}"/>
    <cellStyle name="_도곡1교 교대(시점) 수량" xfId="655" xr:uid="{00000000-0005-0000-0000-00001C070000}"/>
    <cellStyle name="_도곡1교 교대(시점) 수량 2" xfId="7310" xr:uid="{00000000-0005-0000-0000-00001D070000}"/>
    <cellStyle name="_도곡1교 교대(시점) 수량_002 욱수천정비공사실시설계 내역서_090113" xfId="4975" xr:uid="{00000000-0005-0000-0000-00001E070000}"/>
    <cellStyle name="_도곡1교 교대(시점) 수량_RAMP-E교-최종000" xfId="656" xr:uid="{00000000-0005-0000-0000-00001F070000}"/>
    <cellStyle name="_도곡1교 교대(시점) 수량_RAMP-E교-최종000 2" xfId="7311" xr:uid="{00000000-0005-0000-0000-000020070000}"/>
    <cellStyle name="_도곡1교 교대(시점) 수량_RAMP-E교-최종000_002 욱수천정비공사실시설계 내역서_090113" xfId="4976" xr:uid="{00000000-0005-0000-0000-000021070000}"/>
    <cellStyle name="_도곡1교 교대(시점) 수량_RAMP-E교-최종000_서울대 바이오테크 설계내역서" xfId="4977" xr:uid="{00000000-0005-0000-0000-000022070000}"/>
    <cellStyle name="_도곡1교 교대(시점) 수량_RAMP-E교-최종000_서울대 바이오테크 설계내역서 2" xfId="7312" xr:uid="{00000000-0005-0000-0000-000023070000}"/>
    <cellStyle name="_도곡1교 교대(시점) 수량_RAMP-E교-최종000_서울대 바이오테크 설계내역서(수정)" xfId="4978" xr:uid="{00000000-0005-0000-0000-000024070000}"/>
    <cellStyle name="_도곡1교 교대(시점) 수량_RAMP-E교-최종000_서울대 바이오테크 설계내역서(수정) 2" xfId="7313" xr:uid="{00000000-0005-0000-0000-000025070000}"/>
    <cellStyle name="_도곡1교 교대(시점) 수량_RAMP-E교-최종000_시방서" xfId="657" xr:uid="{00000000-0005-0000-0000-000026070000}"/>
    <cellStyle name="_도곡1교 교대(시점) 수량_RAMP-E교-최종000_시방서 2" xfId="7314" xr:uid="{00000000-0005-0000-0000-000027070000}"/>
    <cellStyle name="_도곡1교 교대(시점) 수량_RAMP-E교-최종000_시방서_002 욱수천정비공사실시설계 내역서_090113" xfId="4979" xr:uid="{00000000-0005-0000-0000-000028070000}"/>
    <cellStyle name="_도곡1교 교대(시점) 수량_RAMP-E교-최종000_시방서_서울대 바이오테크 설계내역서" xfId="4980" xr:uid="{00000000-0005-0000-0000-000029070000}"/>
    <cellStyle name="_도곡1교 교대(시점) 수량_RAMP-E교-최종000_시방서_서울대 바이오테크 설계내역서 2" xfId="7315" xr:uid="{00000000-0005-0000-0000-00002A070000}"/>
    <cellStyle name="_도곡1교 교대(시점) 수량_RAMP-E교-최종000_시방서_서울대 바이오테크 설계내역서(수정)" xfId="4981" xr:uid="{00000000-0005-0000-0000-00002B070000}"/>
    <cellStyle name="_도곡1교 교대(시점) 수량_RAMP-E교-최종000_시방서_서울대 바이오테크 설계내역서(수정) 2" xfId="7316" xr:uid="{00000000-0005-0000-0000-00002C070000}"/>
    <cellStyle name="_도곡1교 교대(시점) 수량_RAMP-E교-최종000_파도 - 모항선 횡배수관 확장" xfId="658" xr:uid="{00000000-0005-0000-0000-00002D070000}"/>
    <cellStyle name="_도곡1교 교대(시점) 수량_RAMP-E교-최종000_파도 - 모항선 횡배수관 확장 2" xfId="7317" xr:uid="{00000000-0005-0000-0000-00002E070000}"/>
    <cellStyle name="_도곡1교 교대(시점) 수량_RAMP-E교-최종000_파도 - 모항선 횡배수관 확장_002 욱수천정비공사실시설계 내역서_090113" xfId="4982" xr:uid="{00000000-0005-0000-0000-00002F070000}"/>
    <cellStyle name="_도곡1교 교대(시점) 수량_RAMP-E교-최종000_파도 - 모항선 횡배수관 확장_서울대 바이오테크 설계내역서" xfId="4983" xr:uid="{00000000-0005-0000-0000-000030070000}"/>
    <cellStyle name="_도곡1교 교대(시점) 수량_RAMP-E교-최종000_파도 - 모항선 횡배수관 확장_서울대 바이오테크 설계내역서 2" xfId="7318" xr:uid="{00000000-0005-0000-0000-000031070000}"/>
    <cellStyle name="_도곡1교 교대(시점) 수량_RAMP-E교-최종000_파도 - 모항선 횡배수관 확장_서울대 바이오테크 설계내역서(수정)" xfId="4984" xr:uid="{00000000-0005-0000-0000-000032070000}"/>
    <cellStyle name="_도곡1교 교대(시점) 수량_RAMP-E교-최종000_파도 - 모항선 횡배수관 확장_서울대 바이오테크 설계내역서(수정) 2" xfId="7319" xr:uid="{00000000-0005-0000-0000-000033070000}"/>
    <cellStyle name="_도곡1교 교대(시점) 수량_RAMP-E교-최종000_파도 - 모항선 횡배수관 확장_시방서" xfId="659" xr:uid="{00000000-0005-0000-0000-000034070000}"/>
    <cellStyle name="_도곡1교 교대(시점) 수량_RAMP-E교-최종000_파도 - 모항선 횡배수관 확장_시방서 2" xfId="7320" xr:uid="{00000000-0005-0000-0000-000035070000}"/>
    <cellStyle name="_도곡1교 교대(시점) 수량_RAMP-E교-최종000_파도 - 모항선 횡배수관 확장_시방서_002 욱수천정비공사실시설계 내역서_090113" xfId="4985" xr:uid="{00000000-0005-0000-0000-000036070000}"/>
    <cellStyle name="_도곡1교 교대(시점) 수량_RAMP-E교-최종000_파도 - 모항선 횡배수관 확장_시방서_서울대 바이오테크 설계내역서" xfId="4986" xr:uid="{00000000-0005-0000-0000-000037070000}"/>
    <cellStyle name="_도곡1교 교대(시점) 수량_RAMP-E교-최종000_파도 - 모항선 횡배수관 확장_시방서_서울대 바이오테크 설계내역서 2" xfId="7321" xr:uid="{00000000-0005-0000-0000-000038070000}"/>
    <cellStyle name="_도곡1교 교대(시점) 수량_RAMP-E교-최종000_파도 - 모항선 횡배수관 확장_시방서_서울대 바이오테크 설계내역서(수정)" xfId="4987" xr:uid="{00000000-0005-0000-0000-000039070000}"/>
    <cellStyle name="_도곡1교 교대(시점) 수량_RAMP-E교-최종000_파도 - 모항선 횡배수관 확장_시방서_서울대 바이오테크 설계내역서(수정) 2" xfId="7322" xr:uid="{00000000-0005-0000-0000-00003A070000}"/>
    <cellStyle name="_도곡1교 교대(시점) 수량_서울대 바이오테크 설계내역서" xfId="4988" xr:uid="{00000000-0005-0000-0000-00003B070000}"/>
    <cellStyle name="_도곡1교 교대(시점) 수량_서울대 바이오테크 설계내역서 2" xfId="7323" xr:uid="{00000000-0005-0000-0000-00003C070000}"/>
    <cellStyle name="_도곡1교 교대(시점) 수량_서울대 바이오테크 설계내역서(수정)" xfId="4989" xr:uid="{00000000-0005-0000-0000-00003D070000}"/>
    <cellStyle name="_도곡1교 교대(시점) 수량_서울대 바이오테크 설계내역서(수정) 2" xfId="7324" xr:uid="{00000000-0005-0000-0000-00003E070000}"/>
    <cellStyle name="_도곡1교 교대(시점) 수량_시방서" xfId="660" xr:uid="{00000000-0005-0000-0000-00003F070000}"/>
    <cellStyle name="_도곡1교 교대(시점) 수량_시방서 2" xfId="7325" xr:uid="{00000000-0005-0000-0000-000040070000}"/>
    <cellStyle name="_도곡1교 교대(시점) 수량_시방서_002 욱수천정비공사실시설계 내역서_090113" xfId="4990" xr:uid="{00000000-0005-0000-0000-000041070000}"/>
    <cellStyle name="_도곡1교 교대(시점) 수량_시방서_서울대 바이오테크 설계내역서" xfId="4991" xr:uid="{00000000-0005-0000-0000-000042070000}"/>
    <cellStyle name="_도곡1교 교대(시점) 수량_시방서_서울대 바이오테크 설계내역서 2" xfId="7326" xr:uid="{00000000-0005-0000-0000-000043070000}"/>
    <cellStyle name="_도곡1교 교대(시점) 수량_시방서_서울대 바이오테크 설계내역서(수정)" xfId="4992" xr:uid="{00000000-0005-0000-0000-000044070000}"/>
    <cellStyle name="_도곡1교 교대(시점) 수량_시방서_서울대 바이오테크 설계내역서(수정) 2" xfId="7327" xr:uid="{00000000-0005-0000-0000-000045070000}"/>
    <cellStyle name="_도곡1교 하부공 수량" xfId="661" xr:uid="{00000000-0005-0000-0000-000046070000}"/>
    <cellStyle name="_도곡1교 하부공 수량 2" xfId="7328" xr:uid="{00000000-0005-0000-0000-000047070000}"/>
    <cellStyle name="_도곡1교 하부공 수량_002 욱수천정비공사실시설계 내역서_090113" xfId="4993" xr:uid="{00000000-0005-0000-0000-000048070000}"/>
    <cellStyle name="_도곡1교 하부공 수량_RAMP-E교-최종000" xfId="662" xr:uid="{00000000-0005-0000-0000-000049070000}"/>
    <cellStyle name="_도곡1교 하부공 수량_RAMP-E교-최종000 2" xfId="7329" xr:uid="{00000000-0005-0000-0000-00004A070000}"/>
    <cellStyle name="_도곡1교 하부공 수량_RAMP-E교-최종000_002 욱수천정비공사실시설계 내역서_090113" xfId="4994" xr:uid="{00000000-0005-0000-0000-00004B070000}"/>
    <cellStyle name="_도곡1교 하부공 수량_RAMP-E교-최종000_서울대 바이오테크 설계내역서" xfId="4995" xr:uid="{00000000-0005-0000-0000-00004C070000}"/>
    <cellStyle name="_도곡1교 하부공 수량_RAMP-E교-최종000_서울대 바이오테크 설계내역서 2" xfId="7330" xr:uid="{00000000-0005-0000-0000-00004D070000}"/>
    <cellStyle name="_도곡1교 하부공 수량_RAMP-E교-최종000_서울대 바이오테크 설계내역서(수정)" xfId="4996" xr:uid="{00000000-0005-0000-0000-00004E070000}"/>
    <cellStyle name="_도곡1교 하부공 수량_RAMP-E교-최종000_서울대 바이오테크 설계내역서(수정) 2" xfId="7331" xr:uid="{00000000-0005-0000-0000-00004F070000}"/>
    <cellStyle name="_도곡1교 하부공 수량_RAMP-E교-최종000_시방서" xfId="663" xr:uid="{00000000-0005-0000-0000-000050070000}"/>
    <cellStyle name="_도곡1교 하부공 수량_RAMP-E교-최종000_시방서 2" xfId="7332" xr:uid="{00000000-0005-0000-0000-000051070000}"/>
    <cellStyle name="_도곡1교 하부공 수량_RAMP-E교-최종000_시방서_002 욱수천정비공사실시설계 내역서_090113" xfId="4997" xr:uid="{00000000-0005-0000-0000-000052070000}"/>
    <cellStyle name="_도곡1교 하부공 수량_RAMP-E교-최종000_시방서_서울대 바이오테크 설계내역서" xfId="4998" xr:uid="{00000000-0005-0000-0000-000053070000}"/>
    <cellStyle name="_도곡1교 하부공 수량_RAMP-E교-최종000_시방서_서울대 바이오테크 설계내역서 2" xfId="7333" xr:uid="{00000000-0005-0000-0000-000054070000}"/>
    <cellStyle name="_도곡1교 하부공 수량_RAMP-E교-최종000_시방서_서울대 바이오테크 설계내역서(수정)" xfId="4999" xr:uid="{00000000-0005-0000-0000-000055070000}"/>
    <cellStyle name="_도곡1교 하부공 수량_RAMP-E교-최종000_시방서_서울대 바이오테크 설계내역서(수정) 2" xfId="7334" xr:uid="{00000000-0005-0000-0000-000056070000}"/>
    <cellStyle name="_도곡1교 하부공 수량_RAMP-E교-최종000_파도 - 모항선 횡배수관 확장" xfId="664" xr:uid="{00000000-0005-0000-0000-000057070000}"/>
    <cellStyle name="_도곡1교 하부공 수량_RAMP-E교-최종000_파도 - 모항선 횡배수관 확장 2" xfId="7335" xr:uid="{00000000-0005-0000-0000-000058070000}"/>
    <cellStyle name="_도곡1교 하부공 수량_RAMP-E교-최종000_파도 - 모항선 횡배수관 확장_002 욱수천정비공사실시설계 내역서_090113" xfId="5000" xr:uid="{00000000-0005-0000-0000-000059070000}"/>
    <cellStyle name="_도곡1교 하부공 수량_RAMP-E교-최종000_파도 - 모항선 횡배수관 확장_서울대 바이오테크 설계내역서" xfId="5001" xr:uid="{00000000-0005-0000-0000-00005A070000}"/>
    <cellStyle name="_도곡1교 하부공 수량_RAMP-E교-최종000_파도 - 모항선 횡배수관 확장_서울대 바이오테크 설계내역서 2" xfId="7336" xr:uid="{00000000-0005-0000-0000-00005B070000}"/>
    <cellStyle name="_도곡1교 하부공 수량_RAMP-E교-최종000_파도 - 모항선 횡배수관 확장_서울대 바이오테크 설계내역서(수정)" xfId="5002" xr:uid="{00000000-0005-0000-0000-00005C070000}"/>
    <cellStyle name="_도곡1교 하부공 수량_RAMP-E교-최종000_파도 - 모항선 횡배수관 확장_서울대 바이오테크 설계내역서(수정) 2" xfId="7337" xr:uid="{00000000-0005-0000-0000-00005D070000}"/>
    <cellStyle name="_도곡1교 하부공 수량_RAMP-E교-최종000_파도 - 모항선 횡배수관 확장_시방서" xfId="665" xr:uid="{00000000-0005-0000-0000-00005E070000}"/>
    <cellStyle name="_도곡1교 하부공 수량_RAMP-E교-최종000_파도 - 모항선 횡배수관 확장_시방서 2" xfId="7338" xr:uid="{00000000-0005-0000-0000-00005F070000}"/>
    <cellStyle name="_도곡1교 하부공 수량_RAMP-E교-최종000_파도 - 모항선 횡배수관 확장_시방서_002 욱수천정비공사실시설계 내역서_090113" xfId="5003" xr:uid="{00000000-0005-0000-0000-000060070000}"/>
    <cellStyle name="_도곡1교 하부공 수량_RAMP-E교-최종000_파도 - 모항선 횡배수관 확장_시방서_서울대 바이오테크 설계내역서" xfId="5004" xr:uid="{00000000-0005-0000-0000-000061070000}"/>
    <cellStyle name="_도곡1교 하부공 수량_RAMP-E교-최종000_파도 - 모항선 횡배수관 확장_시방서_서울대 바이오테크 설계내역서 2" xfId="7339" xr:uid="{00000000-0005-0000-0000-000062070000}"/>
    <cellStyle name="_도곡1교 하부공 수량_RAMP-E교-최종000_파도 - 모항선 횡배수관 확장_시방서_서울대 바이오테크 설계내역서(수정)" xfId="5005" xr:uid="{00000000-0005-0000-0000-000063070000}"/>
    <cellStyle name="_도곡1교 하부공 수량_RAMP-E교-최종000_파도 - 모항선 횡배수관 확장_시방서_서울대 바이오테크 설계내역서(수정) 2" xfId="7340" xr:uid="{00000000-0005-0000-0000-000064070000}"/>
    <cellStyle name="_도곡1교 하부공 수량_서울대 바이오테크 설계내역서" xfId="5006" xr:uid="{00000000-0005-0000-0000-000065070000}"/>
    <cellStyle name="_도곡1교 하부공 수량_서울대 바이오테크 설계내역서 2" xfId="7341" xr:uid="{00000000-0005-0000-0000-000066070000}"/>
    <cellStyle name="_도곡1교 하부공 수량_서울대 바이오테크 설계내역서(수정)" xfId="5007" xr:uid="{00000000-0005-0000-0000-000067070000}"/>
    <cellStyle name="_도곡1교 하부공 수량_서울대 바이오테크 설계내역서(수정) 2" xfId="7342" xr:uid="{00000000-0005-0000-0000-000068070000}"/>
    <cellStyle name="_도곡1교 하부공 수량_시방서" xfId="666" xr:uid="{00000000-0005-0000-0000-000069070000}"/>
    <cellStyle name="_도곡1교 하부공 수량_시방서 2" xfId="7343" xr:uid="{00000000-0005-0000-0000-00006A070000}"/>
    <cellStyle name="_도곡1교 하부공 수량_시방서_002 욱수천정비공사실시설계 내역서_090113" xfId="5008" xr:uid="{00000000-0005-0000-0000-00006B070000}"/>
    <cellStyle name="_도곡1교 하부공 수량_시방서_서울대 바이오테크 설계내역서" xfId="5009" xr:uid="{00000000-0005-0000-0000-00006C070000}"/>
    <cellStyle name="_도곡1교 하부공 수량_시방서_서울대 바이오테크 설계내역서 2" xfId="7344" xr:uid="{00000000-0005-0000-0000-00006D070000}"/>
    <cellStyle name="_도곡1교 하부공 수량_시방서_서울대 바이오테크 설계내역서(수정)" xfId="5010" xr:uid="{00000000-0005-0000-0000-00006E070000}"/>
    <cellStyle name="_도곡1교 하부공 수량_시방서_서울대 바이오테크 설계내역서(수정) 2" xfId="7345" xr:uid="{00000000-0005-0000-0000-00006F070000}"/>
    <cellStyle name="_도곡2교 교대 수량" xfId="667" xr:uid="{00000000-0005-0000-0000-000070070000}"/>
    <cellStyle name="_도곡2교 교대 수량 2" xfId="7346" xr:uid="{00000000-0005-0000-0000-000071070000}"/>
    <cellStyle name="_도곡2교 교대 수량_002 욱수천정비공사실시설계 내역서_090113" xfId="5011" xr:uid="{00000000-0005-0000-0000-000072070000}"/>
    <cellStyle name="_도곡2교 교대 수량_RAMP-E교-최종000" xfId="668" xr:uid="{00000000-0005-0000-0000-000073070000}"/>
    <cellStyle name="_도곡2교 교대 수량_RAMP-E교-최종000 2" xfId="7347" xr:uid="{00000000-0005-0000-0000-000074070000}"/>
    <cellStyle name="_도곡2교 교대 수량_RAMP-E교-최종000_002 욱수천정비공사실시설계 내역서_090113" xfId="5012" xr:uid="{00000000-0005-0000-0000-000075070000}"/>
    <cellStyle name="_도곡2교 교대 수량_RAMP-E교-최종000_서울대 바이오테크 설계내역서" xfId="5013" xr:uid="{00000000-0005-0000-0000-000076070000}"/>
    <cellStyle name="_도곡2교 교대 수량_RAMP-E교-최종000_서울대 바이오테크 설계내역서 2" xfId="7348" xr:uid="{00000000-0005-0000-0000-000077070000}"/>
    <cellStyle name="_도곡2교 교대 수량_RAMP-E교-최종000_서울대 바이오테크 설계내역서(수정)" xfId="5014" xr:uid="{00000000-0005-0000-0000-000078070000}"/>
    <cellStyle name="_도곡2교 교대 수량_RAMP-E교-최종000_서울대 바이오테크 설계내역서(수정) 2" xfId="7349" xr:uid="{00000000-0005-0000-0000-000079070000}"/>
    <cellStyle name="_도곡2교 교대 수량_RAMP-E교-최종000_시방서" xfId="669" xr:uid="{00000000-0005-0000-0000-00007A070000}"/>
    <cellStyle name="_도곡2교 교대 수량_RAMP-E교-최종000_시방서 2" xfId="7350" xr:uid="{00000000-0005-0000-0000-00007B070000}"/>
    <cellStyle name="_도곡2교 교대 수량_RAMP-E교-최종000_시방서_002 욱수천정비공사실시설계 내역서_090113" xfId="5015" xr:uid="{00000000-0005-0000-0000-00007C070000}"/>
    <cellStyle name="_도곡2교 교대 수량_RAMP-E교-최종000_시방서_서울대 바이오테크 설계내역서" xfId="5016" xr:uid="{00000000-0005-0000-0000-00007D070000}"/>
    <cellStyle name="_도곡2교 교대 수량_RAMP-E교-최종000_시방서_서울대 바이오테크 설계내역서 2" xfId="7351" xr:uid="{00000000-0005-0000-0000-00007E070000}"/>
    <cellStyle name="_도곡2교 교대 수량_RAMP-E교-최종000_시방서_서울대 바이오테크 설계내역서(수정)" xfId="5017" xr:uid="{00000000-0005-0000-0000-00007F070000}"/>
    <cellStyle name="_도곡2교 교대 수량_RAMP-E교-최종000_시방서_서울대 바이오테크 설계내역서(수정) 2" xfId="7352" xr:uid="{00000000-0005-0000-0000-000080070000}"/>
    <cellStyle name="_도곡2교 교대 수량_RAMP-E교-최종000_파도 - 모항선 횡배수관 확장" xfId="670" xr:uid="{00000000-0005-0000-0000-000081070000}"/>
    <cellStyle name="_도곡2교 교대 수량_RAMP-E교-최종000_파도 - 모항선 횡배수관 확장 2" xfId="7353" xr:uid="{00000000-0005-0000-0000-000082070000}"/>
    <cellStyle name="_도곡2교 교대 수량_RAMP-E교-최종000_파도 - 모항선 횡배수관 확장_002 욱수천정비공사실시설계 내역서_090113" xfId="5018" xr:uid="{00000000-0005-0000-0000-000083070000}"/>
    <cellStyle name="_도곡2교 교대 수량_RAMP-E교-최종000_파도 - 모항선 횡배수관 확장_서울대 바이오테크 설계내역서" xfId="5019" xr:uid="{00000000-0005-0000-0000-000084070000}"/>
    <cellStyle name="_도곡2교 교대 수량_RAMP-E교-최종000_파도 - 모항선 횡배수관 확장_서울대 바이오테크 설계내역서 2" xfId="7354" xr:uid="{00000000-0005-0000-0000-000085070000}"/>
    <cellStyle name="_도곡2교 교대 수량_RAMP-E교-최종000_파도 - 모항선 횡배수관 확장_서울대 바이오테크 설계내역서(수정)" xfId="5020" xr:uid="{00000000-0005-0000-0000-000086070000}"/>
    <cellStyle name="_도곡2교 교대 수량_RAMP-E교-최종000_파도 - 모항선 횡배수관 확장_서울대 바이오테크 설계내역서(수정) 2" xfId="7355" xr:uid="{00000000-0005-0000-0000-000087070000}"/>
    <cellStyle name="_도곡2교 교대 수량_RAMP-E교-최종000_파도 - 모항선 횡배수관 확장_시방서" xfId="671" xr:uid="{00000000-0005-0000-0000-000088070000}"/>
    <cellStyle name="_도곡2교 교대 수량_RAMP-E교-최종000_파도 - 모항선 횡배수관 확장_시방서 2" xfId="7356" xr:uid="{00000000-0005-0000-0000-000089070000}"/>
    <cellStyle name="_도곡2교 교대 수량_RAMP-E교-최종000_파도 - 모항선 횡배수관 확장_시방서_002 욱수천정비공사실시설계 내역서_090113" xfId="5021" xr:uid="{00000000-0005-0000-0000-00008A070000}"/>
    <cellStyle name="_도곡2교 교대 수량_RAMP-E교-최종000_파도 - 모항선 횡배수관 확장_시방서_서울대 바이오테크 설계내역서" xfId="5022" xr:uid="{00000000-0005-0000-0000-00008B070000}"/>
    <cellStyle name="_도곡2교 교대 수량_RAMP-E교-최종000_파도 - 모항선 횡배수관 확장_시방서_서울대 바이오테크 설계내역서 2" xfId="7357" xr:uid="{00000000-0005-0000-0000-00008C070000}"/>
    <cellStyle name="_도곡2교 교대 수량_RAMP-E교-최종000_파도 - 모항선 횡배수관 확장_시방서_서울대 바이오테크 설계내역서(수정)" xfId="5023" xr:uid="{00000000-0005-0000-0000-00008D070000}"/>
    <cellStyle name="_도곡2교 교대 수량_RAMP-E교-최종000_파도 - 모항선 횡배수관 확장_시방서_서울대 바이오테크 설계내역서(수정) 2" xfId="7358" xr:uid="{00000000-0005-0000-0000-00008E070000}"/>
    <cellStyle name="_도곡2교 교대 수량_서울대 바이오테크 설계내역서" xfId="5024" xr:uid="{00000000-0005-0000-0000-00008F070000}"/>
    <cellStyle name="_도곡2교 교대 수량_서울대 바이오테크 설계내역서 2" xfId="7359" xr:uid="{00000000-0005-0000-0000-000090070000}"/>
    <cellStyle name="_도곡2교 교대 수량_서울대 바이오테크 설계내역서(수정)" xfId="5025" xr:uid="{00000000-0005-0000-0000-000091070000}"/>
    <cellStyle name="_도곡2교 교대 수량_서울대 바이오테크 설계내역서(수정) 2" xfId="7360" xr:uid="{00000000-0005-0000-0000-000092070000}"/>
    <cellStyle name="_도곡2교 교대 수량_시방서" xfId="672" xr:uid="{00000000-0005-0000-0000-000093070000}"/>
    <cellStyle name="_도곡2교 교대 수량_시방서 2" xfId="7361" xr:uid="{00000000-0005-0000-0000-000094070000}"/>
    <cellStyle name="_도곡2교 교대 수량_시방서_002 욱수천정비공사실시설계 내역서_090113" xfId="5026" xr:uid="{00000000-0005-0000-0000-000095070000}"/>
    <cellStyle name="_도곡2교 교대 수량_시방서_서울대 바이오테크 설계내역서" xfId="5027" xr:uid="{00000000-0005-0000-0000-000096070000}"/>
    <cellStyle name="_도곡2교 교대 수량_시방서_서울대 바이오테크 설계내역서 2" xfId="7362" xr:uid="{00000000-0005-0000-0000-000097070000}"/>
    <cellStyle name="_도곡2교 교대 수량_시방서_서울대 바이오테크 설계내역서(수정)" xfId="5028" xr:uid="{00000000-0005-0000-0000-000098070000}"/>
    <cellStyle name="_도곡2교 교대 수량_시방서_서울대 바이오테크 설계내역서(수정) 2" xfId="7363" xr:uid="{00000000-0005-0000-0000-000099070000}"/>
    <cellStyle name="_도곡2교 교대(종점) 수량" xfId="673" xr:uid="{00000000-0005-0000-0000-00009A070000}"/>
    <cellStyle name="_도곡2교 교대(종점) 수량 2" xfId="7364" xr:uid="{00000000-0005-0000-0000-00009B070000}"/>
    <cellStyle name="_도곡2교 교대(종점) 수량_002 욱수천정비공사실시설계 내역서_090113" xfId="5029" xr:uid="{00000000-0005-0000-0000-00009C070000}"/>
    <cellStyle name="_도곡2교 교대(종점) 수량_RAMP-E교-최종000" xfId="674" xr:uid="{00000000-0005-0000-0000-00009D070000}"/>
    <cellStyle name="_도곡2교 교대(종점) 수량_RAMP-E교-최종000 2" xfId="7365" xr:uid="{00000000-0005-0000-0000-00009E070000}"/>
    <cellStyle name="_도곡2교 교대(종점) 수량_RAMP-E교-최종000_002 욱수천정비공사실시설계 내역서_090113" xfId="5030" xr:uid="{00000000-0005-0000-0000-00009F070000}"/>
    <cellStyle name="_도곡2교 교대(종점) 수량_RAMP-E교-최종000_서울대 바이오테크 설계내역서" xfId="5031" xr:uid="{00000000-0005-0000-0000-0000A0070000}"/>
    <cellStyle name="_도곡2교 교대(종점) 수량_RAMP-E교-최종000_서울대 바이오테크 설계내역서 2" xfId="7366" xr:uid="{00000000-0005-0000-0000-0000A1070000}"/>
    <cellStyle name="_도곡2교 교대(종점) 수량_RAMP-E교-최종000_서울대 바이오테크 설계내역서(수정)" xfId="5032" xr:uid="{00000000-0005-0000-0000-0000A2070000}"/>
    <cellStyle name="_도곡2교 교대(종점) 수량_RAMP-E교-최종000_서울대 바이오테크 설계내역서(수정) 2" xfId="7367" xr:uid="{00000000-0005-0000-0000-0000A3070000}"/>
    <cellStyle name="_도곡2교 교대(종점) 수량_RAMP-E교-최종000_시방서" xfId="675" xr:uid="{00000000-0005-0000-0000-0000A4070000}"/>
    <cellStyle name="_도곡2교 교대(종점) 수량_RAMP-E교-최종000_시방서 2" xfId="7368" xr:uid="{00000000-0005-0000-0000-0000A5070000}"/>
    <cellStyle name="_도곡2교 교대(종점) 수량_RAMP-E교-최종000_시방서_002 욱수천정비공사실시설계 내역서_090113" xfId="5033" xr:uid="{00000000-0005-0000-0000-0000A6070000}"/>
    <cellStyle name="_도곡2교 교대(종점) 수량_RAMP-E교-최종000_시방서_서울대 바이오테크 설계내역서" xfId="5034" xr:uid="{00000000-0005-0000-0000-0000A7070000}"/>
    <cellStyle name="_도곡2교 교대(종점) 수량_RAMP-E교-최종000_시방서_서울대 바이오테크 설계내역서 2" xfId="7369" xr:uid="{00000000-0005-0000-0000-0000A8070000}"/>
    <cellStyle name="_도곡2교 교대(종점) 수량_RAMP-E교-최종000_시방서_서울대 바이오테크 설계내역서(수정)" xfId="5035" xr:uid="{00000000-0005-0000-0000-0000A9070000}"/>
    <cellStyle name="_도곡2교 교대(종점) 수량_RAMP-E교-최종000_시방서_서울대 바이오테크 설계내역서(수정) 2" xfId="7370" xr:uid="{00000000-0005-0000-0000-0000AA070000}"/>
    <cellStyle name="_도곡2교 교대(종점) 수량_RAMP-E교-최종000_파도 - 모항선 횡배수관 확장" xfId="676" xr:uid="{00000000-0005-0000-0000-0000AB070000}"/>
    <cellStyle name="_도곡2교 교대(종점) 수량_RAMP-E교-최종000_파도 - 모항선 횡배수관 확장 2" xfId="7371" xr:uid="{00000000-0005-0000-0000-0000AC070000}"/>
    <cellStyle name="_도곡2교 교대(종점) 수량_RAMP-E교-최종000_파도 - 모항선 횡배수관 확장_002 욱수천정비공사실시설계 내역서_090113" xfId="5036" xr:uid="{00000000-0005-0000-0000-0000AD070000}"/>
    <cellStyle name="_도곡2교 교대(종점) 수량_RAMP-E교-최종000_파도 - 모항선 횡배수관 확장_서울대 바이오테크 설계내역서" xfId="5037" xr:uid="{00000000-0005-0000-0000-0000AE070000}"/>
    <cellStyle name="_도곡2교 교대(종점) 수량_RAMP-E교-최종000_파도 - 모항선 횡배수관 확장_서울대 바이오테크 설계내역서 2" xfId="7372" xr:uid="{00000000-0005-0000-0000-0000AF070000}"/>
    <cellStyle name="_도곡2교 교대(종점) 수량_RAMP-E교-최종000_파도 - 모항선 횡배수관 확장_서울대 바이오테크 설계내역서(수정)" xfId="5038" xr:uid="{00000000-0005-0000-0000-0000B0070000}"/>
    <cellStyle name="_도곡2교 교대(종점) 수량_RAMP-E교-최종000_파도 - 모항선 횡배수관 확장_서울대 바이오테크 설계내역서(수정) 2" xfId="7373" xr:uid="{00000000-0005-0000-0000-0000B1070000}"/>
    <cellStyle name="_도곡2교 교대(종점) 수량_RAMP-E교-최종000_파도 - 모항선 횡배수관 확장_시방서" xfId="677" xr:uid="{00000000-0005-0000-0000-0000B2070000}"/>
    <cellStyle name="_도곡2교 교대(종점) 수량_RAMP-E교-최종000_파도 - 모항선 횡배수관 확장_시방서 2" xfId="7374" xr:uid="{00000000-0005-0000-0000-0000B3070000}"/>
    <cellStyle name="_도곡2교 교대(종점) 수량_RAMP-E교-최종000_파도 - 모항선 횡배수관 확장_시방서_002 욱수천정비공사실시설계 내역서_090113" xfId="5039" xr:uid="{00000000-0005-0000-0000-0000B4070000}"/>
    <cellStyle name="_도곡2교 교대(종점) 수량_RAMP-E교-최종000_파도 - 모항선 횡배수관 확장_시방서_서울대 바이오테크 설계내역서" xfId="5040" xr:uid="{00000000-0005-0000-0000-0000B5070000}"/>
    <cellStyle name="_도곡2교 교대(종점) 수량_RAMP-E교-최종000_파도 - 모항선 횡배수관 확장_시방서_서울대 바이오테크 설계내역서 2" xfId="7375" xr:uid="{00000000-0005-0000-0000-0000B6070000}"/>
    <cellStyle name="_도곡2교 교대(종점) 수량_RAMP-E교-최종000_파도 - 모항선 횡배수관 확장_시방서_서울대 바이오테크 설계내역서(수정)" xfId="5041" xr:uid="{00000000-0005-0000-0000-0000B7070000}"/>
    <cellStyle name="_도곡2교 교대(종점) 수량_RAMP-E교-최종000_파도 - 모항선 횡배수관 확장_시방서_서울대 바이오테크 설계내역서(수정) 2" xfId="7376" xr:uid="{00000000-0005-0000-0000-0000B8070000}"/>
    <cellStyle name="_도곡2교 교대(종점) 수량_서울대 바이오테크 설계내역서" xfId="5042" xr:uid="{00000000-0005-0000-0000-0000B9070000}"/>
    <cellStyle name="_도곡2교 교대(종점) 수량_서울대 바이오테크 설계내역서 2" xfId="7377" xr:uid="{00000000-0005-0000-0000-0000BA070000}"/>
    <cellStyle name="_도곡2교 교대(종점) 수량_서울대 바이오테크 설계내역서(수정)" xfId="5043" xr:uid="{00000000-0005-0000-0000-0000BB070000}"/>
    <cellStyle name="_도곡2교 교대(종점) 수량_서울대 바이오테크 설계내역서(수정) 2" xfId="7378" xr:uid="{00000000-0005-0000-0000-0000BC070000}"/>
    <cellStyle name="_도곡2교 교대(종점) 수량_시방서" xfId="678" xr:uid="{00000000-0005-0000-0000-0000BD070000}"/>
    <cellStyle name="_도곡2교 교대(종점) 수량_시방서 2" xfId="7379" xr:uid="{00000000-0005-0000-0000-0000BE070000}"/>
    <cellStyle name="_도곡2교 교대(종점) 수량_시방서_002 욱수천정비공사실시설계 내역서_090113" xfId="5044" xr:uid="{00000000-0005-0000-0000-0000BF070000}"/>
    <cellStyle name="_도곡2교 교대(종점) 수량_시방서_서울대 바이오테크 설계내역서" xfId="5045" xr:uid="{00000000-0005-0000-0000-0000C0070000}"/>
    <cellStyle name="_도곡2교 교대(종점) 수량_시방서_서울대 바이오테크 설계내역서 2" xfId="7380" xr:uid="{00000000-0005-0000-0000-0000C1070000}"/>
    <cellStyle name="_도곡2교 교대(종점) 수량_시방서_서울대 바이오테크 설계내역서(수정)" xfId="5046" xr:uid="{00000000-0005-0000-0000-0000C2070000}"/>
    <cellStyle name="_도곡2교 교대(종점) 수량_시방서_서울대 바이오테크 설계내역서(수정) 2" xfId="7381" xr:uid="{00000000-0005-0000-0000-0000C3070000}"/>
    <cellStyle name="_도곡3교 교대 수량" xfId="679" xr:uid="{00000000-0005-0000-0000-0000C4070000}"/>
    <cellStyle name="_도곡3교 교대 수량 2" xfId="7382" xr:uid="{00000000-0005-0000-0000-0000C5070000}"/>
    <cellStyle name="_도곡3교 교대 수량_002 욱수천정비공사실시설계 내역서_090113" xfId="5047" xr:uid="{00000000-0005-0000-0000-0000C6070000}"/>
    <cellStyle name="_도곡3교 교대 수량_RAMP-E교-최종000" xfId="680" xr:uid="{00000000-0005-0000-0000-0000C7070000}"/>
    <cellStyle name="_도곡3교 교대 수량_RAMP-E교-최종000 2" xfId="7383" xr:uid="{00000000-0005-0000-0000-0000C8070000}"/>
    <cellStyle name="_도곡3교 교대 수량_RAMP-E교-최종000_002 욱수천정비공사실시설계 내역서_090113" xfId="5048" xr:uid="{00000000-0005-0000-0000-0000C9070000}"/>
    <cellStyle name="_도곡3교 교대 수량_RAMP-E교-최종000_서울대 바이오테크 설계내역서" xfId="5049" xr:uid="{00000000-0005-0000-0000-0000CA070000}"/>
    <cellStyle name="_도곡3교 교대 수량_RAMP-E교-최종000_서울대 바이오테크 설계내역서 2" xfId="7384" xr:uid="{00000000-0005-0000-0000-0000CB070000}"/>
    <cellStyle name="_도곡3교 교대 수량_RAMP-E교-최종000_서울대 바이오테크 설계내역서(수정)" xfId="5050" xr:uid="{00000000-0005-0000-0000-0000CC070000}"/>
    <cellStyle name="_도곡3교 교대 수량_RAMP-E교-최종000_서울대 바이오테크 설계내역서(수정) 2" xfId="7385" xr:uid="{00000000-0005-0000-0000-0000CD070000}"/>
    <cellStyle name="_도곡3교 교대 수량_RAMP-E교-최종000_시방서" xfId="681" xr:uid="{00000000-0005-0000-0000-0000CE070000}"/>
    <cellStyle name="_도곡3교 교대 수량_RAMP-E교-최종000_시방서 2" xfId="7386" xr:uid="{00000000-0005-0000-0000-0000CF070000}"/>
    <cellStyle name="_도곡3교 교대 수량_RAMP-E교-최종000_시방서_002 욱수천정비공사실시설계 내역서_090113" xfId="5051" xr:uid="{00000000-0005-0000-0000-0000D0070000}"/>
    <cellStyle name="_도곡3교 교대 수량_RAMP-E교-최종000_시방서_서울대 바이오테크 설계내역서" xfId="5052" xr:uid="{00000000-0005-0000-0000-0000D1070000}"/>
    <cellStyle name="_도곡3교 교대 수량_RAMP-E교-최종000_시방서_서울대 바이오테크 설계내역서 2" xfId="7387" xr:uid="{00000000-0005-0000-0000-0000D2070000}"/>
    <cellStyle name="_도곡3교 교대 수량_RAMP-E교-최종000_시방서_서울대 바이오테크 설계내역서(수정)" xfId="5053" xr:uid="{00000000-0005-0000-0000-0000D3070000}"/>
    <cellStyle name="_도곡3교 교대 수량_RAMP-E교-최종000_시방서_서울대 바이오테크 설계내역서(수정) 2" xfId="7388" xr:uid="{00000000-0005-0000-0000-0000D4070000}"/>
    <cellStyle name="_도곡3교 교대 수량_RAMP-E교-최종000_파도 - 모항선 횡배수관 확장" xfId="682" xr:uid="{00000000-0005-0000-0000-0000D5070000}"/>
    <cellStyle name="_도곡3교 교대 수량_RAMP-E교-최종000_파도 - 모항선 횡배수관 확장 2" xfId="7389" xr:uid="{00000000-0005-0000-0000-0000D6070000}"/>
    <cellStyle name="_도곡3교 교대 수량_RAMP-E교-최종000_파도 - 모항선 횡배수관 확장_002 욱수천정비공사실시설계 내역서_090113" xfId="5054" xr:uid="{00000000-0005-0000-0000-0000D7070000}"/>
    <cellStyle name="_도곡3교 교대 수량_RAMP-E교-최종000_파도 - 모항선 횡배수관 확장_서울대 바이오테크 설계내역서" xfId="5055" xr:uid="{00000000-0005-0000-0000-0000D8070000}"/>
    <cellStyle name="_도곡3교 교대 수량_RAMP-E교-최종000_파도 - 모항선 횡배수관 확장_서울대 바이오테크 설계내역서 2" xfId="7390" xr:uid="{00000000-0005-0000-0000-0000D9070000}"/>
    <cellStyle name="_도곡3교 교대 수량_RAMP-E교-최종000_파도 - 모항선 횡배수관 확장_서울대 바이오테크 설계내역서(수정)" xfId="5056" xr:uid="{00000000-0005-0000-0000-0000DA070000}"/>
    <cellStyle name="_도곡3교 교대 수량_RAMP-E교-최종000_파도 - 모항선 횡배수관 확장_서울대 바이오테크 설계내역서(수정) 2" xfId="7391" xr:uid="{00000000-0005-0000-0000-0000DB070000}"/>
    <cellStyle name="_도곡3교 교대 수량_RAMP-E교-최종000_파도 - 모항선 횡배수관 확장_시방서" xfId="683" xr:uid="{00000000-0005-0000-0000-0000DC070000}"/>
    <cellStyle name="_도곡3교 교대 수량_RAMP-E교-최종000_파도 - 모항선 횡배수관 확장_시방서 2" xfId="7392" xr:uid="{00000000-0005-0000-0000-0000DD070000}"/>
    <cellStyle name="_도곡3교 교대 수량_RAMP-E교-최종000_파도 - 모항선 횡배수관 확장_시방서_002 욱수천정비공사실시설계 내역서_090113" xfId="5057" xr:uid="{00000000-0005-0000-0000-0000DE070000}"/>
    <cellStyle name="_도곡3교 교대 수량_RAMP-E교-최종000_파도 - 모항선 횡배수관 확장_시방서_서울대 바이오테크 설계내역서" xfId="5058" xr:uid="{00000000-0005-0000-0000-0000DF070000}"/>
    <cellStyle name="_도곡3교 교대 수량_RAMP-E교-최종000_파도 - 모항선 횡배수관 확장_시방서_서울대 바이오테크 설계내역서 2" xfId="7393" xr:uid="{00000000-0005-0000-0000-0000E0070000}"/>
    <cellStyle name="_도곡3교 교대 수량_RAMP-E교-최종000_파도 - 모항선 횡배수관 확장_시방서_서울대 바이오테크 설계내역서(수정)" xfId="5059" xr:uid="{00000000-0005-0000-0000-0000E1070000}"/>
    <cellStyle name="_도곡3교 교대 수량_RAMP-E교-최종000_파도 - 모항선 횡배수관 확장_시방서_서울대 바이오테크 설계내역서(수정) 2" xfId="7394" xr:uid="{00000000-0005-0000-0000-0000E2070000}"/>
    <cellStyle name="_도곡3교 교대 수량_서울대 바이오테크 설계내역서" xfId="5060" xr:uid="{00000000-0005-0000-0000-0000E3070000}"/>
    <cellStyle name="_도곡3교 교대 수량_서울대 바이오테크 설계내역서 2" xfId="7395" xr:uid="{00000000-0005-0000-0000-0000E4070000}"/>
    <cellStyle name="_도곡3교 교대 수량_서울대 바이오테크 설계내역서(수정)" xfId="5061" xr:uid="{00000000-0005-0000-0000-0000E5070000}"/>
    <cellStyle name="_도곡3교 교대 수량_서울대 바이오테크 설계내역서(수정) 2" xfId="7396" xr:uid="{00000000-0005-0000-0000-0000E6070000}"/>
    <cellStyle name="_도곡3교 교대 수량_시방서" xfId="684" xr:uid="{00000000-0005-0000-0000-0000E7070000}"/>
    <cellStyle name="_도곡3교 교대 수량_시방서 2" xfId="7397" xr:uid="{00000000-0005-0000-0000-0000E8070000}"/>
    <cellStyle name="_도곡3교 교대 수량_시방서_002 욱수천정비공사실시설계 내역서_090113" xfId="5062" xr:uid="{00000000-0005-0000-0000-0000E9070000}"/>
    <cellStyle name="_도곡3교 교대 수량_시방서_서울대 바이오테크 설계내역서" xfId="5063" xr:uid="{00000000-0005-0000-0000-0000EA070000}"/>
    <cellStyle name="_도곡3교 교대 수량_시방서_서울대 바이오테크 설계내역서 2" xfId="7398" xr:uid="{00000000-0005-0000-0000-0000EB070000}"/>
    <cellStyle name="_도곡3교 교대 수량_시방서_서울대 바이오테크 설계내역서(수정)" xfId="5064" xr:uid="{00000000-0005-0000-0000-0000EC070000}"/>
    <cellStyle name="_도곡3교 교대 수량_시방서_서울대 바이오테크 설계내역서(수정) 2" xfId="7399" xr:uid="{00000000-0005-0000-0000-0000ED070000}"/>
    <cellStyle name="_도곡4교 하부공 수량" xfId="685" xr:uid="{00000000-0005-0000-0000-0000EE070000}"/>
    <cellStyle name="_도곡4교 하부공 수량 2" xfId="7400" xr:uid="{00000000-0005-0000-0000-0000EF070000}"/>
    <cellStyle name="_도곡4교 하부공 수량_002 욱수천정비공사실시설계 내역서_090113" xfId="5065" xr:uid="{00000000-0005-0000-0000-0000F0070000}"/>
    <cellStyle name="_도곡4교 하부공 수량_RAMP-E교-최종000" xfId="686" xr:uid="{00000000-0005-0000-0000-0000F1070000}"/>
    <cellStyle name="_도곡4교 하부공 수량_RAMP-E교-최종000 2" xfId="7401" xr:uid="{00000000-0005-0000-0000-0000F2070000}"/>
    <cellStyle name="_도곡4교 하부공 수량_RAMP-E교-최종000_002 욱수천정비공사실시설계 내역서_090113" xfId="5066" xr:uid="{00000000-0005-0000-0000-0000F3070000}"/>
    <cellStyle name="_도곡4교 하부공 수량_RAMP-E교-최종000_서울대 바이오테크 설계내역서" xfId="7402" xr:uid="{00000000-0005-0000-0000-0000F4070000}"/>
    <cellStyle name="_도곡4교 하부공 수량_RAMP-E교-최종000_서울대 바이오테크 설계내역서(수정)" xfId="5067" xr:uid="{00000000-0005-0000-0000-0000F5070000}"/>
    <cellStyle name="_도곡4교 하부공 수량_RAMP-E교-최종000_서울대 바이오테크 설계내역서(수정) 2" xfId="7403" xr:uid="{00000000-0005-0000-0000-0000F6070000}"/>
    <cellStyle name="_도곡4교 하부공 수량_RAMP-E교-최종000_시방서" xfId="687" xr:uid="{00000000-0005-0000-0000-0000F7070000}"/>
    <cellStyle name="_도곡4교 하부공 수량_RAMP-E교-최종000_시방서 2" xfId="7404" xr:uid="{00000000-0005-0000-0000-0000F8070000}"/>
    <cellStyle name="_도곡4교 하부공 수량_RAMP-E교-최종000_시방서_002 욱수천정비공사실시설계 내역서_090113" xfId="5068" xr:uid="{00000000-0005-0000-0000-0000F9070000}"/>
    <cellStyle name="_도곡4교 하부공 수량_RAMP-E교-최종000_시방서_서울대 바이오테크 설계내역서" xfId="5069" xr:uid="{00000000-0005-0000-0000-0000FA070000}"/>
    <cellStyle name="_도곡4교 하부공 수량_RAMP-E교-최종000_시방서_서울대 바이오테크 설계내역서 2" xfId="7405" xr:uid="{00000000-0005-0000-0000-0000FB070000}"/>
    <cellStyle name="_도곡4교 하부공 수량_RAMP-E교-최종000_시방서_서울대 바이오테크 설계내역서(수정)" xfId="5070" xr:uid="{00000000-0005-0000-0000-0000FC070000}"/>
    <cellStyle name="_도곡4교 하부공 수량_RAMP-E교-최종000_시방서_서울대 바이오테크 설계내역서(수정) 2" xfId="7406" xr:uid="{00000000-0005-0000-0000-0000FD070000}"/>
    <cellStyle name="_도곡4교 하부공 수량_RAMP-E교-최종000_파도 - 모항선 횡배수관 확장" xfId="688" xr:uid="{00000000-0005-0000-0000-0000FE070000}"/>
    <cellStyle name="_도곡4교 하부공 수량_RAMP-E교-최종000_파도 - 모항선 횡배수관 확장 2" xfId="7407" xr:uid="{00000000-0005-0000-0000-0000FF070000}"/>
    <cellStyle name="_도곡4교 하부공 수량_RAMP-E교-최종000_파도 - 모항선 횡배수관 확장_002 욱수천정비공사실시설계 내역서_090113" xfId="5071" xr:uid="{00000000-0005-0000-0000-000000080000}"/>
    <cellStyle name="_도곡4교 하부공 수량_RAMP-E교-최종000_파도 - 모항선 횡배수관 확장_서울대 바이오테크 설계내역서" xfId="5072" xr:uid="{00000000-0005-0000-0000-000001080000}"/>
    <cellStyle name="_도곡4교 하부공 수량_RAMP-E교-최종000_파도 - 모항선 횡배수관 확장_서울대 바이오테크 설계내역서 2" xfId="7408" xr:uid="{00000000-0005-0000-0000-000002080000}"/>
    <cellStyle name="_도곡4교 하부공 수량_RAMP-E교-최종000_파도 - 모항선 횡배수관 확장_서울대 바이오테크 설계내역서(수정)" xfId="5073" xr:uid="{00000000-0005-0000-0000-000003080000}"/>
    <cellStyle name="_도곡4교 하부공 수량_RAMP-E교-최종000_파도 - 모항선 횡배수관 확장_서울대 바이오테크 설계내역서(수정) 2" xfId="7409" xr:uid="{00000000-0005-0000-0000-000004080000}"/>
    <cellStyle name="_도곡4교 하부공 수량_RAMP-E교-최종000_파도 - 모항선 횡배수관 확장_시방서" xfId="689" xr:uid="{00000000-0005-0000-0000-000005080000}"/>
    <cellStyle name="_도곡4교 하부공 수량_RAMP-E교-최종000_파도 - 모항선 횡배수관 확장_시방서 2" xfId="7410" xr:uid="{00000000-0005-0000-0000-000006080000}"/>
    <cellStyle name="_도곡4교 하부공 수량_RAMP-E교-최종000_파도 - 모항선 횡배수관 확장_시방서_002 욱수천정비공사실시설계 내역서_090113" xfId="5074" xr:uid="{00000000-0005-0000-0000-000007080000}"/>
    <cellStyle name="_도곡4교 하부공 수량_RAMP-E교-최종000_파도 - 모항선 횡배수관 확장_시방서_서울대 바이오테크 설계내역서" xfId="5075" xr:uid="{00000000-0005-0000-0000-000008080000}"/>
    <cellStyle name="_도곡4교 하부공 수량_RAMP-E교-최종000_파도 - 모항선 횡배수관 확장_시방서_서울대 바이오테크 설계내역서 2" xfId="7411" xr:uid="{00000000-0005-0000-0000-000009080000}"/>
    <cellStyle name="_도곡4교 하부공 수량_RAMP-E교-최종000_파도 - 모항선 횡배수관 확장_시방서_서울대 바이오테크 설계내역서(수정)" xfId="5076" xr:uid="{00000000-0005-0000-0000-00000A080000}"/>
    <cellStyle name="_도곡4교 하부공 수량_RAMP-E교-최종000_파도 - 모항선 횡배수관 확장_시방서_서울대 바이오테크 설계내역서(수정) 2" xfId="7412" xr:uid="{00000000-0005-0000-0000-00000B080000}"/>
    <cellStyle name="_도곡4교 하부공 수량_서울대 바이오테크 설계내역서" xfId="5077" xr:uid="{00000000-0005-0000-0000-00000C080000}"/>
    <cellStyle name="_도곡4교 하부공 수량_서울대 바이오테크 설계내역서 2" xfId="7413" xr:uid="{00000000-0005-0000-0000-00000D080000}"/>
    <cellStyle name="_도곡4교 하부공 수량_서울대 바이오테크 설계내역서(수정)" xfId="5078" xr:uid="{00000000-0005-0000-0000-00000E080000}"/>
    <cellStyle name="_도곡4교 하부공 수량_서울대 바이오테크 설계내역서(수정) 2" xfId="7414" xr:uid="{00000000-0005-0000-0000-00000F080000}"/>
    <cellStyle name="_도곡4교 하부공 수량_시방서" xfId="690" xr:uid="{00000000-0005-0000-0000-000010080000}"/>
    <cellStyle name="_도곡4교 하부공 수량_시방서 2" xfId="7415" xr:uid="{00000000-0005-0000-0000-000011080000}"/>
    <cellStyle name="_도곡4교 하부공 수량_시방서_002 욱수천정비공사실시설계 내역서_090113" xfId="5079" xr:uid="{00000000-0005-0000-0000-000012080000}"/>
    <cellStyle name="_도곡4교 하부공 수량_시방서_서울대 바이오테크 설계내역서" xfId="5080" xr:uid="{00000000-0005-0000-0000-000013080000}"/>
    <cellStyle name="_도곡4교 하부공 수량_시방서_서울대 바이오테크 설계내역서 2" xfId="7416" xr:uid="{00000000-0005-0000-0000-000014080000}"/>
    <cellStyle name="_도곡4교 하부공 수량_시방서_서울대 바이오테크 설계내역서(수정)" xfId="5081" xr:uid="{00000000-0005-0000-0000-000015080000}"/>
    <cellStyle name="_도곡4교 하부공 수량_시방서_서울대 바이오테크 설계내역서(수정) 2" xfId="7417" xr:uid="{00000000-0005-0000-0000-000016080000}"/>
    <cellStyle name="_도곡교 교대 수량" xfId="691" xr:uid="{00000000-0005-0000-0000-000017080000}"/>
    <cellStyle name="_도곡교 교대 수량 2" xfId="7418" xr:uid="{00000000-0005-0000-0000-000018080000}"/>
    <cellStyle name="_도곡교 교대 수량_002 욱수천정비공사실시설계 내역서_090113" xfId="5082" xr:uid="{00000000-0005-0000-0000-000019080000}"/>
    <cellStyle name="_도곡교 교대 수량_RAMP-E교-최종000" xfId="692" xr:uid="{00000000-0005-0000-0000-00001A080000}"/>
    <cellStyle name="_도곡교 교대 수량_RAMP-E교-최종000 2" xfId="7419" xr:uid="{00000000-0005-0000-0000-00001B080000}"/>
    <cellStyle name="_도곡교 교대 수량_RAMP-E교-최종000_002 욱수천정비공사실시설계 내역서_090113" xfId="5083" xr:uid="{00000000-0005-0000-0000-00001C080000}"/>
    <cellStyle name="_도곡교 교대 수량_RAMP-E교-최종000_서울대 바이오테크 설계내역서" xfId="5084" xr:uid="{00000000-0005-0000-0000-00001D080000}"/>
    <cellStyle name="_도곡교 교대 수량_RAMP-E교-최종000_서울대 바이오테크 설계내역서 2" xfId="7420" xr:uid="{00000000-0005-0000-0000-00001E080000}"/>
    <cellStyle name="_도곡교 교대 수량_RAMP-E교-최종000_서울대 바이오테크 설계내역서(수정)" xfId="5085" xr:uid="{00000000-0005-0000-0000-00001F080000}"/>
    <cellStyle name="_도곡교 교대 수량_RAMP-E교-최종000_서울대 바이오테크 설계내역서(수정) 2" xfId="7421" xr:uid="{00000000-0005-0000-0000-000020080000}"/>
    <cellStyle name="_도곡교 교대 수량_RAMP-E교-최종000_시방서" xfId="693" xr:uid="{00000000-0005-0000-0000-000021080000}"/>
    <cellStyle name="_도곡교 교대 수량_RAMP-E교-최종000_시방서 2" xfId="7422" xr:uid="{00000000-0005-0000-0000-000022080000}"/>
    <cellStyle name="_도곡교 교대 수량_RAMP-E교-최종000_시방서_002 욱수천정비공사실시설계 내역서_090113" xfId="5086" xr:uid="{00000000-0005-0000-0000-000023080000}"/>
    <cellStyle name="_도곡교 교대 수량_RAMP-E교-최종000_시방서_서울대 바이오테크 설계내역서" xfId="5087" xr:uid="{00000000-0005-0000-0000-000024080000}"/>
    <cellStyle name="_도곡교 교대 수량_RAMP-E교-최종000_시방서_서울대 바이오테크 설계내역서 2" xfId="7423" xr:uid="{00000000-0005-0000-0000-000025080000}"/>
    <cellStyle name="_도곡교 교대 수량_RAMP-E교-최종000_시방서_서울대 바이오테크 설계내역서(수정)" xfId="5088" xr:uid="{00000000-0005-0000-0000-000026080000}"/>
    <cellStyle name="_도곡교 교대 수량_RAMP-E교-최종000_시방서_서울대 바이오테크 설계내역서(수정) 2" xfId="7424" xr:uid="{00000000-0005-0000-0000-000027080000}"/>
    <cellStyle name="_도곡교 교대 수량_RAMP-E교-최종000_파도 - 모항선 횡배수관 확장" xfId="694" xr:uid="{00000000-0005-0000-0000-000028080000}"/>
    <cellStyle name="_도곡교 교대 수량_RAMP-E교-최종000_파도 - 모항선 횡배수관 확장 2" xfId="7425" xr:uid="{00000000-0005-0000-0000-000029080000}"/>
    <cellStyle name="_도곡교 교대 수량_RAMP-E교-최종000_파도 - 모항선 횡배수관 확장_002 욱수천정비공사실시설계 내역서_090113" xfId="5089" xr:uid="{00000000-0005-0000-0000-00002A080000}"/>
    <cellStyle name="_도곡교 교대 수량_RAMP-E교-최종000_파도 - 모항선 횡배수관 확장_서울대 바이오테크 설계내역서" xfId="5090" xr:uid="{00000000-0005-0000-0000-00002B080000}"/>
    <cellStyle name="_도곡교 교대 수량_RAMP-E교-최종000_파도 - 모항선 횡배수관 확장_서울대 바이오테크 설계내역서 2" xfId="7426" xr:uid="{00000000-0005-0000-0000-00002C080000}"/>
    <cellStyle name="_도곡교 교대 수량_RAMP-E교-최종000_파도 - 모항선 횡배수관 확장_서울대 바이오테크 설계내역서(수정)" xfId="5091" xr:uid="{00000000-0005-0000-0000-00002D080000}"/>
    <cellStyle name="_도곡교 교대 수량_RAMP-E교-최종000_파도 - 모항선 횡배수관 확장_서울대 바이오테크 설계내역서(수정) 2" xfId="7427" xr:uid="{00000000-0005-0000-0000-00002E080000}"/>
    <cellStyle name="_도곡교 교대 수량_RAMP-E교-최종000_파도 - 모항선 횡배수관 확장_시방서" xfId="695" xr:uid="{00000000-0005-0000-0000-00002F080000}"/>
    <cellStyle name="_도곡교 교대 수량_RAMP-E교-최종000_파도 - 모항선 횡배수관 확장_시방서 2" xfId="7428" xr:uid="{00000000-0005-0000-0000-000030080000}"/>
    <cellStyle name="_도곡교 교대 수량_RAMP-E교-최종000_파도 - 모항선 횡배수관 확장_시방서_002 욱수천정비공사실시설계 내역서_090113" xfId="5092" xr:uid="{00000000-0005-0000-0000-000031080000}"/>
    <cellStyle name="_도곡교 교대 수량_RAMP-E교-최종000_파도 - 모항선 횡배수관 확장_시방서_서울대 바이오테크 설계내역서" xfId="5093" xr:uid="{00000000-0005-0000-0000-000032080000}"/>
    <cellStyle name="_도곡교 교대 수량_RAMP-E교-최종000_파도 - 모항선 횡배수관 확장_시방서_서울대 바이오테크 설계내역서 2" xfId="7429" xr:uid="{00000000-0005-0000-0000-000033080000}"/>
    <cellStyle name="_도곡교 교대 수량_RAMP-E교-최종000_파도 - 모항선 횡배수관 확장_시방서_서울대 바이오테크 설계내역서(수정)" xfId="5094" xr:uid="{00000000-0005-0000-0000-000034080000}"/>
    <cellStyle name="_도곡교 교대 수량_RAMP-E교-최종000_파도 - 모항선 횡배수관 확장_시방서_서울대 바이오테크 설계내역서(수정) 2" xfId="7430" xr:uid="{00000000-0005-0000-0000-000035080000}"/>
    <cellStyle name="_도곡교 교대 수량_서울대 바이오테크 설계내역서" xfId="5095" xr:uid="{00000000-0005-0000-0000-000036080000}"/>
    <cellStyle name="_도곡교 교대 수량_서울대 바이오테크 설계내역서 2" xfId="7431" xr:uid="{00000000-0005-0000-0000-000037080000}"/>
    <cellStyle name="_도곡교 교대 수량_서울대 바이오테크 설계내역서(수정)" xfId="5096" xr:uid="{00000000-0005-0000-0000-000038080000}"/>
    <cellStyle name="_도곡교 교대 수량_서울대 바이오테크 설계내역서(수정) 2" xfId="7432" xr:uid="{00000000-0005-0000-0000-000039080000}"/>
    <cellStyle name="_도곡교 교대 수량_시방서" xfId="696" xr:uid="{00000000-0005-0000-0000-00003A080000}"/>
    <cellStyle name="_도곡교 교대 수량_시방서 2" xfId="7433" xr:uid="{00000000-0005-0000-0000-00003B080000}"/>
    <cellStyle name="_도곡교 교대 수량_시방서_002 욱수천정비공사실시설계 내역서_090113" xfId="5097" xr:uid="{00000000-0005-0000-0000-00003C080000}"/>
    <cellStyle name="_도곡교 교대 수량_시방서_서울대 바이오테크 설계내역서" xfId="5098" xr:uid="{00000000-0005-0000-0000-00003D080000}"/>
    <cellStyle name="_도곡교 교대 수량_시방서_서울대 바이오테크 설계내역서 2" xfId="7434" xr:uid="{00000000-0005-0000-0000-00003E080000}"/>
    <cellStyle name="_도곡교 교대 수량_시방서_서울대 바이오테크 설계내역서(수정)" xfId="5099" xr:uid="{00000000-0005-0000-0000-00003F080000}"/>
    <cellStyle name="_도곡교 교대 수량_시방서_서울대 바이오테크 설계내역서(수정) 2" xfId="7435" xr:uid="{00000000-0005-0000-0000-000040080000}"/>
    <cellStyle name="_도급내역서" xfId="5100" xr:uid="{00000000-0005-0000-0000-000041080000}"/>
    <cellStyle name="_도로,상,하수 DB구축설계서(2,4급)_2005" xfId="5101" xr:uid="{00000000-0005-0000-0000-000042080000}"/>
    <cellStyle name="_도로+상수+하수(2003년진주시)-1차-최종" xfId="6867" xr:uid="{00000000-0005-0000-0000-000043080000}"/>
    <cellStyle name="_도로+상수+하수(2003년진주시)-1차-최종 2" xfId="7436" xr:uid="{00000000-0005-0000-0000-000044080000}"/>
    <cellStyle name="_도로+상수+하수총괄분(진주시)" xfId="6868" xr:uid="{00000000-0005-0000-0000-000045080000}"/>
    <cellStyle name="_도로+상수+하수총괄분(진주시) 2" xfId="7437" xr:uid="{00000000-0005-0000-0000-000046080000}"/>
    <cellStyle name="_도로+상수+하수총괄분(진주시)-총괄-최종" xfId="5102" xr:uid="{00000000-0005-0000-0000-000047080000}"/>
    <cellStyle name="_도로+상수+하수총괄분(진주시)-총괄-최종 2" xfId="7438" xr:uid="{00000000-0005-0000-0000-000048080000}"/>
    <cellStyle name="_도로공사대전지사" xfId="5103" xr:uid="{00000000-0005-0000-0000-000049080000}"/>
    <cellStyle name="_도로및지하시설물도공동구축사업 설계내역서.1.0" xfId="5104" xr:uid="{00000000-0005-0000-0000-00004A080000}"/>
    <cellStyle name="_도로및지하시설물도공동구축사업 설계내역서.1.0 2" xfId="7439" xr:uid="{00000000-0005-0000-0000-00004B080000}"/>
    <cellStyle name="_도로시설물020517총괄" xfId="5105" xr:uid="{00000000-0005-0000-0000-00004C080000}"/>
    <cellStyle name="_도로시설물020517총괄 2" xfId="7440" xr:uid="{00000000-0005-0000-0000-00004D080000}"/>
    <cellStyle name="_도로와 지하시설물도 구축사업(2차) 설계내역서_v4" xfId="5106" xr:uid="{00000000-0005-0000-0000-00004E080000}"/>
    <cellStyle name="_도로와 지하시설물도 구축사업(2차) 설계내역서_v4 2" xfId="7441" xr:uid="{00000000-0005-0000-0000-00004F080000}"/>
    <cellStyle name="_도로와 지하시설물도 시범사업 설계내역서_1.2" xfId="5107" xr:uid="{00000000-0005-0000-0000-000050080000}"/>
    <cellStyle name="_도로와 지하시설물도 시범사업 설계내역서_1.2 2" xfId="7442" xr:uid="{00000000-0005-0000-0000-000051080000}"/>
    <cellStyle name="_도시계획시설결정_견적_학원" xfId="5108" xr:uid="{00000000-0005-0000-0000-000052080000}"/>
    <cellStyle name="_돌망태수량(바이리)" xfId="5109" xr:uid="{00000000-0005-0000-0000-000053080000}"/>
    <cellStyle name="_동명천, 상운천 하천정비기본계획 내역서" xfId="5110" xr:uid="{00000000-0005-0000-0000-000054080000}"/>
    <cellStyle name="_동명천, 상운천 하천정비기본계획 내역서 2" xfId="7443" xr:uid="{00000000-0005-0000-0000-000055080000}"/>
    <cellStyle name="_동원꽃농원" xfId="5111" xr:uid="{00000000-0005-0000-0000-000056080000}"/>
    <cellStyle name="_동홍천외12개하천(도급내역)" xfId="5112" xr:uid="{00000000-0005-0000-0000-000057080000}"/>
    <cellStyle name="_동홍천외12개하천(도급내역) 2" xfId="7444" xr:uid="{00000000-0005-0000-0000-000058080000}"/>
    <cellStyle name="_동홍천외12개하천(도급내역)_091110 안성천권역(중하류) 설계내역서" xfId="7445" xr:uid="{00000000-0005-0000-0000-000059080000}"/>
    <cellStyle name="_동홍천외12개하천(도급내역)_100120 안성천권역(중하류) 2차분내역서" xfId="6869" xr:uid="{00000000-0005-0000-0000-00005A080000}"/>
    <cellStyle name="_동홍천외12개하천(도급내역)_100120 안성천권역(중하류) 2차분내역서 2" xfId="7446" xr:uid="{00000000-0005-0000-0000-00005B080000}"/>
    <cellStyle name="_동홍천외12개하천(도급내역)_논산천 권역 하천기본계획 설계예산서" xfId="7447" xr:uid="{00000000-0005-0000-0000-00005C080000}"/>
    <cellStyle name="_동홍천외12개하천(도급내역)_사본 - 황강중류권역 하천기본계획 예산서(황강 미포함)-2차분_ rev2" xfId="6870" xr:uid="{00000000-0005-0000-0000-00005D080000}"/>
    <cellStyle name="_동홍천외12개하천(도급내역)_소양강 상류권역 하천기본계획(변경) 및 하천시설관리대장작성_Lidar측량" xfId="7448" xr:uid="{00000000-0005-0000-0000-00005E080000}"/>
    <cellStyle name="_동홍천외12개하천(도급내역)_안양천 하천기본계획 예산서_보완중" xfId="7449" xr:uid="{00000000-0005-0000-0000-00005F080000}"/>
    <cellStyle name="_동홍천외12개하천(도급내역)_안양천권역 하천기본계획 설계예산서" xfId="7450" xr:uid="{00000000-0005-0000-0000-000060080000}"/>
    <cellStyle name="_동홍천외12개하천(도급내역)_한강하류 하천기본계획 설계예산서(지형측량)" xfId="7451" xr:uid="{00000000-0005-0000-0000-000061080000}"/>
    <cellStyle name="_동홍천외12개하천(도급내역)_한강하류내역서2" xfId="7452" xr:uid="{00000000-0005-0000-0000-000062080000}"/>
    <cellStyle name="_동홍천외12개하천(도급내역)_한탄강 하천기본계획 예산서_최종2" xfId="7453" xr:uid="{00000000-0005-0000-0000-000063080000}"/>
    <cellStyle name="_동홍천외12개하천(도급내역)_한탄강권역 하천기본계획 설계예산서(지형측량)" xfId="7454" xr:uid="{00000000-0005-0000-0000-000064080000}"/>
    <cellStyle name="_두산중공업_021203" xfId="5113" xr:uid="{00000000-0005-0000-0000-000065080000}"/>
    <cellStyle name="_두산중공업_021203 2" xfId="7455" xr:uid="{00000000-0005-0000-0000-000066080000}"/>
    <cellStyle name="_디지털_도시_기반공사_견적_내역" xfId="5114" xr:uid="{00000000-0005-0000-0000-000067080000}"/>
    <cellStyle name="_디지털_도시_기반공사_견적_내역 2" xfId="7456" xr:uid="{00000000-0005-0000-0000-000068080000}"/>
    <cellStyle name="_디지털산업단지견적서" xfId="7457" xr:uid="{00000000-0005-0000-0000-000069080000}"/>
    <cellStyle name="_마무리공사" xfId="7458" xr:uid="{00000000-0005-0000-0000-00006A080000}"/>
    <cellStyle name="_만경강수계 치수사업 내역서" xfId="5115" xr:uid="{00000000-0005-0000-0000-00006B080000}"/>
    <cellStyle name="_만경강수계 치수사업 내역서 2" xfId="7459" xr:uid="{00000000-0005-0000-0000-00006C080000}"/>
    <cellStyle name="_말띠고개(수정)" xfId="1985" xr:uid="{00000000-0005-0000-0000-00006D080000}"/>
    <cellStyle name="_매출분석" xfId="5116" xr:uid="{00000000-0005-0000-0000-00006E080000}"/>
    <cellStyle name="_매출분석 2" xfId="7460" xr:uid="{00000000-0005-0000-0000-00006F080000}"/>
    <cellStyle name="_무주농공단지설계내역서" xfId="7461" xr:uid="{00000000-0005-0000-0000-000070080000}"/>
    <cellStyle name="_문화재GIS_설계내역_040718_v3" xfId="5117" xr:uid="{00000000-0005-0000-0000-000071080000}"/>
    <cellStyle name="_문화재GIS_설계내역_040718_v3 2" xfId="7462" xr:uid="{00000000-0005-0000-0000-000072080000}"/>
    <cellStyle name="_문화재지표조사내역서" xfId="5118" xr:uid="{00000000-0005-0000-0000-000073080000}"/>
    <cellStyle name="_밀양영어마을 설계내역서(수정3)" xfId="5119" xr:uid="{00000000-0005-0000-0000-000074080000}"/>
    <cellStyle name="_밀양태양광발전소(전기공급설비)용역비산출" xfId="5120" xr:uid="{00000000-0005-0000-0000-000075080000}"/>
    <cellStyle name="_발안천수계내역서" xfId="5121" xr:uid="{00000000-0005-0000-0000-000076080000}"/>
    <cellStyle name="_발안천수계내역서 2" xfId="7463" xr:uid="{00000000-0005-0000-0000-000077080000}"/>
    <cellStyle name="_방범서비스 년도별 매출분석_20051216" xfId="5122" xr:uid="{00000000-0005-0000-0000-000078080000}"/>
    <cellStyle name="_방범서비스 년도별 매출분석_20051216 2" xfId="7464" xr:uid="{00000000-0005-0000-0000-000079080000}"/>
    <cellStyle name="_범용 공동구축사업 설계내역서_샘플1.3" xfId="5123" xr:uid="{00000000-0005-0000-0000-00007A080000}"/>
    <cellStyle name="_범용 공동구축사업 설계내역서_샘플1.3 2" xfId="7465" xr:uid="{00000000-0005-0000-0000-00007B080000}"/>
    <cellStyle name="_범용 공동구축사업 설계내역서_샘플1.4" xfId="5124" xr:uid="{00000000-0005-0000-0000-00007C080000}"/>
    <cellStyle name="_범용 공동구축사업 설계내역서_샘플1.4 2" xfId="7466" xr:uid="{00000000-0005-0000-0000-00007D080000}"/>
    <cellStyle name="_범용추가개발 설계내역서(평균가중치방식)" xfId="5125" xr:uid="{00000000-0005-0000-0000-00007E080000}"/>
    <cellStyle name="_범용추가개발 설계내역서(평균가중치방식) 2" xfId="7467" xr:uid="{00000000-0005-0000-0000-00007F080000}"/>
    <cellStyle name="_범용추가개발내역" xfId="5126" xr:uid="{00000000-0005-0000-0000-000080080000}"/>
    <cellStyle name="_범용추가개발내역 2" xfId="7468" xr:uid="{00000000-0005-0000-0000-000081080000}"/>
    <cellStyle name="_범용프로그램도입 예산설계서(2003기준)_1.6" xfId="5127" xr:uid="{00000000-0005-0000-0000-000082080000}"/>
    <cellStyle name="_범용프로그램도입 예산설계서(2003기준)_1.6 2" xfId="7469" xr:uid="{00000000-0005-0000-0000-000083080000}"/>
    <cellStyle name="_범용프로그램도입 예산설계서_1.2" xfId="5128" xr:uid="{00000000-0005-0000-0000-000084080000}"/>
    <cellStyle name="_범용프로그램도입 예산설계서_1.2 2" xfId="7470" xr:uid="{00000000-0005-0000-0000-000085080000}"/>
    <cellStyle name="_별첨(계획서및실적서양식)" xfId="1986" xr:uid="{00000000-0005-0000-0000-000086080000}"/>
    <cellStyle name="_별첨(계획서및실적서양식) 2" xfId="7471" xr:uid="{00000000-0005-0000-0000-000087080000}"/>
    <cellStyle name="_별첨(계획서및실적서양식)_1" xfId="1987" xr:uid="{00000000-0005-0000-0000-000088080000}"/>
    <cellStyle name="_별첨(계획서및실적서양식)_1 2" xfId="7472" xr:uid="{00000000-0005-0000-0000-000089080000}"/>
    <cellStyle name="_별첨(계획서및실적서양식)_1_091110 안성천권역(중하류) 설계내역서" xfId="7473" xr:uid="{00000000-0005-0000-0000-00008A080000}"/>
    <cellStyle name="_별첨(계획서및실적서양식)_1_100120 안성천권역(중하류) 2차분내역서" xfId="6871" xr:uid="{00000000-0005-0000-0000-00008B080000}"/>
    <cellStyle name="_별첨(계획서및실적서양식)_1_100120 안성천권역(중하류) 2차분내역서 2" xfId="7474" xr:uid="{00000000-0005-0000-0000-00008C080000}"/>
    <cellStyle name="_별첨(계획서및실적서양식)_1_논산천 권역 하천기본계획 설계예산서" xfId="7475" xr:uid="{00000000-0005-0000-0000-00008D080000}"/>
    <cellStyle name="_별첨(계획서및실적서양식)_1_사본 - 황강중류권역 하천기본계획 예산서(황강 미포함)-2차분_ rev2" xfId="6872" xr:uid="{00000000-0005-0000-0000-00008E080000}"/>
    <cellStyle name="_별첨(계획서및실적서양식)_1_소양강 상류권역 하천기본계획(변경) 및 하천시설관리대장작성_Lidar측량" xfId="7476" xr:uid="{00000000-0005-0000-0000-00008F080000}"/>
    <cellStyle name="_별첨(계획서및실적서양식)_1_안양천 하천기본계획 예산서_보완중" xfId="7477" xr:uid="{00000000-0005-0000-0000-000090080000}"/>
    <cellStyle name="_별첨(계획서및실적서양식)_1_안양천권역 하천기본계획 설계예산서" xfId="7478" xr:uid="{00000000-0005-0000-0000-000091080000}"/>
    <cellStyle name="_별첨(계획서및실적서양식)_1_한강하류 하천기본계획 설계예산서(지형측량)" xfId="7479" xr:uid="{00000000-0005-0000-0000-000092080000}"/>
    <cellStyle name="_별첨(계획서및실적서양식)_1_한강하류내역서2" xfId="7480" xr:uid="{00000000-0005-0000-0000-000093080000}"/>
    <cellStyle name="_별첨(계획서및실적서양식)_1_한탄강 하천기본계획 예산서_최종2" xfId="7481" xr:uid="{00000000-0005-0000-0000-000094080000}"/>
    <cellStyle name="_별첨(계획서및실적서양식)_1_한탄강권역 하천기본계획 설계예산서(지형측량)" xfId="7482" xr:uid="{00000000-0005-0000-0000-000095080000}"/>
    <cellStyle name="_보건대학조경공사내역서(0302)" xfId="5129" xr:uid="{00000000-0005-0000-0000-000096080000}"/>
    <cellStyle name="_보완측량_시설물" xfId="5130" xr:uid="{00000000-0005-0000-0000-000097080000}"/>
    <cellStyle name="_보통천,장현천하천정비기본계획 및 실시설계 내역서(도급)" xfId="5131" xr:uid="{00000000-0005-0000-0000-000098080000}"/>
    <cellStyle name="_보통천,장현천하천정비기본계획 및 실시설계 내역서(도급) 2" xfId="7483" xr:uid="{00000000-0005-0000-0000-000099080000}"/>
    <cellStyle name="_복하천(촬영포함)-최종" xfId="5132" xr:uid="{00000000-0005-0000-0000-00009A080000}"/>
    <cellStyle name="_복하천(촬영포함)-최종 2" xfId="7484" xr:uid="{00000000-0005-0000-0000-00009B080000}"/>
    <cellStyle name="_복하천도급내역서(1차분)" xfId="5133" xr:uid="{00000000-0005-0000-0000-00009C080000}"/>
    <cellStyle name="_복하천도급내역서(1차분) 2" xfId="7485" xr:uid="{00000000-0005-0000-0000-00009D080000}"/>
    <cellStyle name="_봉곡천,금오천하천기본계획(내역서)" xfId="5134" xr:uid="{00000000-0005-0000-0000-00009E080000}"/>
    <cellStyle name="_봉곡천,금오천하천기본계획(내역서) 2" xfId="7486" xr:uid="{00000000-0005-0000-0000-00009F080000}"/>
    <cellStyle name="_부대공내역" xfId="1988" xr:uid="{00000000-0005-0000-0000-0000A0080000}"/>
    <cellStyle name="_부대공내역_기안" xfId="1989" xr:uid="{00000000-0005-0000-0000-0000A1080000}"/>
    <cellStyle name="_부대공내역_기안_병천하수 견적060412" xfId="1990" xr:uid="{00000000-0005-0000-0000-0000A2080000}"/>
    <cellStyle name="_부대공내역_기안_사본 - 기성내역서(대경엔텍)" xfId="1991" xr:uid="{00000000-0005-0000-0000-0000A3080000}"/>
    <cellStyle name="_부대공내역_기안_사본 - 기성내역서(대경엔텍)_병천하수 견적060412" xfId="1992" xr:uid="{00000000-0005-0000-0000-0000A4080000}"/>
    <cellStyle name="_부대공내역_기안_사본 - 기성내역서(대경엔텍)_산북하수견적서" xfId="1993" xr:uid="{00000000-0005-0000-0000-0000A5080000}"/>
    <cellStyle name="_부대공내역_기안_사본 - 기성내역서(대경엔텍)_통일하수내역서" xfId="1994" xr:uid="{00000000-0005-0000-0000-0000A6080000}"/>
    <cellStyle name="_부대공내역_기안_산북하수견적서" xfId="1995" xr:uid="{00000000-0005-0000-0000-0000A7080000}"/>
    <cellStyle name="_부대공내역_기안_제1회설계변경내역서(11.15~)update" xfId="1996" xr:uid="{00000000-0005-0000-0000-0000A8080000}"/>
    <cellStyle name="_부대공내역_기안_제2회기성내역서(1차+2차공사)" xfId="1997" xr:uid="{00000000-0005-0000-0000-0000A9080000}"/>
    <cellStyle name="_부대공내역_기안_제2회기성내역서(1차+2차공사)_병천하수 견적060412" xfId="1998" xr:uid="{00000000-0005-0000-0000-0000AA080000}"/>
    <cellStyle name="_부대공내역_기안_제2회기성내역서(1차+2차공사)_산북하수견적서" xfId="1999" xr:uid="{00000000-0005-0000-0000-0000AB080000}"/>
    <cellStyle name="_부대공내역_기안_제2회기성내역서(1차+2차공사)_제7회기성내역서(1차+2차공사)~ing" xfId="2000" xr:uid="{00000000-0005-0000-0000-0000AC080000}"/>
    <cellStyle name="_부대공내역_기안_제2회기성내역서(1차+2차공사)_제7회기성내역서(1차+2차공사)~ing_병천하수 견적060412" xfId="2001" xr:uid="{00000000-0005-0000-0000-0000AD080000}"/>
    <cellStyle name="_부대공내역_기안_제2회기성내역서(1차+2차공사)_제7회기성내역서(1차+2차공사)~ing_산북하수견적서" xfId="2002" xr:uid="{00000000-0005-0000-0000-0000AE080000}"/>
    <cellStyle name="_부대공내역_기안_제2회기성내역서(1차+2차공사)_제7회기성내역서(1차+2차공사)~ing_통일하수내역서" xfId="2003" xr:uid="{00000000-0005-0000-0000-0000AF080000}"/>
    <cellStyle name="_부대공내역_기안_제2회기성내역서(1차+2차공사)_통일하수내역서" xfId="2004" xr:uid="{00000000-0005-0000-0000-0000B0080000}"/>
    <cellStyle name="_부대공내역_기안_통일하수내역서" xfId="2005" xr:uid="{00000000-0005-0000-0000-0000B1080000}"/>
    <cellStyle name="_부대공내역_병천하수 견적060412" xfId="2006" xr:uid="{00000000-0005-0000-0000-0000B2080000}"/>
    <cellStyle name="_부대공내역_사본 - 기성내역서(대경엔텍)" xfId="2007" xr:uid="{00000000-0005-0000-0000-0000B3080000}"/>
    <cellStyle name="_부대공내역_사본 - 기성내역서(대경엔텍)_병천하수 견적060412" xfId="2008" xr:uid="{00000000-0005-0000-0000-0000B4080000}"/>
    <cellStyle name="_부대공내역_사본 - 기성내역서(대경엔텍)_산북하수견적서" xfId="2009" xr:uid="{00000000-0005-0000-0000-0000B5080000}"/>
    <cellStyle name="_부대공내역_사본 - 기성내역서(대경엔텍)_통일하수내역서" xfId="2010" xr:uid="{00000000-0005-0000-0000-0000B6080000}"/>
    <cellStyle name="_부대공내역_산북하수견적서" xfId="2011" xr:uid="{00000000-0005-0000-0000-0000B7080000}"/>
    <cellStyle name="_부대공내역_제1회설계변경내역서(11.15~)update" xfId="2012" xr:uid="{00000000-0005-0000-0000-0000B8080000}"/>
    <cellStyle name="_부대공내역_제2회기성내역서(1차+2차공사)" xfId="2013" xr:uid="{00000000-0005-0000-0000-0000B9080000}"/>
    <cellStyle name="_부대공내역_제2회기성내역서(1차+2차공사)_병천하수 견적060412" xfId="2014" xr:uid="{00000000-0005-0000-0000-0000BA080000}"/>
    <cellStyle name="_부대공내역_제2회기성내역서(1차+2차공사)_산북하수견적서" xfId="2015" xr:uid="{00000000-0005-0000-0000-0000BB080000}"/>
    <cellStyle name="_부대공내역_제2회기성내역서(1차+2차공사)_제7회기성내역서(1차+2차공사)~ing" xfId="2016" xr:uid="{00000000-0005-0000-0000-0000BC080000}"/>
    <cellStyle name="_부대공내역_제2회기성내역서(1차+2차공사)_제7회기성내역서(1차+2차공사)~ing_병천하수 견적060412" xfId="2017" xr:uid="{00000000-0005-0000-0000-0000BD080000}"/>
    <cellStyle name="_부대공내역_제2회기성내역서(1차+2차공사)_제7회기성내역서(1차+2차공사)~ing_산북하수견적서" xfId="2018" xr:uid="{00000000-0005-0000-0000-0000BE080000}"/>
    <cellStyle name="_부대공내역_제2회기성내역서(1차+2차공사)_제7회기성내역서(1차+2차공사)~ing_통일하수내역서" xfId="2019" xr:uid="{00000000-0005-0000-0000-0000BF080000}"/>
    <cellStyle name="_부대공내역_제2회기성내역서(1차+2차공사)_통일하수내역서" xfId="2020" xr:uid="{00000000-0005-0000-0000-0000C0080000}"/>
    <cellStyle name="_부대공내역_통일하수내역서" xfId="2021" xr:uid="{00000000-0005-0000-0000-0000C1080000}"/>
    <cellStyle name="_부대시설물수량산출" xfId="5135" xr:uid="{00000000-0005-0000-0000-0000C2080000}"/>
    <cellStyle name="_부산교통가격제안서" xfId="5136" xr:uid="{00000000-0005-0000-0000-0000C3080000}"/>
    <cellStyle name="_부산교통가격제안서 2" xfId="7487" xr:uid="{00000000-0005-0000-0000-0000C4080000}"/>
    <cellStyle name="_부천시 지하시설물통합정보시스템 구축사업 설계내역서_0514(FP)" xfId="5137" xr:uid="{00000000-0005-0000-0000-0000C5080000}"/>
    <cellStyle name="_부천시 지하시설물통합정보시스템 구축사업 설계내역서_0514(FP) 2" xfId="7488" xr:uid="{00000000-0005-0000-0000-0000C6080000}"/>
    <cellStyle name="_부천시 지하시설물통합정보시스템 구축사업 설계내역서_2.1(FP)" xfId="5138" xr:uid="{00000000-0005-0000-0000-0000C7080000}"/>
    <cellStyle name="_부천시 지하시설물통합정보시스템 구축사업 설계내역서_2.1(FP) 2" xfId="7489" xr:uid="{00000000-0005-0000-0000-0000C8080000}"/>
    <cellStyle name="_부천시 현장시설물관리시스템 구축사업 설계내역서_2.1(FP)" xfId="5139" xr:uid="{00000000-0005-0000-0000-0000C9080000}"/>
    <cellStyle name="_부천시 현장시설물관리시스템 구축사업 설계내역서_2.1(FP) 2" xfId="7490" xr:uid="{00000000-0005-0000-0000-0000CA080000}"/>
    <cellStyle name="_북한강수계내역서_공정보고용" xfId="5140" xr:uid="{00000000-0005-0000-0000-0000CB080000}"/>
    <cellStyle name="_북한강수계내역서_공정보고용 2" xfId="7491" xr:uid="{00000000-0005-0000-0000-0000CC080000}"/>
    <cellStyle name="_사동초중" xfId="5141" xr:uid="{00000000-0005-0000-0000-0000CD080000}"/>
    <cellStyle name="_사본 - 수정" xfId="5142" xr:uid="{00000000-0005-0000-0000-0000CE080000}"/>
    <cellStyle name="_사본 - 수정 2" xfId="7492" xr:uid="{00000000-0005-0000-0000-0000CF080000}"/>
    <cellStyle name="_사본 - 수정_댐직하류 하천정비(환경)사업 기본계획 및 실시설계용역-수공용" xfId="5143" xr:uid="{00000000-0005-0000-0000-0000D0080000}"/>
    <cellStyle name="_사본 - 수정_댐직하류 하천정비(환경)사업 기본계획 및 실시설계용역-수공용 2" xfId="7493" xr:uid="{00000000-0005-0000-0000-0000D1080000}"/>
    <cellStyle name="_사본 - 수정_댐직하류 하천정비(환경)사업 기본계획 및 실시설계용역-수공용_용담댐직하류 하천정비공사 설계예산서(남원작성)-" xfId="5144" xr:uid="{00000000-0005-0000-0000-0000D2080000}"/>
    <cellStyle name="_사본 - 수정_댐직하류 하천정비(환경)사업 기본계획 및 실시설계용역-수공용_용담댐직하류 하천정비공사 설계예산서(남원작성)- 2" xfId="7494" xr:uid="{00000000-0005-0000-0000-0000D3080000}"/>
    <cellStyle name="_사본 - 수정_댐직하류 하천정비(환경)사업 기본계획 및 실시설계용역-수공용_용담댐직하류 하천정비공사 설계예산서(남원작성)-_용담댐하류하천환경정비사업설계예산서(건희)" xfId="5145" xr:uid="{00000000-0005-0000-0000-0000D4080000}"/>
    <cellStyle name="_사본 - 수정_댐직하류 하천정비(환경)사업 기본계획 및 실시설계용역-수공용_용담댐직하류 하천정비공사 설계예산서(남원작성)-_용담댐하류하천환경정비사업설계예산서(건희)_1) 신천금호강 종합개발 기본설계" xfId="5146" xr:uid="{00000000-0005-0000-0000-0000D5080000}"/>
    <cellStyle name="_사본 - 수정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5147" xr:uid="{00000000-0005-0000-0000-0000D6080000}"/>
    <cellStyle name="_사본 - 수정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5148" xr:uid="{00000000-0005-0000-0000-0000D7080000}"/>
    <cellStyle name="_사본 - 수정_댐직하류 하천정비(환경)사업 기본계획 및 실시설계용역-수공용_용담댐직하류 하천정비공사 설계예산서(남원작성)-_용담댐하류하천환경정비사업설계예산서(건희)_설계내역서(신천-금호강)" xfId="5149" xr:uid="{00000000-0005-0000-0000-0000D8080000}"/>
    <cellStyle name="_사본 - 수정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5150" xr:uid="{00000000-0005-0000-0000-0000D9080000}"/>
    <cellStyle name="_사본 - 수정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5151" xr:uid="{00000000-0005-0000-0000-0000DA080000}"/>
    <cellStyle name="_사본 - 수정_댐직하류 하천정비(환경)사업 기본계획 및 실시설계용역-수공용_용담댐직하류 하천정비공사 설계예산서(남원작성)-_용담댐하류하천환경정비사업설계예산서(건희)_설계내역서(전체)" xfId="5152" xr:uid="{00000000-0005-0000-0000-0000DB080000}"/>
    <cellStyle name="_사본 - 수정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5153" xr:uid="{00000000-0005-0000-0000-0000DC080000}"/>
    <cellStyle name="_사본 - 수정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5154" xr:uid="{00000000-0005-0000-0000-0000DD080000}"/>
    <cellStyle name="_사본 - 수정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5155" xr:uid="{00000000-0005-0000-0000-0000DE080000}"/>
    <cellStyle name="_사본 - 수정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5156" xr:uid="{00000000-0005-0000-0000-0000DF080000}"/>
    <cellStyle name="_사본 - 수정_댐직하류 하천정비(환경)사업 기본계획 및 실시설계용역-수공용_용담댐직하류 하천정비공사 설계예산서(남원작성)-_용담댐하류하천환경정비사업설계예산서(건희)_심사내역서" xfId="5157" xr:uid="{00000000-0005-0000-0000-0000E0080000}"/>
    <cellStyle name="_사본 - 수정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495" xr:uid="{00000000-0005-0000-0000-0000E1080000}"/>
    <cellStyle name="_사본 - 수정_댐직하류 하천정비(환경)사업 기본계획 및 실시설계용역-수공용_용담댐직하류 하천정비공사 설계예산서(남원작성)-_용담댐하류하천환경정비사업설계예산서(건희)_욱수천 하천재해예방사업 내역서" xfId="5158" xr:uid="{00000000-0005-0000-0000-0000E2080000}"/>
    <cellStyle name="_사본 - 수정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5159" xr:uid="{00000000-0005-0000-0000-0000E3080000}"/>
    <cellStyle name="_사본 - 수정_댐직하류 하천정비(환경)사업 기본계획 및 실시설계용역-수공용_용담댐직하류 하천정비공사 설계예산서(남원작성)-_욱수천 하천재해예방사업 내역서" xfId="5160" xr:uid="{00000000-0005-0000-0000-0000E4080000}"/>
    <cellStyle name="_사본 - 수정_댐직하류 하천정비(환경)사업 기본계획 및 실시설계용역-수공용_용담댐직하류 하천정비공사 설계예산서(남원작성)-_욱수천 하천재해예방사업 내역서_002 욱수천정비공사실시설계 내역서_090113" xfId="5161" xr:uid="{00000000-0005-0000-0000-0000E5080000}"/>
    <cellStyle name="_사본 - 수정_댐직하류 하천정비(환경)사업 기본계획 및 실시설계용역-수공용_용담댐하류하천환경정비사업설계예산서(건희)" xfId="5162" xr:uid="{00000000-0005-0000-0000-0000E6080000}"/>
    <cellStyle name="_사본 - 수정_댐직하류 하천정비(환경)사업 기본계획 및 실시설계용역-수공용_용담댐하류하천환경정비사업설계예산서(건희)_1) 신천금호강 종합개발 기본설계" xfId="5163" xr:uid="{00000000-0005-0000-0000-0000E7080000}"/>
    <cellStyle name="_사본 - 수정_댐직하류 하천정비(환경)사업 기본계획 및 실시설계용역-수공용_용담댐하류하천환경정비사업설계예산서(건희)_2) 신천금호강 종합개발 동영상제작(변경최종)" xfId="5164" xr:uid="{00000000-0005-0000-0000-0000E8080000}"/>
    <cellStyle name="_사본 - 수정_댐직하류 하천정비(환경)사업 기본계획 및 실시설계용역-수공용_용담댐하류하천환경정비사업설계예산서(건희)_3) 신천금호강 종합개발 산책로 실시설계(변경최종)" xfId="5165" xr:uid="{00000000-0005-0000-0000-0000E9080000}"/>
    <cellStyle name="_사본 - 수정_댐직하류 하천정비(환경)사업 기본계획 및 실시설계용역-수공용_용담댐하류하천환경정비사업설계예산서(건희)_설계내역서(신천-금호강)" xfId="5166" xr:uid="{00000000-0005-0000-0000-0000EA080000}"/>
    <cellStyle name="_사본 - 수정_댐직하류 하천정비(환경)사업 기본계획 및 실시설계용역-수공용_용담댐하류하천환경정비사업설계예산서(건희)_설계내역서(신천-금호강)_욱수천 하천재해예방사업 내역서" xfId="5167" xr:uid="{00000000-0005-0000-0000-0000EB080000}"/>
    <cellStyle name="_사본 - 수정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5168" xr:uid="{00000000-0005-0000-0000-0000EC080000}"/>
    <cellStyle name="_사본 - 수정_댐직하류 하천정비(환경)사업 기본계획 및 실시설계용역-수공용_용담댐하류하천환경정비사업설계예산서(건희)_설계내역서(전체)" xfId="5169" xr:uid="{00000000-0005-0000-0000-0000ED080000}"/>
    <cellStyle name="_사본 - 수정_댐직하류 하천정비(환경)사업 기본계획 및 실시설계용역-수공용_용담댐하류하천환경정비사업설계예산서(건희)_설계내역서(전체)_욱수천 하천재해예방사업 내역서" xfId="5170" xr:uid="{00000000-0005-0000-0000-0000EE080000}"/>
    <cellStyle name="_사본 - 수정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5171" xr:uid="{00000000-0005-0000-0000-0000EF080000}"/>
    <cellStyle name="_사본 - 수정_댐직하류 하천정비(환경)사업 기본계획 및 실시설계용역-수공용_용담댐하류하천환경정비사업설계예산서(건희)_신천금호강 종합개발 기본설계  내역서(수정분)" xfId="5172" xr:uid="{00000000-0005-0000-0000-0000F0080000}"/>
    <cellStyle name="_사본 - 수정_댐직하류 하천정비(환경)사업 기본계획 및 실시설계용역-수공용_용담댐하류하천환경정비사업설계예산서(건희)_신천금호강내역서(수정-보오링,사전재해및환경성제외,측량연장조정9(1).95억0726)" xfId="5173" xr:uid="{00000000-0005-0000-0000-0000F1080000}"/>
    <cellStyle name="_사본 - 수정_댐직하류 하천정비(환경)사업 기본계획 및 실시설계용역-수공용_용담댐하류하천환경정비사업설계예산서(건희)_심사내역서" xfId="5174" xr:uid="{00000000-0005-0000-0000-0000F2080000}"/>
    <cellStyle name="_사본 - 수정_댐직하류 하천정비(환경)사업 기본계획 및 실시설계용역-수공용_용담댐하류하천환경정비사업설계예산서(건희)_용담댐하류하천환경정비사업설계예산서(건희)" xfId="7496" xr:uid="{00000000-0005-0000-0000-0000F3080000}"/>
    <cellStyle name="_사본 - 수정_댐직하류 하천정비(환경)사업 기본계획 및 실시설계용역-수공용_용담댐하류하천환경정비사업설계예산서(건희)_욱수천 하천재해예방사업 내역서" xfId="5175" xr:uid="{00000000-0005-0000-0000-0000F4080000}"/>
    <cellStyle name="_사본 - 수정_댐직하류 하천정비(환경)사업 기본계획 및 실시설계용역-수공용_용담댐하류하천환경정비사업설계예산서(건희)_욱수천 하천재해예방사업 내역서_002 욱수천정비공사실시설계 내역서_090113" xfId="5176" xr:uid="{00000000-0005-0000-0000-0000F5080000}"/>
    <cellStyle name="_사본 - 수정_댐직하류 하천정비(환경)사업 기본계획 및 실시설계용역-수공용_욱수천 하천재해예방사업 내역서" xfId="5177" xr:uid="{00000000-0005-0000-0000-0000F6080000}"/>
    <cellStyle name="_사본 - 수정_댐직하류 하천정비(환경)사업 기본계획 및 실시설계용역-수공용_욱수천 하천재해예방사업 내역서_002 욱수천정비공사실시설계 내역서_090113" xfId="5178" xr:uid="{00000000-0005-0000-0000-0000F7080000}"/>
    <cellStyle name="_사본 - 수정_용담댐하류하천환경정비사업설계예산서(건희)" xfId="5179" xr:uid="{00000000-0005-0000-0000-0000F8080000}"/>
    <cellStyle name="_사본 - 수정_용담댐하류하천환경정비사업설계예산서(건희)_1) 신천금호강 종합개발 기본설계" xfId="5180" xr:uid="{00000000-0005-0000-0000-0000F9080000}"/>
    <cellStyle name="_사본 - 수정_용담댐하류하천환경정비사업설계예산서(건희)_2) 신천금호강 종합개발 동영상제작(변경최종)" xfId="5181" xr:uid="{00000000-0005-0000-0000-0000FA080000}"/>
    <cellStyle name="_사본 - 수정_용담댐하류하천환경정비사업설계예산서(건희)_3) 신천금호강 종합개발 산책로 실시설계(변경최종)" xfId="5182" xr:uid="{00000000-0005-0000-0000-0000FB080000}"/>
    <cellStyle name="_사본 - 수정_용담댐하류하천환경정비사업설계예산서(건희)_설계내역서(신천-금호강)" xfId="5183" xr:uid="{00000000-0005-0000-0000-0000FC080000}"/>
    <cellStyle name="_사본 - 수정_용담댐하류하천환경정비사업설계예산서(건희)_설계내역서(신천-금호강)_욱수천 하천재해예방사업 내역서" xfId="5184" xr:uid="{00000000-0005-0000-0000-0000FD080000}"/>
    <cellStyle name="_사본 - 수정_용담댐하류하천환경정비사업설계예산서(건희)_설계내역서(신천-금호강)_욱수천 하천재해예방사업 내역서_002 욱수천정비공사실시설계 내역서_090113" xfId="5185" xr:uid="{00000000-0005-0000-0000-0000FE080000}"/>
    <cellStyle name="_사본 - 수정_용담댐하류하천환경정비사업설계예산서(건희)_설계내역서(전체)" xfId="5186" xr:uid="{00000000-0005-0000-0000-0000FF080000}"/>
    <cellStyle name="_사본 - 수정_용담댐하류하천환경정비사업설계예산서(건희)_설계내역서(전체)_욱수천 하천재해예방사업 내역서" xfId="5187" xr:uid="{00000000-0005-0000-0000-000000090000}"/>
    <cellStyle name="_사본 - 수정_용담댐하류하천환경정비사업설계예산서(건희)_설계내역서(전체)_욱수천 하천재해예방사업 내역서_002 욱수천정비공사실시설계 내역서_090113" xfId="5188" xr:uid="{00000000-0005-0000-0000-000001090000}"/>
    <cellStyle name="_사본 - 수정_용담댐하류하천환경정비사업설계예산서(건희)_신천금호강 종합개발 기본설계  내역서(수정분)" xfId="5189" xr:uid="{00000000-0005-0000-0000-000002090000}"/>
    <cellStyle name="_사본 - 수정_용담댐하류하천환경정비사업설계예산서(건희)_신천금호강내역서(수정-보오링,사전재해및환경성제외,측량연장조정9(1).95억0726)" xfId="5190" xr:uid="{00000000-0005-0000-0000-000003090000}"/>
    <cellStyle name="_사본 - 수정_용담댐하류하천환경정비사업설계예산서(건희)_심사내역서" xfId="5191" xr:uid="{00000000-0005-0000-0000-000004090000}"/>
    <cellStyle name="_사본 - 수정_용담댐하류하천환경정비사업설계예산서(건희)_용담댐하류하천환경정비사업설계예산서(건희)" xfId="7497" xr:uid="{00000000-0005-0000-0000-000005090000}"/>
    <cellStyle name="_사본 - 수정_용담댐하류하천환경정비사업설계예산서(건희)_욱수천 하천재해예방사업 내역서" xfId="5192" xr:uid="{00000000-0005-0000-0000-000006090000}"/>
    <cellStyle name="_사본 - 수정_용담댐하류하천환경정비사업설계예산서(건희)_욱수천 하천재해예방사업 내역서_002 욱수천정비공사실시설계 내역서_090113" xfId="5193" xr:uid="{00000000-0005-0000-0000-000007090000}"/>
    <cellStyle name="_사본 - 수정_욱수천 하천재해예방사업 내역서" xfId="5194" xr:uid="{00000000-0005-0000-0000-000008090000}"/>
    <cellStyle name="_사본 - 수정_욱수천 하천재해예방사업 내역서_002 욱수천정비공사실시설계 내역서_090113" xfId="5195" xr:uid="{00000000-0005-0000-0000-000009090000}"/>
    <cellStyle name="_사본 - 중앙김병교설계내역서" xfId="5196" xr:uid="{00000000-0005-0000-0000-00000A090000}"/>
    <cellStyle name="_사업대가기준(최신자료)" xfId="5197" xr:uid="{00000000-0005-0000-0000-00000B090000}"/>
    <cellStyle name="_사업대가기준(최신자료) 2" xfId="7498" xr:uid="{00000000-0005-0000-0000-00000C090000}"/>
    <cellStyle name="_사유서" xfId="5198" xr:uid="{00000000-0005-0000-0000-00000D090000}"/>
    <cellStyle name="_사유서_내역서" xfId="5199" xr:uid="{00000000-0005-0000-0000-00000E090000}"/>
    <cellStyle name="_사전재해영향검토용역내역서(은행매화공원)" xfId="1376" xr:uid="{00000000-0005-0000-0000-00000F090000}"/>
    <cellStyle name="_사전재해영향성검토(1억5천)2" xfId="5200" xr:uid="{00000000-0005-0000-0000-000010090000}"/>
    <cellStyle name="_사전재해영향성검토내역(은행매화-근린공원)" xfId="5201" xr:uid="{00000000-0005-0000-0000-000011090000}"/>
    <cellStyle name="_사진대지" xfId="5202" xr:uid="{00000000-0005-0000-0000-000012090000}"/>
    <cellStyle name="_사진대지_B-1,B-1-1노선변경실정보고" xfId="5203" xr:uid="{00000000-0005-0000-0000-000013090000}"/>
    <cellStyle name="_사천시 2차사업 설계내역서_최종(2004.6.10)" xfId="5204" xr:uid="{00000000-0005-0000-0000-000014090000}"/>
    <cellStyle name="_사천시 2차사업 설계내역서_최종(2004.6.10) 2" xfId="7499" xr:uid="{00000000-0005-0000-0000-000015090000}"/>
    <cellStyle name="_사천시범용도입설계내역서(범아송부)" xfId="5205" xr:uid="{00000000-0005-0000-0000-000016090000}"/>
    <cellStyle name="_사천시범용도입설계내역서(범아송부) 2" xfId="7500" xr:uid="{00000000-0005-0000-0000-000017090000}"/>
    <cellStyle name="_산근1" xfId="5206" xr:uid="{00000000-0005-0000-0000-000018090000}"/>
    <cellStyle name="_산근4" xfId="5207" xr:uid="{00000000-0005-0000-0000-000019090000}"/>
    <cellStyle name="_산근5" xfId="5208" xr:uid="{00000000-0005-0000-0000-00001A090000}"/>
    <cellStyle name="_산근7" xfId="5209" xr:uid="{00000000-0005-0000-0000-00001B090000}"/>
    <cellStyle name="_산업단지(33만평)기본및실시설계내역서" xfId="1377" xr:uid="{00000000-0005-0000-0000-00001C090000}"/>
    <cellStyle name="_산업단지(33만평)지구지정(개발계획) 내역서" xfId="1378" xr:uid="{00000000-0005-0000-0000-00001D090000}"/>
    <cellStyle name="_산업단지(40만평)내역서" xfId="1379" xr:uid="{00000000-0005-0000-0000-00001E090000}"/>
    <cellStyle name="_산업단지(40만평)지구지정(개발계획) 내역서" xfId="1380" xr:uid="{00000000-0005-0000-0000-00001F090000}"/>
    <cellStyle name="_삼남" xfId="5210" xr:uid="{00000000-0005-0000-0000-000020090000}"/>
    <cellStyle name="_삼남_2차변경단가산출근거" xfId="5211" xr:uid="{00000000-0005-0000-0000-000021090000}"/>
    <cellStyle name="_삼남_2차변경단가산출근거_3차변경단가산출근거" xfId="5212" xr:uid="{00000000-0005-0000-0000-000022090000}"/>
    <cellStyle name="_삼남_2차변경단가산출근거_3차변경단가산출근거_문화의 거리 농로포장(김병국2차)" xfId="5213" xr:uid="{00000000-0005-0000-0000-000023090000}"/>
    <cellStyle name="_삼남_2차변경단가산출근거_3차변경단가산출근거_문화의 거리 농로포장(김병국2차)_문화의 거리 농로포장(김병국2차)" xfId="5214" xr:uid="{00000000-0005-0000-0000-000024090000}"/>
    <cellStyle name="_삼남_2차변경단가산출근거_문화의 거리 농로포장(김병국2차)" xfId="5215" xr:uid="{00000000-0005-0000-0000-000025090000}"/>
    <cellStyle name="_삼남_2차변경단가산출근거_문화의 거리 농로포장(김병국2차)_문화의 거리 농로포장(김병국2차)" xfId="5216" xr:uid="{00000000-0005-0000-0000-000026090000}"/>
    <cellStyle name="_삼남_문화의 거리 농로포장(김병국2차)" xfId="5217" xr:uid="{00000000-0005-0000-0000-000027090000}"/>
    <cellStyle name="_삼남_문화의 거리 농로포장(김병국2차)_문화의 거리 농로포장(김병국2차)" xfId="5218" xr:uid="{00000000-0005-0000-0000-000028090000}"/>
    <cellStyle name="_삼남_외국인투자지역" xfId="5219" xr:uid="{00000000-0005-0000-0000-000029090000}"/>
    <cellStyle name="_삼남_외국인투자지역_3차변경단가산출근거" xfId="5220" xr:uid="{00000000-0005-0000-0000-00002A090000}"/>
    <cellStyle name="_삼남_외국인투자지역_3차변경단가산출근거_문화의 거리 농로포장(김병국2차)" xfId="5221" xr:uid="{00000000-0005-0000-0000-00002B090000}"/>
    <cellStyle name="_삼남_외국인투자지역_3차변경단가산출근거_문화의 거리 농로포장(김병국2차)_문화의 거리 농로포장(김병국2차)" xfId="5222" xr:uid="{00000000-0005-0000-0000-00002C090000}"/>
    <cellStyle name="_삼남_외국인투자지역_문화의 거리 농로포장(김병국2차)" xfId="5223" xr:uid="{00000000-0005-0000-0000-00002D090000}"/>
    <cellStyle name="_삼남_외국인투자지역_문화의 거리 농로포장(김병국2차)_문화의 거리 농로포장(김병국2차)" xfId="5224" xr:uid="{00000000-0005-0000-0000-00002E090000}"/>
    <cellStyle name="_상수도(대홍)" xfId="697" xr:uid="{00000000-0005-0000-0000-00002F090000}"/>
    <cellStyle name="_상수도(대홍)_12월 자금청구-창원반송" xfId="698" xr:uid="{00000000-0005-0000-0000-000030090000}"/>
    <cellStyle name="_상수도(대홍)_Book1" xfId="699" xr:uid="{00000000-0005-0000-0000-000031090000}"/>
    <cellStyle name="_상수도(대홍)_경기북부2차도급내역(분류체계)" xfId="700" xr:uid="{00000000-0005-0000-0000-000032090000}"/>
    <cellStyle name="_상수도(대홍)_경기북부2차도급내역(분류체계)_12월 자금청구-창원반송" xfId="701" xr:uid="{00000000-0005-0000-0000-000033090000}"/>
    <cellStyle name="_상수도(대홍)_경기북부2차도급내역(분류체계)_Book1" xfId="702" xr:uid="{00000000-0005-0000-0000-000034090000}"/>
    <cellStyle name="_상수도(대홍)_도급내역서(1차계약분)" xfId="703" xr:uid="{00000000-0005-0000-0000-000035090000}"/>
    <cellStyle name="_상수도(대홍)_도급내역서(1차계약분)_12월 자금청구-창원반송" xfId="704" xr:uid="{00000000-0005-0000-0000-000036090000}"/>
    <cellStyle name="_상수도(대홍)_도급내역서(1차계약분)_Book1" xfId="705" xr:uid="{00000000-0005-0000-0000-000037090000}"/>
    <cellStyle name="_상주GIS기본계획수립설계내역서(총괄)" xfId="5225" xr:uid="{00000000-0005-0000-0000-000038090000}"/>
    <cellStyle name="_상하수도 범용도입 설계내역서2.0" xfId="5226" xr:uid="{00000000-0005-0000-0000-000039090000}"/>
    <cellStyle name="_상하수도 범용도입 설계내역서2.0 2" xfId="7501" xr:uid="{00000000-0005-0000-0000-00003A090000}"/>
    <cellStyle name="_상하수탐사내역서" xfId="5227" xr:uid="{00000000-0005-0000-0000-00003B090000}"/>
    <cellStyle name="_상하수탐사내역서 2" xfId="7502" xr:uid="{00000000-0005-0000-0000-00003C090000}"/>
    <cellStyle name="_새주소웹서버" xfId="5228" xr:uid="{00000000-0005-0000-0000-00003D090000}"/>
    <cellStyle name="_새주소웹서버 2" xfId="7503" xr:uid="{00000000-0005-0000-0000-00003E090000}"/>
    <cellStyle name="_서학내역서(준공내역서)" xfId="5229" xr:uid="{00000000-0005-0000-0000-00003F090000}"/>
    <cellStyle name="_서학내역서(준공내역서) 2" xfId="7504" xr:uid="{00000000-0005-0000-0000-000040090000}"/>
    <cellStyle name="_석성정수장 리모델링 사업(건기토;최종)" xfId="706" xr:uid="{00000000-0005-0000-0000-000041090000}"/>
    <cellStyle name="_선정(1)" xfId="1381" xr:uid="{00000000-0005-0000-0000-000042090000}"/>
    <cellStyle name="_선정(1)_간이배수펌프장설치에 따른 타당성용역내역" xfId="1382" xr:uid="{00000000-0005-0000-0000-000043090000}"/>
    <cellStyle name="_선정(1)_선정안(삼산)" xfId="1383" xr:uid="{00000000-0005-0000-0000-000044090000}"/>
    <cellStyle name="_선정(1)_선정안(삼산)_간이배수펌프장설치에 따른 타당성용역내역" xfId="1384" xr:uid="{00000000-0005-0000-0000-000045090000}"/>
    <cellStyle name="_선정(1)_추풍령" xfId="1385" xr:uid="{00000000-0005-0000-0000-000046090000}"/>
    <cellStyle name="_선정(1)_추풍령_간이배수펌프장설치에 따른 타당성용역내역" xfId="1386" xr:uid="{00000000-0005-0000-0000-000047090000}"/>
    <cellStyle name="_선정(1)_추풍령-1" xfId="1387" xr:uid="{00000000-0005-0000-0000-000048090000}"/>
    <cellStyle name="_선정(1)_추풍령-1_간이배수펌프장설치에 따른 타당성용역내역" xfId="1388" xr:uid="{00000000-0005-0000-0000-000049090000}"/>
    <cellStyle name="_선정(2)" xfId="1389" xr:uid="{00000000-0005-0000-0000-00004A090000}"/>
    <cellStyle name="_선정(2)_간이배수펌프장설치에 따른 타당성용역내역" xfId="1390" xr:uid="{00000000-0005-0000-0000-00004B090000}"/>
    <cellStyle name="_선정(2)_선정안(삼산)" xfId="1391" xr:uid="{00000000-0005-0000-0000-00004C090000}"/>
    <cellStyle name="_선정(2)_선정안(삼산)_간이배수펌프장설치에 따른 타당성용역내역" xfId="1392" xr:uid="{00000000-0005-0000-0000-00004D090000}"/>
    <cellStyle name="_선정(2)_추풍령" xfId="1393" xr:uid="{00000000-0005-0000-0000-00004E090000}"/>
    <cellStyle name="_선정(2)_추풍령_간이배수펌프장설치에 따른 타당성용역내역" xfId="1394" xr:uid="{00000000-0005-0000-0000-00004F090000}"/>
    <cellStyle name="_선정(2)_추풍령-1" xfId="1395" xr:uid="{00000000-0005-0000-0000-000050090000}"/>
    <cellStyle name="_선정(2)_추풍령-1_간이배수펌프장설치에 따른 타당성용역내역" xfId="1396" xr:uid="{00000000-0005-0000-0000-000051090000}"/>
    <cellStyle name="_선정(3)" xfId="1397" xr:uid="{00000000-0005-0000-0000-000052090000}"/>
    <cellStyle name="_선정(3)_간이배수펌프장설치에 따른 타당성용역내역" xfId="1398" xr:uid="{00000000-0005-0000-0000-000053090000}"/>
    <cellStyle name="_선정(3)_선정안(삼산)" xfId="1399" xr:uid="{00000000-0005-0000-0000-000054090000}"/>
    <cellStyle name="_선정(3)_선정안(삼산)_간이배수펌프장설치에 따른 타당성용역내역" xfId="1400" xr:uid="{00000000-0005-0000-0000-000055090000}"/>
    <cellStyle name="_선정(3)_추풍령" xfId="1401" xr:uid="{00000000-0005-0000-0000-000056090000}"/>
    <cellStyle name="_선정(3)_추풍령_간이배수펌프장설치에 따른 타당성용역내역" xfId="1402" xr:uid="{00000000-0005-0000-0000-000057090000}"/>
    <cellStyle name="_선정(3)_추풍령-1" xfId="1403" xr:uid="{00000000-0005-0000-0000-000058090000}"/>
    <cellStyle name="_선정(3)_추풍령-1_간이배수펌프장설치에 따른 타당성용역내역" xfId="1404" xr:uid="{00000000-0005-0000-0000-000059090000}"/>
    <cellStyle name="_선정(4)" xfId="1405" xr:uid="{00000000-0005-0000-0000-00005A090000}"/>
    <cellStyle name="_선정(4)_간이배수펌프장설치에 따른 타당성용역내역" xfId="1406" xr:uid="{00000000-0005-0000-0000-00005B090000}"/>
    <cellStyle name="_선정(4)_선정안(삼산)" xfId="1407" xr:uid="{00000000-0005-0000-0000-00005C090000}"/>
    <cellStyle name="_선정(4)_선정안(삼산)_간이배수펌프장설치에 따른 타당성용역내역" xfId="1408" xr:uid="{00000000-0005-0000-0000-00005D090000}"/>
    <cellStyle name="_선정(4)_추풍령" xfId="1409" xr:uid="{00000000-0005-0000-0000-00005E090000}"/>
    <cellStyle name="_선정(4)_추풍령_간이배수펌프장설치에 따른 타당성용역내역" xfId="1410" xr:uid="{00000000-0005-0000-0000-00005F090000}"/>
    <cellStyle name="_선정(4)_추풍령-1" xfId="1411" xr:uid="{00000000-0005-0000-0000-000060090000}"/>
    <cellStyle name="_선정(4)_추풍령-1_간이배수펌프장설치에 따른 타당성용역내역" xfId="1412" xr:uid="{00000000-0005-0000-0000-000061090000}"/>
    <cellStyle name="_선정(5)" xfId="1413" xr:uid="{00000000-0005-0000-0000-000062090000}"/>
    <cellStyle name="_선정(5)_간이배수펌프장설치에 따른 타당성용역내역" xfId="1414" xr:uid="{00000000-0005-0000-0000-000063090000}"/>
    <cellStyle name="_선정(5)_선정안(삼산)" xfId="1415" xr:uid="{00000000-0005-0000-0000-000064090000}"/>
    <cellStyle name="_선정(5)_선정안(삼산)_간이배수펌프장설치에 따른 타당성용역내역" xfId="1416" xr:uid="{00000000-0005-0000-0000-000065090000}"/>
    <cellStyle name="_선정(5)_추풍령" xfId="1417" xr:uid="{00000000-0005-0000-0000-000066090000}"/>
    <cellStyle name="_선정(5)_추풍령_간이배수펌프장설치에 따른 타당성용역내역" xfId="1418" xr:uid="{00000000-0005-0000-0000-000067090000}"/>
    <cellStyle name="_선정(5)_추풍령-1" xfId="1419" xr:uid="{00000000-0005-0000-0000-000068090000}"/>
    <cellStyle name="_선정(5)_추풍령-1_간이배수펌프장설치에 따른 타당성용역내역" xfId="1420" xr:uid="{00000000-0005-0000-0000-000069090000}"/>
    <cellStyle name="_설계내역서(계약용)" xfId="5230" xr:uid="{00000000-0005-0000-0000-00006A090000}"/>
    <cellStyle name="_설계내역서(공시지가)" xfId="5231" xr:uid="{00000000-0005-0000-0000-00006B090000}"/>
    <cellStyle name="_설계내역서(공시지가) 2" xfId="7505" xr:uid="{00000000-0005-0000-0000-00006C090000}"/>
    <cellStyle name="_설계내역서(완료)" xfId="5232" xr:uid="{00000000-0005-0000-0000-00006D090000}"/>
    <cellStyle name="_설계내역서(완료) 2" xfId="7506" xr:uid="{00000000-0005-0000-0000-00006E090000}"/>
    <cellStyle name="_설계변경(2004.05)최종" xfId="5233" xr:uid="{00000000-0005-0000-0000-00006F090000}"/>
    <cellStyle name="_설계변경(2004.05)최종 2" xfId="7507" xr:uid="{00000000-0005-0000-0000-000070090000}"/>
    <cellStyle name="_설계변경(2004.06)" xfId="5234" xr:uid="{00000000-0005-0000-0000-000071090000}"/>
    <cellStyle name="_설계변경(2004.06) 2" xfId="7508" xr:uid="{00000000-0005-0000-0000-000072090000}"/>
    <cellStyle name="_설계변경(정산용)" xfId="5235" xr:uid="{00000000-0005-0000-0000-000073090000}"/>
    <cellStyle name="_설계변경(정산용) 2" xfId="7509" xr:uid="{00000000-0005-0000-0000-000074090000}"/>
    <cellStyle name="_설계변경(최종安)" xfId="5236" xr:uid="{00000000-0005-0000-0000-000075090000}"/>
    <cellStyle name="_설계변경(최종安) 2" xfId="7510" xr:uid="{00000000-0005-0000-0000-000076090000}"/>
    <cellStyle name="_설계서" xfId="5237" xr:uid="{00000000-0005-0000-0000-000077090000}"/>
    <cellStyle name="_설계서 2" xfId="7511" xr:uid="{00000000-0005-0000-0000-000078090000}"/>
    <cellStyle name="_설계서(2004년 sample)" xfId="5238" xr:uid="{00000000-0005-0000-0000-000079090000}"/>
    <cellStyle name="_설계서(2004년 sample) 2" xfId="7512" xr:uid="{00000000-0005-0000-0000-00007A090000}"/>
    <cellStyle name="_설계서(남차율리)" xfId="5239" xr:uid="{00000000-0005-0000-0000-00007B090000}"/>
    <cellStyle name="_설계서(노송천)" xfId="5240" xr:uid="{00000000-0005-0000-0000-00007C090000}"/>
    <cellStyle name="_설계서(노송천) 2" xfId="7513" xr:uid="{00000000-0005-0000-0000-00007D090000}"/>
    <cellStyle name="_설계서_GIS_1최종(속초시_ver2.1)" xfId="5241" xr:uid="{00000000-0005-0000-0000-00007E090000}"/>
    <cellStyle name="_설계서_GIS_1최종(속초시_ver2.1) 2" xfId="7514" xr:uid="{00000000-0005-0000-0000-00007F090000}"/>
    <cellStyle name="_설계서_GIS_1최종(속초시_ver3.3)_1" xfId="5242" xr:uid="{00000000-0005-0000-0000-000080090000}"/>
    <cellStyle name="_설계서_GIS_1최종(속초시_ver3.3)_1 2" xfId="7515" xr:uid="{00000000-0005-0000-0000-000081090000}"/>
    <cellStyle name="_설계서00_연기" xfId="5243" xr:uid="{00000000-0005-0000-0000-000082090000}"/>
    <cellStyle name="_설계서00_연기 2" xfId="7516" xr:uid="{00000000-0005-0000-0000-000083090000}"/>
    <cellStyle name="_설계서-김포시청(백미진)" xfId="5244" xr:uid="{00000000-0005-0000-0000-000084090000}"/>
    <cellStyle name="_설계서-김포시청(백미진) 2" xfId="7517" xr:uid="{00000000-0005-0000-0000-000085090000}"/>
    <cellStyle name="_설계예산서" xfId="5245" xr:uid="{00000000-0005-0000-0000-000086090000}"/>
    <cellStyle name="_설계예산서 2" xfId="7518" xr:uid="{00000000-0005-0000-0000-000087090000}"/>
    <cellStyle name="_설계예산서(분야별갑지)" xfId="2022" xr:uid="{00000000-0005-0000-0000-000088090000}"/>
    <cellStyle name="_성남시 3D설계" xfId="6873" xr:uid="{00000000-0005-0000-0000-000089090000}"/>
    <cellStyle name="_성남시 3D설계 2" xfId="7519" xr:uid="{00000000-0005-0000-0000-00008A090000}"/>
    <cellStyle name="_성남시SW개발내역서" xfId="6874" xr:uid="{00000000-0005-0000-0000-00008B090000}"/>
    <cellStyle name="_성남시SW개발내역서 2" xfId="7520" xr:uid="{00000000-0005-0000-0000-00008C090000}"/>
    <cellStyle name="_성남시SW개발내역서(V1(1).1)" xfId="6875" xr:uid="{00000000-0005-0000-0000-00008D090000}"/>
    <cellStyle name="_성남시SW개발내역서(V1(1).1) 2" xfId="7521" xr:uid="{00000000-0005-0000-0000-00008E090000}"/>
    <cellStyle name="_성남시SW개발내역서_1215" xfId="6876" xr:uid="{00000000-0005-0000-0000-00008F090000}"/>
    <cellStyle name="_성남시SW개발내역서_1215 2" xfId="7522" xr:uid="{00000000-0005-0000-0000-000090090000}"/>
    <cellStyle name="_수공표지" xfId="707" xr:uid="{00000000-0005-0000-0000-000091090000}"/>
    <cellStyle name="_수도사업장총괄(원가)" xfId="708" xr:uid="{00000000-0005-0000-0000-000092090000}"/>
    <cellStyle name="_수량(삼가리도로부)" xfId="5246" xr:uid="{00000000-0005-0000-0000-000093090000}"/>
    <cellStyle name="_수량산출서(2003.4.1)" xfId="709" xr:uid="{00000000-0005-0000-0000-000094090000}"/>
    <cellStyle name="_수량산출서(죽전-대리석)" xfId="5247" xr:uid="{00000000-0005-0000-0000-000095090000}"/>
    <cellStyle name="_수량제목" xfId="5248" xr:uid="{00000000-0005-0000-0000-000096090000}"/>
    <cellStyle name="_수량제목_내역서" xfId="5249" xr:uid="{00000000-0005-0000-0000-000097090000}"/>
    <cellStyle name="_수정(12.2)군관리계획_적성내역서" xfId="5250" xr:uid="{00000000-0005-0000-0000-000098090000}"/>
    <cellStyle name="_수치표고자료" xfId="5251" xr:uid="{00000000-0005-0000-0000-000099090000}"/>
    <cellStyle name="_수치표고자료 2" xfId="7523" xr:uid="{00000000-0005-0000-0000-00009A090000}"/>
    <cellStyle name="_순성토운반" xfId="2023" xr:uid="{00000000-0005-0000-0000-00009B090000}"/>
    <cellStyle name="_순성토운반_병천하수 견적060412" xfId="2024" xr:uid="{00000000-0005-0000-0000-00009C090000}"/>
    <cellStyle name="_순성토운반_사본 - 기성내역서(대경엔텍)" xfId="2025" xr:uid="{00000000-0005-0000-0000-00009D090000}"/>
    <cellStyle name="_순성토운반_사본 - 기성내역서(대경엔텍)_병천하수 견적060412" xfId="2026" xr:uid="{00000000-0005-0000-0000-00009E090000}"/>
    <cellStyle name="_순성토운반_사본 - 기성내역서(대경엔텍)_산북하수견적서" xfId="2027" xr:uid="{00000000-0005-0000-0000-00009F090000}"/>
    <cellStyle name="_순성토운반_사본 - 기성내역서(대경엔텍)_통일하수내역서" xfId="2028" xr:uid="{00000000-0005-0000-0000-0000A0090000}"/>
    <cellStyle name="_순성토운반_산북하수견적서" xfId="2029" xr:uid="{00000000-0005-0000-0000-0000A1090000}"/>
    <cellStyle name="_순성토운반_제1회설계변경내역서(11.15~)update" xfId="2030" xr:uid="{00000000-0005-0000-0000-0000A2090000}"/>
    <cellStyle name="_순성토운반_제2회기성내역서(1차+2차공사)" xfId="2031" xr:uid="{00000000-0005-0000-0000-0000A3090000}"/>
    <cellStyle name="_순성토운반_제2회기성내역서(1차+2차공사)_병천하수 견적060412" xfId="2032" xr:uid="{00000000-0005-0000-0000-0000A4090000}"/>
    <cellStyle name="_순성토운반_제2회기성내역서(1차+2차공사)_산북하수견적서" xfId="2033" xr:uid="{00000000-0005-0000-0000-0000A5090000}"/>
    <cellStyle name="_순성토운반_제2회기성내역서(1차+2차공사)_제7회기성내역서(1차+2차공사)~ing" xfId="2034" xr:uid="{00000000-0005-0000-0000-0000A6090000}"/>
    <cellStyle name="_순성토운반_제2회기성내역서(1차+2차공사)_제7회기성내역서(1차+2차공사)~ing_병천하수 견적060412" xfId="2035" xr:uid="{00000000-0005-0000-0000-0000A7090000}"/>
    <cellStyle name="_순성토운반_제2회기성내역서(1차+2차공사)_제7회기성내역서(1차+2차공사)~ing_산북하수견적서" xfId="2036" xr:uid="{00000000-0005-0000-0000-0000A8090000}"/>
    <cellStyle name="_순성토운반_제2회기성내역서(1차+2차공사)_제7회기성내역서(1차+2차공사)~ing_통일하수내역서" xfId="2037" xr:uid="{00000000-0005-0000-0000-0000A9090000}"/>
    <cellStyle name="_순성토운반_제2회기성내역서(1차+2차공사)_통일하수내역서" xfId="2038" xr:uid="{00000000-0005-0000-0000-0000AA090000}"/>
    <cellStyle name="_순성토운반_통일하수내역서" xfId="2039" xr:uid="{00000000-0005-0000-0000-0000AB090000}"/>
    <cellStyle name="_순창제2종지구단위계획변경" xfId="7524" xr:uid="{00000000-0005-0000-0000-0000AC090000}"/>
    <cellStyle name="_순창제2종지구단위계획변경-최종 재수정" xfId="7525" xr:uid="{00000000-0005-0000-0000-0000AD090000}"/>
    <cellStyle name="_시방서" xfId="710" xr:uid="{00000000-0005-0000-0000-0000AE090000}"/>
    <cellStyle name="_시방서 2" xfId="7526" xr:uid="{00000000-0005-0000-0000-0000AF090000}"/>
    <cellStyle name="_시방서_002 욱수천정비공사실시설계 내역서_090113" xfId="5252" xr:uid="{00000000-0005-0000-0000-0000B0090000}"/>
    <cellStyle name="_시방서_서울대 바이오테크 설계내역서" xfId="5253" xr:uid="{00000000-0005-0000-0000-0000B1090000}"/>
    <cellStyle name="_시방서_서울대 바이오테크 설계내역서 2" xfId="7527" xr:uid="{00000000-0005-0000-0000-0000B2090000}"/>
    <cellStyle name="_시방서_서울대 바이오테크 설계내역서(수정)" xfId="5254" xr:uid="{00000000-0005-0000-0000-0000B3090000}"/>
    <cellStyle name="_시방서_서울대 바이오테크 설계내역서(수정) 2" xfId="7528" xr:uid="{00000000-0005-0000-0000-0000B4090000}"/>
    <cellStyle name="_시설물관리시스템상세내역" xfId="5255" xr:uid="{00000000-0005-0000-0000-0000B5090000}"/>
    <cellStyle name="_시설물관리시스템상세내역 2" xfId="7529" xr:uid="{00000000-0005-0000-0000-0000B6090000}"/>
    <cellStyle name="_시스템" xfId="5256" xr:uid="{00000000-0005-0000-0000-0000B7090000}"/>
    <cellStyle name="_시스템 2" xfId="7530" xr:uid="{00000000-0005-0000-0000-0000B8090000}"/>
    <cellStyle name="_시스템개발산출양식_2003" xfId="5257" xr:uid="{00000000-0005-0000-0000-0000B9090000}"/>
    <cellStyle name="_시스템개발산출양식_2003 2" xfId="7531" xr:uid="{00000000-0005-0000-0000-0000BA090000}"/>
    <cellStyle name="_신언1공구수량산출" xfId="5258" xr:uid="{00000000-0005-0000-0000-0000BB090000}"/>
    <cellStyle name="_신천-금호강 설계내역서(항목조정전)" xfId="5259" xr:uid="{00000000-0005-0000-0000-0000BC090000}"/>
    <cellStyle name="_신천-금호강 설계내역서(항목조정전) 2" xfId="7532" xr:uid="{00000000-0005-0000-0000-0000BD090000}"/>
    <cellStyle name="_심사내역서(무안고라)" xfId="5260" xr:uid="{00000000-0005-0000-0000-0000BE090000}"/>
    <cellStyle name="_심사내역서(무안고라) 2" xfId="7533" xr:uid="{00000000-0005-0000-0000-0000BF090000}"/>
    <cellStyle name="_심사내역서1" xfId="5261" xr:uid="{00000000-0005-0000-0000-0000C0090000}"/>
    <cellStyle name="_심사내역서1 2" xfId="7534" xr:uid="{00000000-0005-0000-0000-0000C1090000}"/>
    <cellStyle name="_안동컨트리클럽-품셈기준" xfId="5262" xr:uid="{00000000-0005-0000-0000-0000C2090000}"/>
    <cellStyle name="_안동컨트리클럽-품셈기준 2" xfId="7535" xr:uid="{00000000-0005-0000-0000-0000C3090000}"/>
    <cellStyle name="_안동컨트리클럽-품셈기준(단계별수정)" xfId="5263" xr:uid="{00000000-0005-0000-0000-0000C4090000}"/>
    <cellStyle name="_안동투찰" xfId="2040" xr:uid="{00000000-0005-0000-0000-0000C5090000}"/>
    <cellStyle name="_안동투찰_병천하수 견적060412" xfId="2041" xr:uid="{00000000-0005-0000-0000-0000C6090000}"/>
    <cellStyle name="_안동투찰_사본 - 기성내역서(대경엔텍)" xfId="2042" xr:uid="{00000000-0005-0000-0000-0000C7090000}"/>
    <cellStyle name="_안동투찰_사본 - 기성내역서(대경엔텍)_병천하수 견적060412" xfId="2043" xr:uid="{00000000-0005-0000-0000-0000C8090000}"/>
    <cellStyle name="_안동투찰_사본 - 기성내역서(대경엔텍)_산북하수견적서" xfId="2044" xr:uid="{00000000-0005-0000-0000-0000C9090000}"/>
    <cellStyle name="_안동투찰_사본 - 기성내역서(대경엔텍)_통일하수내역서" xfId="2045" xr:uid="{00000000-0005-0000-0000-0000CA090000}"/>
    <cellStyle name="_안동투찰_산북하수견적서" xfId="2046" xr:uid="{00000000-0005-0000-0000-0000CB090000}"/>
    <cellStyle name="_안동투찰_제1회설계변경내역서(11.15~)update" xfId="2047" xr:uid="{00000000-0005-0000-0000-0000CC090000}"/>
    <cellStyle name="_안동투찰_제2회기성내역서(1차+2차공사)" xfId="2048" xr:uid="{00000000-0005-0000-0000-0000CD090000}"/>
    <cellStyle name="_안동투찰_제2회기성내역서(1차+2차공사)_병천하수 견적060412" xfId="2049" xr:uid="{00000000-0005-0000-0000-0000CE090000}"/>
    <cellStyle name="_안동투찰_제2회기성내역서(1차+2차공사)_산북하수견적서" xfId="2050" xr:uid="{00000000-0005-0000-0000-0000CF090000}"/>
    <cellStyle name="_안동투찰_제2회기성내역서(1차+2차공사)_제7회기성내역서(1차+2차공사)~ing" xfId="2051" xr:uid="{00000000-0005-0000-0000-0000D0090000}"/>
    <cellStyle name="_안동투찰_제2회기성내역서(1차+2차공사)_제7회기성내역서(1차+2차공사)~ing_병천하수 견적060412" xfId="2052" xr:uid="{00000000-0005-0000-0000-0000D1090000}"/>
    <cellStyle name="_안동투찰_제2회기성내역서(1차+2차공사)_제7회기성내역서(1차+2차공사)~ing_산북하수견적서" xfId="2053" xr:uid="{00000000-0005-0000-0000-0000D2090000}"/>
    <cellStyle name="_안동투찰_제2회기성내역서(1차+2차공사)_제7회기성내역서(1차+2차공사)~ing_통일하수내역서" xfId="2054" xr:uid="{00000000-0005-0000-0000-0000D3090000}"/>
    <cellStyle name="_안동투찰_제2회기성내역서(1차+2차공사)_통일하수내역서" xfId="2055" xr:uid="{00000000-0005-0000-0000-0000D4090000}"/>
    <cellStyle name="_안동투찰_통일하수내역서" xfId="2056" xr:uid="{00000000-0005-0000-0000-0000D5090000}"/>
    <cellStyle name="_안면도 지포지구-품셈기준" xfId="5264" xr:uid="{00000000-0005-0000-0000-0000D6090000}"/>
    <cellStyle name="_안면도 지포지구-품셈기준 2" xfId="7536" xr:uid="{00000000-0005-0000-0000-0000D7090000}"/>
    <cellStyle name="_안성시 GIS 총괄 설계내역서_1.0" xfId="5265" xr:uid="{00000000-0005-0000-0000-0000D8090000}"/>
    <cellStyle name="_안성시 GIS 총괄 설계내역서_1.0 2" xfId="7537" xr:uid="{00000000-0005-0000-0000-0000D9090000}"/>
    <cellStyle name="_앙성계통 능암리 관로이설공사" xfId="5266" xr:uid="{00000000-0005-0000-0000-0000DA090000}"/>
    <cellStyle name="_앙성계통 능암리 관로이설공사 2" xfId="7538" xr:uid="{00000000-0005-0000-0000-0000DB090000}"/>
    <cellStyle name="_앙성계통 능암리 관로이설공사(최종)" xfId="5267" xr:uid="{00000000-0005-0000-0000-0000DC090000}"/>
    <cellStyle name="_앙성계통 능암리 관로이설공사(최종) 2" xfId="7539" xr:uid="{00000000-0005-0000-0000-0000DD090000}"/>
    <cellStyle name="_앙성계통 능암리 관로이설공사(최종)_댐직하류 하천정비(환경)사업 기본계획 및 실시설계용역-수공용" xfId="5268" xr:uid="{00000000-0005-0000-0000-0000DE090000}"/>
    <cellStyle name="_앙성계통 능암리 관로이설공사(최종)_댐직하류 하천정비(환경)사업 기본계획 및 실시설계용역-수공용 2" xfId="7540" xr:uid="{00000000-0005-0000-0000-0000DF090000}"/>
    <cellStyle name="_앙성계통 능암리 관로이설공사(최종)_댐직하류 하천정비(환경)사업 기본계획 및 실시설계용역-수공용_용담댐직하류 하천정비공사 설계예산서(남원작성)-" xfId="5269" xr:uid="{00000000-0005-0000-0000-0000E0090000}"/>
    <cellStyle name="_앙성계통 능암리 관로이설공사(최종)_댐직하류 하천정비(환경)사업 기본계획 및 실시설계용역-수공용_용담댐직하류 하천정비공사 설계예산서(남원작성)- 2" xfId="7541" xr:uid="{00000000-0005-0000-0000-0000E1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" xfId="5270" xr:uid="{00000000-0005-0000-0000-0000E2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1) 신천금호강 종합개발 기본설계" xfId="5271" xr:uid="{00000000-0005-0000-0000-0000E3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5272" xr:uid="{00000000-0005-0000-0000-0000E4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5273" xr:uid="{00000000-0005-0000-0000-0000E5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신천-금호강)" xfId="5274" xr:uid="{00000000-0005-0000-0000-0000E6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5275" xr:uid="{00000000-0005-0000-0000-0000E7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5276" xr:uid="{00000000-0005-0000-0000-0000E8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전체)" xfId="5277" xr:uid="{00000000-0005-0000-0000-0000E9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5278" xr:uid="{00000000-0005-0000-0000-0000EA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5279" xr:uid="{00000000-0005-0000-0000-0000EB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5280" xr:uid="{00000000-0005-0000-0000-0000EC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5281" xr:uid="{00000000-0005-0000-0000-0000ED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심사내역서" xfId="5282" xr:uid="{00000000-0005-0000-0000-0000EE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542" xr:uid="{00000000-0005-0000-0000-0000EF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욱수천 하천재해예방사업 내역서" xfId="5283" xr:uid="{00000000-0005-0000-0000-0000F0090000}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5284" xr:uid="{00000000-0005-0000-0000-0000F1090000}"/>
    <cellStyle name="_앙성계통 능암리 관로이설공사(최종)_댐직하류 하천정비(환경)사업 기본계획 및 실시설계용역-수공용_용담댐직하류 하천정비공사 설계예산서(남원작성)-_욱수천 하천재해예방사업 내역서" xfId="5285" xr:uid="{00000000-0005-0000-0000-0000F2090000}"/>
    <cellStyle name="_앙성계통 능암리 관로이설공사(최종)_댐직하류 하천정비(환경)사업 기본계획 및 실시설계용역-수공용_용담댐직하류 하천정비공사 설계예산서(남원작성)-_욱수천 하천재해예방사업 내역서_002 욱수천정비공사실시설계 내역서_090113" xfId="5286" xr:uid="{00000000-0005-0000-0000-0000F3090000}"/>
    <cellStyle name="_앙성계통 능암리 관로이설공사(최종)_댐직하류 하천정비(환경)사업 기본계획 및 실시설계용역-수공용_용담댐하류하천환경정비사업설계예산서(건희)" xfId="5287" xr:uid="{00000000-0005-0000-0000-0000F4090000}"/>
    <cellStyle name="_앙성계통 능암리 관로이설공사(최종)_댐직하류 하천정비(환경)사업 기본계획 및 실시설계용역-수공용_용담댐하류하천환경정비사업설계예산서(건희)_1) 신천금호강 종합개발 기본설계" xfId="5288" xr:uid="{00000000-0005-0000-0000-0000F5090000}"/>
    <cellStyle name="_앙성계통 능암리 관로이설공사(최종)_댐직하류 하천정비(환경)사업 기본계획 및 실시설계용역-수공용_용담댐하류하천환경정비사업설계예산서(건희)_2) 신천금호강 종합개발 동영상제작(변경최종)" xfId="5289" xr:uid="{00000000-0005-0000-0000-0000F6090000}"/>
    <cellStyle name="_앙성계통 능암리 관로이설공사(최종)_댐직하류 하천정비(환경)사업 기본계획 및 실시설계용역-수공용_용담댐하류하천환경정비사업설계예산서(건희)_3) 신천금호강 종합개발 산책로 실시설계(변경최종)" xfId="5290" xr:uid="{00000000-0005-0000-0000-0000F7090000}"/>
    <cellStyle name="_앙성계통 능암리 관로이설공사(최종)_댐직하류 하천정비(환경)사업 기본계획 및 실시설계용역-수공용_용담댐하류하천환경정비사업설계예산서(건희)_설계내역서(신천-금호강)" xfId="5291" xr:uid="{00000000-0005-0000-0000-0000F8090000}"/>
    <cellStyle name="_앙성계통 능암리 관로이설공사(최종)_댐직하류 하천정비(환경)사업 기본계획 및 실시설계용역-수공용_용담댐하류하천환경정비사업설계예산서(건희)_설계내역서(신천-금호강)_욱수천 하천재해예방사업 내역서" xfId="5292" xr:uid="{00000000-0005-0000-0000-0000F9090000}"/>
    <cellStyle name="_앙성계통 능암리 관로이설공사(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5293" xr:uid="{00000000-0005-0000-0000-0000FA090000}"/>
    <cellStyle name="_앙성계통 능암리 관로이설공사(최종)_댐직하류 하천정비(환경)사업 기본계획 및 실시설계용역-수공용_용담댐하류하천환경정비사업설계예산서(건희)_설계내역서(전체)" xfId="5294" xr:uid="{00000000-0005-0000-0000-0000FB090000}"/>
    <cellStyle name="_앙성계통 능암리 관로이설공사(최종)_댐직하류 하천정비(환경)사업 기본계획 및 실시설계용역-수공용_용담댐하류하천환경정비사업설계예산서(건희)_설계내역서(전체)_욱수천 하천재해예방사업 내역서" xfId="5295" xr:uid="{00000000-0005-0000-0000-0000FC090000}"/>
    <cellStyle name="_앙성계통 능암리 관로이설공사(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5296" xr:uid="{00000000-0005-0000-0000-0000FD090000}"/>
    <cellStyle name="_앙성계통 능암리 관로이설공사(최종)_댐직하류 하천정비(환경)사업 기본계획 및 실시설계용역-수공용_용담댐하류하천환경정비사업설계예산서(건희)_신천금호강 종합개발 기본설계  내역서(수정분)" xfId="5297" xr:uid="{00000000-0005-0000-0000-0000FE090000}"/>
    <cellStyle name="_앙성계통 능암리 관로이설공사(최종)_댐직하류 하천정비(환경)사업 기본계획 및 실시설계용역-수공용_용담댐하류하천환경정비사업설계예산서(건희)_신천금호강내역서(수정-보오링,사전재해및환경성제외,측량연장조정9(1).95억0726)" xfId="5298" xr:uid="{00000000-0005-0000-0000-0000FF090000}"/>
    <cellStyle name="_앙성계통 능암리 관로이설공사(최종)_댐직하류 하천정비(환경)사업 기본계획 및 실시설계용역-수공용_용담댐하류하천환경정비사업설계예산서(건희)_심사내역서" xfId="5299" xr:uid="{00000000-0005-0000-0000-0000000A0000}"/>
    <cellStyle name="_앙성계통 능암리 관로이설공사(최종)_댐직하류 하천정비(환경)사업 기본계획 및 실시설계용역-수공용_용담댐하류하천환경정비사업설계예산서(건희)_용담댐하류하천환경정비사업설계예산서(건희)" xfId="7543" xr:uid="{00000000-0005-0000-0000-0000010A0000}"/>
    <cellStyle name="_앙성계통 능암리 관로이설공사(최종)_댐직하류 하천정비(환경)사업 기본계획 및 실시설계용역-수공용_용담댐하류하천환경정비사업설계예산서(건희)_욱수천 하천재해예방사업 내역서" xfId="5300" xr:uid="{00000000-0005-0000-0000-0000020A0000}"/>
    <cellStyle name="_앙성계통 능암리 관로이설공사(최종)_댐직하류 하천정비(환경)사업 기본계획 및 실시설계용역-수공용_용담댐하류하천환경정비사업설계예산서(건희)_욱수천 하천재해예방사업 내역서_002 욱수천정비공사실시설계 내역서_090113" xfId="5301" xr:uid="{00000000-0005-0000-0000-0000030A0000}"/>
    <cellStyle name="_앙성계통 능암리 관로이설공사(최종)_댐직하류 하천정비(환경)사업 기본계획 및 실시설계용역-수공용_욱수천 하천재해예방사업 내역서" xfId="5302" xr:uid="{00000000-0005-0000-0000-0000040A0000}"/>
    <cellStyle name="_앙성계통 능암리 관로이설공사(최종)_댐직하류 하천정비(환경)사업 기본계획 및 실시설계용역-수공용_욱수천 하천재해예방사업 내역서_002 욱수천정비공사실시설계 내역서_090113" xfId="5303" xr:uid="{00000000-0005-0000-0000-0000050A0000}"/>
    <cellStyle name="_앙성계통 능암리 관로이설공사(최종)_용담댐하류하천환경정비사업설계예산서(건희)" xfId="5304" xr:uid="{00000000-0005-0000-0000-0000060A0000}"/>
    <cellStyle name="_앙성계통 능암리 관로이설공사(최종)_용담댐하류하천환경정비사업설계예산서(건희)_1) 신천금호강 종합개발 기본설계" xfId="5305" xr:uid="{00000000-0005-0000-0000-0000070A0000}"/>
    <cellStyle name="_앙성계통 능암리 관로이설공사(최종)_용담댐하류하천환경정비사업설계예산서(건희)_2) 신천금호강 종합개발 동영상제작(변경최종)" xfId="5306" xr:uid="{00000000-0005-0000-0000-0000080A0000}"/>
    <cellStyle name="_앙성계통 능암리 관로이설공사(최종)_용담댐하류하천환경정비사업설계예산서(건희)_3) 신천금호강 종합개발 산책로 실시설계(변경최종)" xfId="5307" xr:uid="{00000000-0005-0000-0000-0000090A0000}"/>
    <cellStyle name="_앙성계통 능암리 관로이설공사(최종)_용담댐하류하천환경정비사업설계예산서(건희)_설계내역서(신천-금호강)" xfId="5308" xr:uid="{00000000-0005-0000-0000-00000A0A0000}"/>
    <cellStyle name="_앙성계통 능암리 관로이설공사(최종)_용담댐하류하천환경정비사업설계예산서(건희)_설계내역서(신천-금호강)_욱수천 하천재해예방사업 내역서" xfId="5309" xr:uid="{00000000-0005-0000-0000-00000B0A0000}"/>
    <cellStyle name="_앙성계통 능암리 관로이설공사(최종)_용담댐하류하천환경정비사업설계예산서(건희)_설계내역서(신천-금호강)_욱수천 하천재해예방사업 내역서_002 욱수천정비공사실시설계 내역서_090113" xfId="5310" xr:uid="{00000000-0005-0000-0000-00000C0A0000}"/>
    <cellStyle name="_앙성계통 능암리 관로이설공사(최종)_용담댐하류하천환경정비사업설계예산서(건희)_설계내역서(전체)" xfId="5311" xr:uid="{00000000-0005-0000-0000-00000D0A0000}"/>
    <cellStyle name="_앙성계통 능암리 관로이설공사(최종)_용담댐하류하천환경정비사업설계예산서(건희)_설계내역서(전체)_욱수천 하천재해예방사업 내역서" xfId="5312" xr:uid="{00000000-0005-0000-0000-00000E0A0000}"/>
    <cellStyle name="_앙성계통 능암리 관로이설공사(최종)_용담댐하류하천환경정비사업설계예산서(건희)_설계내역서(전체)_욱수천 하천재해예방사업 내역서_002 욱수천정비공사실시설계 내역서_090113" xfId="5313" xr:uid="{00000000-0005-0000-0000-00000F0A0000}"/>
    <cellStyle name="_앙성계통 능암리 관로이설공사(최종)_용담댐하류하천환경정비사업설계예산서(건희)_신천금호강 종합개발 기본설계  내역서(수정분)" xfId="5314" xr:uid="{00000000-0005-0000-0000-0000100A0000}"/>
    <cellStyle name="_앙성계통 능암리 관로이설공사(최종)_용담댐하류하천환경정비사업설계예산서(건희)_신천금호강내역서(수정-보오링,사전재해및환경성제외,측량연장조정9(1).95억0726)" xfId="5315" xr:uid="{00000000-0005-0000-0000-0000110A0000}"/>
    <cellStyle name="_앙성계통 능암리 관로이설공사(최종)_용담댐하류하천환경정비사업설계예산서(건희)_심사내역서" xfId="5316" xr:uid="{00000000-0005-0000-0000-0000120A0000}"/>
    <cellStyle name="_앙성계통 능암리 관로이설공사(최종)_용담댐하류하천환경정비사업설계예산서(건희)_용담댐하류하천환경정비사업설계예산서(건희)" xfId="7544" xr:uid="{00000000-0005-0000-0000-0000130A0000}"/>
    <cellStyle name="_앙성계통 능암리 관로이설공사(최종)_용담댐하류하천환경정비사업설계예산서(건희)_욱수천 하천재해예방사업 내역서" xfId="5317" xr:uid="{00000000-0005-0000-0000-0000140A0000}"/>
    <cellStyle name="_앙성계통 능암리 관로이설공사(최종)_용담댐하류하천환경정비사업설계예산서(건희)_욱수천 하천재해예방사업 내역서_002 욱수천정비공사실시설계 내역서_090113" xfId="5318" xr:uid="{00000000-0005-0000-0000-0000150A0000}"/>
    <cellStyle name="_앙성계통 능암리 관로이설공사(최종)_욱수천 하천재해예방사업 내역서" xfId="5319" xr:uid="{00000000-0005-0000-0000-0000160A0000}"/>
    <cellStyle name="_앙성계통 능암리 관로이설공사(최종)_욱수천 하천재해예방사업 내역서_002 욱수천정비공사실시설계 내역서_090113" xfId="5320" xr:uid="{00000000-0005-0000-0000-0000170A0000}"/>
    <cellStyle name="_앙성계통 능암리 관로이설공사_댐직하류 하천정비(환경)사업 기본계획 및 실시설계용역-수공용" xfId="5321" xr:uid="{00000000-0005-0000-0000-0000180A0000}"/>
    <cellStyle name="_앙성계통 능암리 관로이설공사_댐직하류 하천정비(환경)사업 기본계획 및 실시설계용역-수공용 2" xfId="7545" xr:uid="{00000000-0005-0000-0000-0000190A0000}"/>
    <cellStyle name="_앙성계통 능암리 관로이설공사_댐직하류 하천정비(환경)사업 기본계획 및 실시설계용역-수공용_용담댐직하류 하천정비공사 설계예산서(남원작성)-" xfId="5322" xr:uid="{00000000-0005-0000-0000-00001A0A0000}"/>
    <cellStyle name="_앙성계통 능암리 관로이설공사_댐직하류 하천정비(환경)사업 기본계획 및 실시설계용역-수공용_용담댐직하류 하천정비공사 설계예산서(남원작성)- 2" xfId="7546" xr:uid="{00000000-0005-0000-0000-00001B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" xfId="5323" xr:uid="{00000000-0005-0000-0000-00001C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1) 신천금호강 종합개발 기본설계" xfId="5324" xr:uid="{00000000-0005-0000-0000-00001D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5325" xr:uid="{00000000-0005-0000-0000-00001E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5326" xr:uid="{00000000-0005-0000-0000-00001F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신천-금호강)" xfId="5327" xr:uid="{00000000-0005-0000-0000-000020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5328" xr:uid="{00000000-0005-0000-0000-000021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5329" xr:uid="{00000000-0005-0000-0000-000022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전체)" xfId="5330" xr:uid="{00000000-0005-0000-0000-000023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5331" xr:uid="{00000000-0005-0000-0000-000024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5332" xr:uid="{00000000-0005-0000-0000-000025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5333" xr:uid="{00000000-0005-0000-0000-000026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5334" xr:uid="{00000000-0005-0000-0000-000027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심사내역서" xfId="5335" xr:uid="{00000000-0005-0000-0000-000028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547" xr:uid="{00000000-0005-0000-0000-000029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욱수천 하천재해예방사업 내역서" xfId="5336" xr:uid="{00000000-0005-0000-0000-00002A0A0000}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5337" xr:uid="{00000000-0005-0000-0000-00002B0A0000}"/>
    <cellStyle name="_앙성계통 능암리 관로이설공사_댐직하류 하천정비(환경)사업 기본계획 및 실시설계용역-수공용_용담댐직하류 하천정비공사 설계예산서(남원작성)-_욱수천 하천재해예방사업 내역서" xfId="5338" xr:uid="{00000000-0005-0000-0000-00002C0A0000}"/>
    <cellStyle name="_앙성계통 능암리 관로이설공사_댐직하류 하천정비(환경)사업 기본계획 및 실시설계용역-수공용_용담댐직하류 하천정비공사 설계예산서(남원작성)-_욱수천 하천재해예방사업 내역서_002 욱수천정비공사실시설계 내역서_090113" xfId="5339" xr:uid="{00000000-0005-0000-0000-00002D0A0000}"/>
    <cellStyle name="_앙성계통 능암리 관로이설공사_댐직하류 하천정비(환경)사업 기본계획 및 실시설계용역-수공용_용담댐하류하천환경정비사업설계예산서(건희)" xfId="5340" xr:uid="{00000000-0005-0000-0000-00002E0A0000}"/>
    <cellStyle name="_앙성계통 능암리 관로이설공사_댐직하류 하천정비(환경)사업 기본계획 및 실시설계용역-수공용_용담댐하류하천환경정비사업설계예산서(건희)_1) 신천금호강 종합개발 기본설계" xfId="5341" xr:uid="{00000000-0005-0000-0000-00002F0A0000}"/>
    <cellStyle name="_앙성계통 능암리 관로이설공사_댐직하류 하천정비(환경)사업 기본계획 및 실시설계용역-수공용_용담댐하류하천환경정비사업설계예산서(건희)_2) 신천금호강 종합개발 동영상제작(변경최종)" xfId="5342" xr:uid="{00000000-0005-0000-0000-0000300A0000}"/>
    <cellStyle name="_앙성계통 능암리 관로이설공사_댐직하류 하천정비(환경)사업 기본계획 및 실시설계용역-수공용_용담댐하류하천환경정비사업설계예산서(건희)_3) 신천금호강 종합개발 산책로 실시설계(변경최종)" xfId="5343" xr:uid="{00000000-0005-0000-0000-0000310A0000}"/>
    <cellStyle name="_앙성계통 능암리 관로이설공사_댐직하류 하천정비(환경)사업 기본계획 및 실시설계용역-수공용_용담댐하류하천환경정비사업설계예산서(건희)_설계내역서(신천-금호강)" xfId="5344" xr:uid="{00000000-0005-0000-0000-0000320A0000}"/>
    <cellStyle name="_앙성계통 능암리 관로이설공사_댐직하류 하천정비(환경)사업 기본계획 및 실시설계용역-수공용_용담댐하류하천환경정비사업설계예산서(건희)_설계내역서(신천-금호강)_욱수천 하천재해예방사업 내역서" xfId="5345" xr:uid="{00000000-0005-0000-0000-0000330A0000}"/>
    <cellStyle name="_앙성계통 능암리 관로이설공사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5346" xr:uid="{00000000-0005-0000-0000-0000340A0000}"/>
    <cellStyle name="_앙성계통 능암리 관로이설공사_댐직하류 하천정비(환경)사업 기본계획 및 실시설계용역-수공용_용담댐하류하천환경정비사업설계예산서(건희)_설계내역서(전체)" xfId="5347" xr:uid="{00000000-0005-0000-0000-0000350A0000}"/>
    <cellStyle name="_앙성계통 능암리 관로이설공사_댐직하류 하천정비(환경)사업 기본계획 및 실시설계용역-수공용_용담댐하류하천환경정비사업설계예산서(건희)_설계내역서(전체)_욱수천 하천재해예방사업 내역서" xfId="5348" xr:uid="{00000000-0005-0000-0000-0000360A0000}"/>
    <cellStyle name="_앙성계통 능암리 관로이설공사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5349" xr:uid="{00000000-0005-0000-0000-0000370A0000}"/>
    <cellStyle name="_앙성계통 능암리 관로이설공사_댐직하류 하천정비(환경)사업 기본계획 및 실시설계용역-수공용_용담댐하류하천환경정비사업설계예산서(건희)_신천금호강 종합개발 기본설계  내역서(수정분)" xfId="5350" xr:uid="{00000000-0005-0000-0000-0000380A0000}"/>
    <cellStyle name="_앙성계통 능암리 관로이설공사_댐직하류 하천정비(환경)사업 기본계획 및 실시설계용역-수공용_용담댐하류하천환경정비사업설계예산서(건희)_신천금호강내역서(수정-보오링,사전재해및환경성제외,측량연장조정9(1).95억0726)" xfId="5351" xr:uid="{00000000-0005-0000-0000-0000390A0000}"/>
    <cellStyle name="_앙성계통 능암리 관로이설공사_댐직하류 하천정비(환경)사업 기본계획 및 실시설계용역-수공용_용담댐하류하천환경정비사업설계예산서(건희)_심사내역서" xfId="5352" xr:uid="{00000000-0005-0000-0000-00003A0A0000}"/>
    <cellStyle name="_앙성계통 능암리 관로이설공사_댐직하류 하천정비(환경)사업 기본계획 및 실시설계용역-수공용_용담댐하류하천환경정비사업설계예산서(건희)_용담댐하류하천환경정비사업설계예산서(건희)" xfId="7548" xr:uid="{00000000-0005-0000-0000-00003B0A0000}"/>
    <cellStyle name="_앙성계통 능암리 관로이설공사_댐직하류 하천정비(환경)사업 기본계획 및 실시설계용역-수공용_용담댐하류하천환경정비사업설계예산서(건희)_욱수천 하천재해예방사업 내역서" xfId="5353" xr:uid="{00000000-0005-0000-0000-00003C0A0000}"/>
    <cellStyle name="_앙성계통 능암리 관로이설공사_댐직하류 하천정비(환경)사업 기본계획 및 실시설계용역-수공용_용담댐하류하천환경정비사업설계예산서(건희)_욱수천 하천재해예방사업 내역서_002 욱수천정비공사실시설계 내역서_090113" xfId="5354" xr:uid="{00000000-0005-0000-0000-00003D0A0000}"/>
    <cellStyle name="_앙성계통 능암리 관로이설공사_댐직하류 하천정비(환경)사업 기본계획 및 실시설계용역-수공용_욱수천 하천재해예방사업 내역서" xfId="5355" xr:uid="{00000000-0005-0000-0000-00003E0A0000}"/>
    <cellStyle name="_앙성계통 능암리 관로이설공사_댐직하류 하천정비(환경)사업 기본계획 및 실시설계용역-수공용_욱수천 하천재해예방사업 내역서_002 욱수천정비공사실시설계 내역서_090113" xfId="5356" xr:uid="{00000000-0005-0000-0000-00003F0A0000}"/>
    <cellStyle name="_앙성계통 능암리 관로이설공사_용담댐하류하천환경정비사업설계예산서(건희)" xfId="5357" xr:uid="{00000000-0005-0000-0000-0000400A0000}"/>
    <cellStyle name="_앙성계통 능암리 관로이설공사_용담댐하류하천환경정비사업설계예산서(건희)_1) 신천금호강 종합개발 기본설계" xfId="5358" xr:uid="{00000000-0005-0000-0000-0000410A0000}"/>
    <cellStyle name="_앙성계통 능암리 관로이설공사_용담댐하류하천환경정비사업설계예산서(건희)_2) 신천금호강 종합개발 동영상제작(변경최종)" xfId="5359" xr:uid="{00000000-0005-0000-0000-0000420A0000}"/>
    <cellStyle name="_앙성계통 능암리 관로이설공사_용담댐하류하천환경정비사업설계예산서(건희)_3) 신천금호강 종합개발 산책로 실시설계(변경최종)" xfId="5360" xr:uid="{00000000-0005-0000-0000-0000430A0000}"/>
    <cellStyle name="_앙성계통 능암리 관로이설공사_용담댐하류하천환경정비사업설계예산서(건희)_설계내역서(신천-금호강)" xfId="5361" xr:uid="{00000000-0005-0000-0000-0000440A0000}"/>
    <cellStyle name="_앙성계통 능암리 관로이설공사_용담댐하류하천환경정비사업설계예산서(건희)_설계내역서(신천-금호강)_욱수천 하천재해예방사업 내역서" xfId="5362" xr:uid="{00000000-0005-0000-0000-0000450A0000}"/>
    <cellStyle name="_앙성계통 능암리 관로이설공사_용담댐하류하천환경정비사업설계예산서(건희)_설계내역서(신천-금호강)_욱수천 하천재해예방사업 내역서_002 욱수천정비공사실시설계 내역서_090113" xfId="5363" xr:uid="{00000000-0005-0000-0000-0000460A0000}"/>
    <cellStyle name="_앙성계통 능암리 관로이설공사_용담댐하류하천환경정비사업설계예산서(건희)_설계내역서(전체)" xfId="5364" xr:uid="{00000000-0005-0000-0000-0000470A0000}"/>
    <cellStyle name="_앙성계통 능암리 관로이설공사_용담댐하류하천환경정비사업설계예산서(건희)_설계내역서(전체)_욱수천 하천재해예방사업 내역서" xfId="5365" xr:uid="{00000000-0005-0000-0000-0000480A0000}"/>
    <cellStyle name="_앙성계통 능암리 관로이설공사_용담댐하류하천환경정비사업설계예산서(건희)_설계내역서(전체)_욱수천 하천재해예방사업 내역서_002 욱수천정비공사실시설계 내역서_090113" xfId="5366" xr:uid="{00000000-0005-0000-0000-0000490A0000}"/>
    <cellStyle name="_앙성계통 능암리 관로이설공사_용담댐하류하천환경정비사업설계예산서(건희)_신천금호강 종합개발 기본설계  내역서(수정분)" xfId="5367" xr:uid="{00000000-0005-0000-0000-00004A0A0000}"/>
    <cellStyle name="_앙성계통 능암리 관로이설공사_용담댐하류하천환경정비사업설계예산서(건희)_신천금호강내역서(수정-보오링,사전재해및환경성제외,측량연장조정9(1).95억0726)" xfId="5368" xr:uid="{00000000-0005-0000-0000-00004B0A0000}"/>
    <cellStyle name="_앙성계통 능암리 관로이설공사_용담댐하류하천환경정비사업설계예산서(건희)_심사내역서" xfId="5369" xr:uid="{00000000-0005-0000-0000-00004C0A0000}"/>
    <cellStyle name="_앙성계통 능암리 관로이설공사_용담댐하류하천환경정비사업설계예산서(건희)_용담댐하류하천환경정비사업설계예산서(건희)" xfId="7549" xr:uid="{00000000-0005-0000-0000-00004D0A0000}"/>
    <cellStyle name="_앙성계통 능암리 관로이설공사_용담댐하류하천환경정비사업설계예산서(건희)_욱수천 하천재해예방사업 내역서" xfId="5370" xr:uid="{00000000-0005-0000-0000-00004E0A0000}"/>
    <cellStyle name="_앙성계통 능암리 관로이설공사_용담댐하류하천환경정비사업설계예산서(건희)_욱수천 하천재해예방사업 내역서_002 욱수천정비공사실시설계 내역서_090113" xfId="5371" xr:uid="{00000000-0005-0000-0000-00004F0A0000}"/>
    <cellStyle name="_앙성계통 능암리 관로이설공사_욱수천 하천재해예방사업 내역서" xfId="5372" xr:uid="{00000000-0005-0000-0000-0000500A0000}"/>
    <cellStyle name="_앙성계통 능암리 관로이설공사_욱수천 하천재해예방사업 내역서_002 욱수천정비공사실시설계 내역서_090113" xfId="5373" xr:uid="{00000000-0005-0000-0000-0000510A0000}"/>
    <cellStyle name="_앙성수량총괄(관수정)" xfId="5374" xr:uid="{00000000-0005-0000-0000-0000520A0000}"/>
    <cellStyle name="_앙성수량총괄(관수정)_1" xfId="5375" xr:uid="{00000000-0005-0000-0000-0000530A0000}"/>
    <cellStyle name="_앙성수량총괄(관수정)_2" xfId="5376" xr:uid="{00000000-0005-0000-0000-0000540A0000}"/>
    <cellStyle name="_양식" xfId="2057" xr:uid="{00000000-0005-0000-0000-0000550A0000}"/>
    <cellStyle name="_양식 2" xfId="7550" xr:uid="{00000000-0005-0000-0000-0000560A0000}"/>
    <cellStyle name="_양식_091110 안성천권역(중하류) 설계내역서" xfId="7551" xr:uid="{00000000-0005-0000-0000-0000570A0000}"/>
    <cellStyle name="_양식_1" xfId="2058" xr:uid="{00000000-0005-0000-0000-0000580A0000}"/>
    <cellStyle name="_양식_1 2" xfId="7552" xr:uid="{00000000-0005-0000-0000-0000590A0000}"/>
    <cellStyle name="_양식_100120 안성천권역(중하류) 2차분내역서" xfId="6877" xr:uid="{00000000-0005-0000-0000-00005A0A0000}"/>
    <cellStyle name="_양식_100120 안성천권역(중하류) 2차분내역서 2" xfId="7553" xr:uid="{00000000-0005-0000-0000-00005B0A0000}"/>
    <cellStyle name="_양식_2" xfId="2059" xr:uid="{00000000-0005-0000-0000-00005C0A0000}"/>
    <cellStyle name="_양식_2 2" xfId="7554" xr:uid="{00000000-0005-0000-0000-00005D0A0000}"/>
    <cellStyle name="_양식_논산천 권역 하천기본계획 설계예산서" xfId="7555" xr:uid="{00000000-0005-0000-0000-00005E0A0000}"/>
    <cellStyle name="_양식_사본 - 황강중류권역 하천기본계획 예산서(황강 미포함)-2차분_ rev2" xfId="6878" xr:uid="{00000000-0005-0000-0000-00005F0A0000}"/>
    <cellStyle name="_양식_소양강 상류권역 하천기본계획(변경) 및 하천시설관리대장작성_Lidar측량" xfId="7556" xr:uid="{00000000-0005-0000-0000-0000600A0000}"/>
    <cellStyle name="_양식_안양천 하천기본계획 예산서_보완중" xfId="7557" xr:uid="{00000000-0005-0000-0000-0000610A0000}"/>
    <cellStyle name="_양식_안양천권역 하천기본계획 설계예산서" xfId="7558" xr:uid="{00000000-0005-0000-0000-0000620A0000}"/>
    <cellStyle name="_양식_한강하류 하천기본계획 설계예산서(지형측량)" xfId="7559" xr:uid="{00000000-0005-0000-0000-0000630A0000}"/>
    <cellStyle name="_양식_한강하류내역서2" xfId="7560" xr:uid="{00000000-0005-0000-0000-0000640A0000}"/>
    <cellStyle name="_양식_한탄강 하천기본계획 예산서_최종2" xfId="7561" xr:uid="{00000000-0005-0000-0000-0000650A0000}"/>
    <cellStyle name="_양식_한탄강권역 하천기본계획 설계예산서(지형측량)" xfId="7562" xr:uid="{00000000-0005-0000-0000-0000660A0000}"/>
    <cellStyle name="_업무연락" xfId="2060" xr:uid="{00000000-0005-0000-0000-0000670A0000}"/>
    <cellStyle name="_업무연락_kn 구룡포~대보간 1" xfId="2061" xr:uid="{00000000-0005-0000-0000-0000680A0000}"/>
    <cellStyle name="_업무연락_kn 구룡포~대보간 1_병천하수 견적060412" xfId="2062" xr:uid="{00000000-0005-0000-0000-0000690A0000}"/>
    <cellStyle name="_업무연락_kn 구룡포~대보간 1_사본 - 기성내역서(대경엔텍)" xfId="2063" xr:uid="{00000000-0005-0000-0000-00006A0A0000}"/>
    <cellStyle name="_업무연락_kn 구룡포~대보간 1_사본 - 기성내역서(대경엔텍)_병천하수 견적060412" xfId="2064" xr:uid="{00000000-0005-0000-0000-00006B0A0000}"/>
    <cellStyle name="_업무연락_kn 구룡포~대보간 1_사본 - 기성내역서(대경엔텍)_산북하수견적서" xfId="2065" xr:uid="{00000000-0005-0000-0000-00006C0A0000}"/>
    <cellStyle name="_업무연락_kn 구룡포~대보간 1_사본 - 기성내역서(대경엔텍)_통일하수내역서" xfId="2066" xr:uid="{00000000-0005-0000-0000-00006D0A0000}"/>
    <cellStyle name="_업무연락_kn 구룡포~대보간 1_산북하수견적서" xfId="2067" xr:uid="{00000000-0005-0000-0000-00006E0A0000}"/>
    <cellStyle name="_업무연락_kn 구룡포~대보간 1_제1회설계변경내역서(11.15~)update" xfId="2068" xr:uid="{00000000-0005-0000-0000-00006F0A0000}"/>
    <cellStyle name="_업무연락_kn 구룡포~대보간 1_제2회기성내역서(1차+2차공사)" xfId="2069" xr:uid="{00000000-0005-0000-0000-0000700A0000}"/>
    <cellStyle name="_업무연락_kn 구룡포~대보간 1_제2회기성내역서(1차+2차공사)_병천하수 견적060412" xfId="2070" xr:uid="{00000000-0005-0000-0000-0000710A0000}"/>
    <cellStyle name="_업무연락_kn 구룡포~대보간 1_제2회기성내역서(1차+2차공사)_산북하수견적서" xfId="2071" xr:uid="{00000000-0005-0000-0000-0000720A0000}"/>
    <cellStyle name="_업무연락_kn 구룡포~대보간 1_제2회기성내역서(1차+2차공사)_제7회기성내역서(1차+2차공사)~ing" xfId="2072" xr:uid="{00000000-0005-0000-0000-0000730A0000}"/>
    <cellStyle name="_업무연락_kn 구룡포~대보간 1_제2회기성내역서(1차+2차공사)_제7회기성내역서(1차+2차공사)~ing_병천하수 견적060412" xfId="2073" xr:uid="{00000000-0005-0000-0000-0000740A0000}"/>
    <cellStyle name="_업무연락_kn 구룡포~대보간 1_제2회기성내역서(1차+2차공사)_제7회기성내역서(1차+2차공사)~ing_산북하수견적서" xfId="2074" xr:uid="{00000000-0005-0000-0000-0000750A0000}"/>
    <cellStyle name="_업무연락_kn 구룡포~대보간 1_제2회기성내역서(1차+2차공사)_제7회기성내역서(1차+2차공사)~ing_통일하수내역서" xfId="2075" xr:uid="{00000000-0005-0000-0000-0000760A0000}"/>
    <cellStyle name="_업무연락_kn 구룡포~대보간 1_제2회기성내역서(1차+2차공사)_통일하수내역서" xfId="2076" xr:uid="{00000000-0005-0000-0000-0000770A0000}"/>
    <cellStyle name="_업무연락_kn 구룡포~대보간 1_통일하수내역서" xfId="2077" xr:uid="{00000000-0005-0000-0000-0000780A0000}"/>
    <cellStyle name="_업무연락_병천하수 견적060412" xfId="2078" xr:uid="{00000000-0005-0000-0000-0000790A0000}"/>
    <cellStyle name="_업무연락_사본 - 기성내역서(대경엔텍)" xfId="2079" xr:uid="{00000000-0005-0000-0000-00007A0A0000}"/>
    <cellStyle name="_업무연락_사본 - 기성내역서(대경엔텍)_병천하수 견적060412" xfId="2080" xr:uid="{00000000-0005-0000-0000-00007B0A0000}"/>
    <cellStyle name="_업무연락_사본 - 기성내역서(대경엔텍)_산북하수견적서" xfId="2081" xr:uid="{00000000-0005-0000-0000-00007C0A0000}"/>
    <cellStyle name="_업무연락_사본 - 기성내역서(대경엔텍)_통일하수내역서" xfId="2082" xr:uid="{00000000-0005-0000-0000-00007D0A0000}"/>
    <cellStyle name="_업무연락_산북하수견적서" xfId="2083" xr:uid="{00000000-0005-0000-0000-00007E0A0000}"/>
    <cellStyle name="_업무연락_제1회설계변경내역서(11.15~)update" xfId="2084" xr:uid="{00000000-0005-0000-0000-00007F0A0000}"/>
    <cellStyle name="_업무연락_제2회기성내역서(1차+2차공사)" xfId="2085" xr:uid="{00000000-0005-0000-0000-0000800A0000}"/>
    <cellStyle name="_업무연락_제2회기성내역서(1차+2차공사)_병천하수 견적060412" xfId="2086" xr:uid="{00000000-0005-0000-0000-0000810A0000}"/>
    <cellStyle name="_업무연락_제2회기성내역서(1차+2차공사)_산북하수견적서" xfId="2087" xr:uid="{00000000-0005-0000-0000-0000820A0000}"/>
    <cellStyle name="_업무연락_제2회기성내역서(1차+2차공사)_제7회기성내역서(1차+2차공사)~ing" xfId="2088" xr:uid="{00000000-0005-0000-0000-0000830A0000}"/>
    <cellStyle name="_업무연락_제2회기성내역서(1차+2차공사)_제7회기성내역서(1차+2차공사)~ing_병천하수 견적060412" xfId="2089" xr:uid="{00000000-0005-0000-0000-0000840A0000}"/>
    <cellStyle name="_업무연락_제2회기성내역서(1차+2차공사)_제7회기성내역서(1차+2차공사)~ing_산북하수견적서" xfId="2090" xr:uid="{00000000-0005-0000-0000-0000850A0000}"/>
    <cellStyle name="_업무연락_제2회기성내역서(1차+2차공사)_제7회기성내역서(1차+2차공사)~ing_통일하수내역서" xfId="2091" xr:uid="{00000000-0005-0000-0000-0000860A0000}"/>
    <cellStyle name="_업무연락_제2회기성내역서(1차+2차공사)_통일하수내역서" xfId="2092" xr:uid="{00000000-0005-0000-0000-0000870A0000}"/>
    <cellStyle name="_업무연락_통일하수내역서" xfId="2093" xr:uid="{00000000-0005-0000-0000-0000880A0000}"/>
    <cellStyle name="_에너지테마조성사업용역비" xfId="5377" xr:uid="{00000000-0005-0000-0000-0000890A0000}"/>
    <cellStyle name="_에너지테마조성사업용역비(제영향평가)" xfId="5378" xr:uid="{00000000-0005-0000-0000-00008A0A0000}"/>
    <cellStyle name="_연천관리계획용역 내역서" xfId="5379" xr:uid="{00000000-0005-0000-0000-00008B0A0000}"/>
    <cellStyle name="_연천군 관리계획 및 지형도면고시용역 설계서" xfId="5380" xr:uid="{00000000-0005-0000-0000-00008C0A0000}"/>
    <cellStyle name="_연천군 관리계획용역 설계서" xfId="5381" xr:uid="{00000000-0005-0000-0000-00008D0A0000}"/>
    <cellStyle name="_영구동력수량산출" xfId="711" xr:uid="{00000000-0005-0000-0000-00008E0A0000}"/>
    <cellStyle name="_영구동력수량산출_수량산출서(2003.4.1)" xfId="712" xr:uid="{00000000-0005-0000-0000-00008F0A0000}"/>
    <cellStyle name="_영천댐수량산출" xfId="713" xr:uid="{00000000-0005-0000-0000-0000900A0000}"/>
    <cellStyle name="_영천댐수량산출_수량산출서(2003.4.1)" xfId="714" xr:uid="{00000000-0005-0000-0000-0000910A0000}"/>
    <cellStyle name="_영천댐최종(감시및CCTV)" xfId="715" xr:uid="{00000000-0005-0000-0000-0000920A0000}"/>
    <cellStyle name="_영천댐최종(홍수예설비공사)" xfId="716" xr:uid="{00000000-0005-0000-0000-0000930A0000}"/>
    <cellStyle name="_예보지점정보관리-견적서v2(1).0" xfId="717" xr:uid="{00000000-0005-0000-0000-0000940A0000}"/>
    <cellStyle name="_예보지점정보관리-견적서v2(1).0 2" xfId="7563" xr:uid="{00000000-0005-0000-0000-0000950A0000}"/>
    <cellStyle name="_오리지날최종-경보국설계서(철관주2003.2.13) (version 3) (version 1)" xfId="718" xr:uid="{00000000-0005-0000-0000-0000960A0000}"/>
    <cellStyle name="_오리지날최종-경보국설계서(철관주2003.2.13) (version 3) (version 1)_수량산출서(2003.4.1)" xfId="719" xr:uid="{00000000-0005-0000-0000-0000970A0000}"/>
    <cellStyle name="_오리지날최종-경보국설계서(철관주2003.2.6)" xfId="720" xr:uid="{00000000-0005-0000-0000-0000980A0000}"/>
    <cellStyle name="_오리지날최종-경보국설계서(철관주2003.2.6)_수량산출서(2003.4.1)" xfId="721" xr:uid="{00000000-0005-0000-0000-0000990A0000}"/>
    <cellStyle name="_오리지날최종-경보국설계서(철관주2003.2.9) (version 2)" xfId="722" xr:uid="{00000000-0005-0000-0000-00009A0A0000}"/>
    <cellStyle name="_오리지날최종-경보국설계서(철관주2003.2.9) (version 2)_수량산출서(2003.4.1)" xfId="723" xr:uid="{00000000-0005-0000-0000-00009B0A0000}"/>
    <cellStyle name="_오수차집연결공사" xfId="5382" xr:uid="{00000000-0005-0000-0000-00009C0A0000}"/>
    <cellStyle name="_오수차집연결공사 2" xfId="7564" xr:uid="{00000000-0005-0000-0000-00009D0A0000}"/>
    <cellStyle name="_오수차집연결공사(최종분)" xfId="5383" xr:uid="{00000000-0005-0000-0000-00009E0A0000}"/>
    <cellStyle name="_오수차집연결공사(최종분) 2" xfId="7565" xr:uid="{00000000-0005-0000-0000-00009F0A0000}"/>
    <cellStyle name="_오수차집연결공사(최종분)_댐직하류 하천정비(환경)사업 기본계획 및 실시설계용역-수공용" xfId="5384" xr:uid="{00000000-0005-0000-0000-0000A00A0000}"/>
    <cellStyle name="_오수차집연결공사(최종분)_댐직하류 하천정비(환경)사업 기본계획 및 실시설계용역-수공용 2" xfId="7566" xr:uid="{00000000-0005-0000-0000-0000A10A0000}"/>
    <cellStyle name="_오수차집연결공사(최종분)_댐직하류 하천정비(환경)사업 기본계획 및 실시설계용역-수공용_용담댐직하류 하천정비공사 설계예산서(남원작성)-" xfId="5385" xr:uid="{00000000-0005-0000-0000-0000A20A0000}"/>
    <cellStyle name="_오수차집연결공사(최종분)_댐직하류 하천정비(환경)사업 기본계획 및 실시설계용역-수공용_용담댐직하류 하천정비공사 설계예산서(남원작성)- 2" xfId="7567" xr:uid="{00000000-0005-0000-0000-0000A3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" xfId="5386" xr:uid="{00000000-0005-0000-0000-0000A4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1) 신천금호강 종합개발 기본설계" xfId="5387" xr:uid="{00000000-0005-0000-0000-0000A5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5388" xr:uid="{00000000-0005-0000-0000-0000A6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5389" xr:uid="{00000000-0005-0000-0000-0000A7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신천-금호강)" xfId="5390" xr:uid="{00000000-0005-0000-0000-0000A8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5391" xr:uid="{00000000-0005-0000-0000-0000A9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5392" xr:uid="{00000000-0005-0000-0000-0000AA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전체)" xfId="5393" xr:uid="{00000000-0005-0000-0000-0000AB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5394" xr:uid="{00000000-0005-0000-0000-0000AC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5395" xr:uid="{00000000-0005-0000-0000-0000AD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5396" xr:uid="{00000000-0005-0000-0000-0000AE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5397" xr:uid="{00000000-0005-0000-0000-0000AF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심사내역서" xfId="5398" xr:uid="{00000000-0005-0000-0000-0000B0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568" xr:uid="{00000000-0005-0000-0000-0000B1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욱수천 하천재해예방사업 내역서" xfId="5399" xr:uid="{00000000-0005-0000-0000-0000B20A0000}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5400" xr:uid="{00000000-0005-0000-0000-0000B30A0000}"/>
    <cellStyle name="_오수차집연결공사(최종분)_댐직하류 하천정비(환경)사업 기본계획 및 실시설계용역-수공용_용담댐직하류 하천정비공사 설계예산서(남원작성)-_욱수천 하천재해예방사업 내역서" xfId="5401" xr:uid="{00000000-0005-0000-0000-0000B40A0000}"/>
    <cellStyle name="_오수차집연결공사(최종분)_댐직하류 하천정비(환경)사업 기본계획 및 실시설계용역-수공용_용담댐직하류 하천정비공사 설계예산서(남원작성)-_욱수천 하천재해예방사업 내역서_002 욱수천정비공사실시설계 내역서_090113" xfId="5402" xr:uid="{00000000-0005-0000-0000-0000B50A0000}"/>
    <cellStyle name="_오수차집연결공사(최종분)_댐직하류 하천정비(환경)사업 기본계획 및 실시설계용역-수공용_용담댐하류하천환경정비사업설계예산서(건희)" xfId="5403" xr:uid="{00000000-0005-0000-0000-0000B60A0000}"/>
    <cellStyle name="_오수차집연결공사(최종분)_댐직하류 하천정비(환경)사업 기본계획 및 실시설계용역-수공용_용담댐하류하천환경정비사업설계예산서(건희)_1) 신천금호강 종합개발 기본설계" xfId="5404" xr:uid="{00000000-0005-0000-0000-0000B70A0000}"/>
    <cellStyle name="_오수차집연결공사(최종분)_댐직하류 하천정비(환경)사업 기본계획 및 실시설계용역-수공용_용담댐하류하천환경정비사업설계예산서(건희)_2) 신천금호강 종합개발 동영상제작(변경최종)" xfId="5405" xr:uid="{00000000-0005-0000-0000-0000B80A0000}"/>
    <cellStyle name="_오수차집연결공사(최종분)_댐직하류 하천정비(환경)사업 기본계획 및 실시설계용역-수공용_용담댐하류하천환경정비사업설계예산서(건희)_3) 신천금호강 종합개발 산책로 실시설계(변경최종)" xfId="5406" xr:uid="{00000000-0005-0000-0000-0000B90A0000}"/>
    <cellStyle name="_오수차집연결공사(최종분)_댐직하류 하천정비(환경)사업 기본계획 및 실시설계용역-수공용_용담댐하류하천환경정비사업설계예산서(건희)_설계내역서(신천-금호강)" xfId="5407" xr:uid="{00000000-0005-0000-0000-0000BA0A0000}"/>
    <cellStyle name="_오수차집연결공사(최종분)_댐직하류 하천정비(환경)사업 기본계획 및 실시설계용역-수공용_용담댐하류하천환경정비사업설계예산서(건희)_설계내역서(신천-금호강)_욱수천 하천재해예방사업 내역서" xfId="5408" xr:uid="{00000000-0005-0000-0000-0000BB0A0000}"/>
    <cellStyle name="_오수차집연결공사(최종분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5409" xr:uid="{00000000-0005-0000-0000-0000BC0A0000}"/>
    <cellStyle name="_오수차집연결공사(최종분)_댐직하류 하천정비(환경)사업 기본계획 및 실시설계용역-수공용_용담댐하류하천환경정비사업설계예산서(건희)_설계내역서(전체)" xfId="5410" xr:uid="{00000000-0005-0000-0000-0000BD0A0000}"/>
    <cellStyle name="_오수차집연결공사(최종분)_댐직하류 하천정비(환경)사업 기본계획 및 실시설계용역-수공용_용담댐하류하천환경정비사업설계예산서(건희)_설계내역서(전체)_욱수천 하천재해예방사업 내역서" xfId="5411" xr:uid="{00000000-0005-0000-0000-0000BE0A0000}"/>
    <cellStyle name="_오수차집연결공사(최종분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5412" xr:uid="{00000000-0005-0000-0000-0000BF0A0000}"/>
    <cellStyle name="_오수차집연결공사(최종분)_댐직하류 하천정비(환경)사업 기본계획 및 실시설계용역-수공용_용담댐하류하천환경정비사업설계예산서(건희)_신천금호강 종합개발 기본설계  내역서(수정분)" xfId="5413" xr:uid="{00000000-0005-0000-0000-0000C00A0000}"/>
    <cellStyle name="_오수차집연결공사(최종분)_댐직하류 하천정비(환경)사업 기본계획 및 실시설계용역-수공용_용담댐하류하천환경정비사업설계예산서(건희)_신천금호강내역서(수정-보오링,사전재해및환경성제외,측량연장조정9(1).95억0726)" xfId="5414" xr:uid="{00000000-0005-0000-0000-0000C10A0000}"/>
    <cellStyle name="_오수차집연결공사(최종분)_댐직하류 하천정비(환경)사업 기본계획 및 실시설계용역-수공용_용담댐하류하천환경정비사업설계예산서(건희)_심사내역서" xfId="5415" xr:uid="{00000000-0005-0000-0000-0000C20A0000}"/>
    <cellStyle name="_오수차집연결공사(최종분)_댐직하류 하천정비(환경)사업 기본계획 및 실시설계용역-수공용_용담댐하류하천환경정비사업설계예산서(건희)_용담댐하류하천환경정비사업설계예산서(건희)" xfId="7569" xr:uid="{00000000-0005-0000-0000-0000C30A0000}"/>
    <cellStyle name="_오수차집연결공사(최종분)_댐직하류 하천정비(환경)사업 기본계획 및 실시설계용역-수공용_용담댐하류하천환경정비사업설계예산서(건희)_욱수천 하천재해예방사업 내역서" xfId="5416" xr:uid="{00000000-0005-0000-0000-0000C40A0000}"/>
    <cellStyle name="_오수차집연결공사(최종분)_댐직하류 하천정비(환경)사업 기본계획 및 실시설계용역-수공용_용담댐하류하천환경정비사업설계예산서(건희)_욱수천 하천재해예방사업 내역서_002 욱수천정비공사실시설계 내역서_090113" xfId="5417" xr:uid="{00000000-0005-0000-0000-0000C50A0000}"/>
    <cellStyle name="_오수차집연결공사(최종분)_댐직하류 하천정비(환경)사업 기본계획 및 실시설계용역-수공용_욱수천 하천재해예방사업 내역서" xfId="5418" xr:uid="{00000000-0005-0000-0000-0000C60A0000}"/>
    <cellStyle name="_오수차집연결공사(최종분)_댐직하류 하천정비(환경)사업 기본계획 및 실시설계용역-수공용_욱수천 하천재해예방사업 내역서_002 욱수천정비공사실시설계 내역서_090113" xfId="5419" xr:uid="{00000000-0005-0000-0000-0000C70A0000}"/>
    <cellStyle name="_오수차집연결공사(최종분)_용담댐하류하천환경정비사업설계예산서(건희)" xfId="5420" xr:uid="{00000000-0005-0000-0000-0000C80A0000}"/>
    <cellStyle name="_오수차집연결공사(최종분)_용담댐하류하천환경정비사업설계예산서(건희)_1) 신천금호강 종합개발 기본설계" xfId="5421" xr:uid="{00000000-0005-0000-0000-0000C90A0000}"/>
    <cellStyle name="_오수차집연결공사(최종분)_용담댐하류하천환경정비사업설계예산서(건희)_2) 신천금호강 종합개발 동영상제작(변경최종)" xfId="5422" xr:uid="{00000000-0005-0000-0000-0000CA0A0000}"/>
    <cellStyle name="_오수차집연결공사(최종분)_용담댐하류하천환경정비사업설계예산서(건희)_3) 신천금호강 종합개발 산책로 실시설계(변경최종)" xfId="5423" xr:uid="{00000000-0005-0000-0000-0000CB0A0000}"/>
    <cellStyle name="_오수차집연결공사(최종분)_용담댐하류하천환경정비사업설계예산서(건희)_설계내역서(신천-금호강)" xfId="5424" xr:uid="{00000000-0005-0000-0000-0000CC0A0000}"/>
    <cellStyle name="_오수차집연결공사(최종분)_용담댐하류하천환경정비사업설계예산서(건희)_설계내역서(신천-금호강)_욱수천 하천재해예방사업 내역서" xfId="5425" xr:uid="{00000000-0005-0000-0000-0000CD0A0000}"/>
    <cellStyle name="_오수차집연결공사(최종분)_용담댐하류하천환경정비사업설계예산서(건희)_설계내역서(신천-금호강)_욱수천 하천재해예방사업 내역서_002 욱수천정비공사실시설계 내역서_090113" xfId="5426" xr:uid="{00000000-0005-0000-0000-0000CE0A0000}"/>
    <cellStyle name="_오수차집연결공사(최종분)_용담댐하류하천환경정비사업설계예산서(건희)_설계내역서(전체)" xfId="5427" xr:uid="{00000000-0005-0000-0000-0000CF0A0000}"/>
    <cellStyle name="_오수차집연결공사(최종분)_용담댐하류하천환경정비사업설계예산서(건희)_설계내역서(전체)_욱수천 하천재해예방사업 내역서" xfId="5428" xr:uid="{00000000-0005-0000-0000-0000D00A0000}"/>
    <cellStyle name="_오수차집연결공사(최종분)_용담댐하류하천환경정비사업설계예산서(건희)_설계내역서(전체)_욱수천 하천재해예방사업 내역서_002 욱수천정비공사실시설계 내역서_090113" xfId="5429" xr:uid="{00000000-0005-0000-0000-0000D10A0000}"/>
    <cellStyle name="_오수차집연결공사(최종분)_용담댐하류하천환경정비사업설계예산서(건희)_신천금호강 종합개발 기본설계  내역서(수정분)" xfId="5430" xr:uid="{00000000-0005-0000-0000-0000D20A0000}"/>
    <cellStyle name="_오수차집연결공사(최종분)_용담댐하류하천환경정비사업설계예산서(건희)_신천금호강내역서(수정-보오링,사전재해및환경성제외,측량연장조정9(1).95억0726)" xfId="5431" xr:uid="{00000000-0005-0000-0000-0000D30A0000}"/>
    <cellStyle name="_오수차집연결공사(최종분)_용담댐하류하천환경정비사업설계예산서(건희)_심사내역서" xfId="5432" xr:uid="{00000000-0005-0000-0000-0000D40A0000}"/>
    <cellStyle name="_오수차집연결공사(최종분)_용담댐하류하천환경정비사업설계예산서(건희)_용담댐하류하천환경정비사업설계예산서(건희)" xfId="7570" xr:uid="{00000000-0005-0000-0000-0000D50A0000}"/>
    <cellStyle name="_오수차집연결공사(최종분)_용담댐하류하천환경정비사업설계예산서(건희)_욱수천 하천재해예방사업 내역서" xfId="5433" xr:uid="{00000000-0005-0000-0000-0000D60A0000}"/>
    <cellStyle name="_오수차집연결공사(최종분)_용담댐하류하천환경정비사업설계예산서(건희)_욱수천 하천재해예방사업 내역서_002 욱수천정비공사실시설계 내역서_090113" xfId="5434" xr:uid="{00000000-0005-0000-0000-0000D70A0000}"/>
    <cellStyle name="_오수차집연결공사(최종분)_욱수천 하천재해예방사업 내역서" xfId="5435" xr:uid="{00000000-0005-0000-0000-0000D80A0000}"/>
    <cellStyle name="_오수차집연결공사(최종분)_욱수천 하천재해예방사업 내역서_002 욱수천정비공사실시설계 내역서_090113" xfId="5436" xr:uid="{00000000-0005-0000-0000-0000D90A0000}"/>
    <cellStyle name="_오수차집연결공사_댐직하류 하천정비(환경)사업 기본계획 및 실시설계용역-수공용" xfId="5437" xr:uid="{00000000-0005-0000-0000-0000DA0A0000}"/>
    <cellStyle name="_오수차집연결공사_댐직하류 하천정비(환경)사업 기본계획 및 실시설계용역-수공용 2" xfId="7571" xr:uid="{00000000-0005-0000-0000-0000DB0A0000}"/>
    <cellStyle name="_오수차집연결공사_댐직하류 하천정비(환경)사업 기본계획 및 실시설계용역-수공용_용담댐직하류 하천정비공사 설계예산서(남원작성)-" xfId="5438" xr:uid="{00000000-0005-0000-0000-0000DC0A0000}"/>
    <cellStyle name="_오수차집연결공사_댐직하류 하천정비(환경)사업 기본계획 및 실시설계용역-수공용_용담댐직하류 하천정비공사 설계예산서(남원작성)- 2" xfId="7572" xr:uid="{00000000-0005-0000-0000-0000DD0A0000}"/>
    <cellStyle name="_오수차집연결공사_댐직하류 하천정비(환경)사업 기본계획 및 실시설계용역-수공용_용담댐직하류 하천정비공사 설계예산서(남원작성)-_용담댐하류하천환경정비사업설계예산서(건희)" xfId="5439" xr:uid="{00000000-0005-0000-0000-0000DE0A0000}"/>
    <cellStyle name="_오수차집연결공사_댐직하류 하천정비(환경)사업 기본계획 및 실시설계용역-수공용_용담댐직하류 하천정비공사 설계예산서(남원작성)-_용담댐하류하천환경정비사업설계예산서(건희)_1) 신천금호강 종합개발 기본설계" xfId="5440" xr:uid="{00000000-0005-0000-0000-0000DF0A0000}"/>
    <cellStyle name="_오수차집연결공사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5441" xr:uid="{00000000-0005-0000-0000-0000E00A0000}"/>
    <cellStyle name="_오수차집연결공사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5442" xr:uid="{00000000-0005-0000-0000-0000E10A0000}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신천-금호강)" xfId="5443" xr:uid="{00000000-0005-0000-0000-0000E20A0000}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5444" xr:uid="{00000000-0005-0000-0000-0000E30A0000}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5445" xr:uid="{00000000-0005-0000-0000-0000E40A0000}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전체)" xfId="5446" xr:uid="{00000000-0005-0000-0000-0000E50A0000}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5447" xr:uid="{00000000-0005-0000-0000-0000E60A0000}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5448" xr:uid="{00000000-0005-0000-0000-0000E70A0000}"/>
    <cellStyle name="_오수차집연결공사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5449" xr:uid="{00000000-0005-0000-0000-0000E80A0000}"/>
    <cellStyle name="_오수차집연결공사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5450" xr:uid="{00000000-0005-0000-0000-0000E90A0000}"/>
    <cellStyle name="_오수차집연결공사_댐직하류 하천정비(환경)사업 기본계획 및 실시설계용역-수공용_용담댐직하류 하천정비공사 설계예산서(남원작성)-_용담댐하류하천환경정비사업설계예산서(건희)_심사내역서" xfId="5451" xr:uid="{00000000-0005-0000-0000-0000EA0A0000}"/>
    <cellStyle name="_오수차집연결공사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573" xr:uid="{00000000-0005-0000-0000-0000EB0A0000}"/>
    <cellStyle name="_오수차집연결공사_댐직하류 하천정비(환경)사업 기본계획 및 실시설계용역-수공용_용담댐직하류 하천정비공사 설계예산서(남원작성)-_용담댐하류하천환경정비사업설계예산서(건희)_욱수천 하천재해예방사업 내역서" xfId="5452" xr:uid="{00000000-0005-0000-0000-0000EC0A0000}"/>
    <cellStyle name="_오수차집연결공사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5453" xr:uid="{00000000-0005-0000-0000-0000ED0A0000}"/>
    <cellStyle name="_오수차집연결공사_댐직하류 하천정비(환경)사업 기본계획 및 실시설계용역-수공용_용담댐직하류 하천정비공사 설계예산서(남원작성)-_욱수천 하천재해예방사업 내역서" xfId="5454" xr:uid="{00000000-0005-0000-0000-0000EE0A0000}"/>
    <cellStyle name="_오수차집연결공사_댐직하류 하천정비(환경)사업 기본계획 및 실시설계용역-수공용_용담댐직하류 하천정비공사 설계예산서(남원작성)-_욱수천 하천재해예방사업 내역서_002 욱수천정비공사실시설계 내역서_090113" xfId="5455" xr:uid="{00000000-0005-0000-0000-0000EF0A0000}"/>
    <cellStyle name="_오수차집연결공사_댐직하류 하천정비(환경)사업 기본계획 및 실시설계용역-수공용_용담댐하류하천환경정비사업설계예산서(건희)" xfId="5456" xr:uid="{00000000-0005-0000-0000-0000F00A0000}"/>
    <cellStyle name="_오수차집연결공사_댐직하류 하천정비(환경)사업 기본계획 및 실시설계용역-수공용_용담댐하류하천환경정비사업설계예산서(건희)_1) 신천금호강 종합개발 기본설계" xfId="5457" xr:uid="{00000000-0005-0000-0000-0000F10A0000}"/>
    <cellStyle name="_오수차집연결공사_댐직하류 하천정비(환경)사업 기본계획 및 실시설계용역-수공용_용담댐하류하천환경정비사업설계예산서(건희)_2) 신천금호강 종합개발 동영상제작(변경최종)" xfId="5458" xr:uid="{00000000-0005-0000-0000-0000F20A0000}"/>
    <cellStyle name="_오수차집연결공사_댐직하류 하천정비(환경)사업 기본계획 및 실시설계용역-수공용_용담댐하류하천환경정비사업설계예산서(건희)_3) 신천금호강 종합개발 산책로 실시설계(변경최종)" xfId="5459" xr:uid="{00000000-0005-0000-0000-0000F30A0000}"/>
    <cellStyle name="_오수차집연결공사_댐직하류 하천정비(환경)사업 기본계획 및 실시설계용역-수공용_용담댐하류하천환경정비사업설계예산서(건희)_설계내역서(신천-금호강)" xfId="5460" xr:uid="{00000000-0005-0000-0000-0000F40A0000}"/>
    <cellStyle name="_오수차집연결공사_댐직하류 하천정비(환경)사업 기본계획 및 실시설계용역-수공용_용담댐하류하천환경정비사업설계예산서(건희)_설계내역서(신천-금호강)_욱수천 하천재해예방사업 내역서" xfId="5461" xr:uid="{00000000-0005-0000-0000-0000F50A0000}"/>
    <cellStyle name="_오수차집연결공사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5462" xr:uid="{00000000-0005-0000-0000-0000F60A0000}"/>
    <cellStyle name="_오수차집연결공사_댐직하류 하천정비(환경)사업 기본계획 및 실시설계용역-수공용_용담댐하류하천환경정비사업설계예산서(건희)_설계내역서(전체)" xfId="5463" xr:uid="{00000000-0005-0000-0000-0000F70A0000}"/>
    <cellStyle name="_오수차집연결공사_댐직하류 하천정비(환경)사업 기본계획 및 실시설계용역-수공용_용담댐하류하천환경정비사업설계예산서(건희)_설계내역서(전체)_욱수천 하천재해예방사업 내역서" xfId="5464" xr:uid="{00000000-0005-0000-0000-0000F80A0000}"/>
    <cellStyle name="_오수차집연결공사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5465" xr:uid="{00000000-0005-0000-0000-0000F90A0000}"/>
    <cellStyle name="_오수차집연결공사_댐직하류 하천정비(환경)사업 기본계획 및 실시설계용역-수공용_용담댐하류하천환경정비사업설계예산서(건희)_신천금호강 종합개발 기본설계  내역서(수정분)" xfId="5466" xr:uid="{00000000-0005-0000-0000-0000FA0A0000}"/>
    <cellStyle name="_오수차집연결공사_댐직하류 하천정비(환경)사업 기본계획 및 실시설계용역-수공용_용담댐하류하천환경정비사업설계예산서(건희)_신천금호강내역서(수정-보오링,사전재해및환경성제외,측량연장조정9(1).95억0726)" xfId="5467" xr:uid="{00000000-0005-0000-0000-0000FB0A0000}"/>
    <cellStyle name="_오수차집연결공사_댐직하류 하천정비(환경)사업 기본계획 및 실시설계용역-수공용_용담댐하류하천환경정비사업설계예산서(건희)_심사내역서" xfId="5468" xr:uid="{00000000-0005-0000-0000-0000FC0A0000}"/>
    <cellStyle name="_오수차집연결공사_댐직하류 하천정비(환경)사업 기본계획 및 실시설계용역-수공용_용담댐하류하천환경정비사업설계예산서(건희)_용담댐하류하천환경정비사업설계예산서(건희)" xfId="7574" xr:uid="{00000000-0005-0000-0000-0000FD0A0000}"/>
    <cellStyle name="_오수차집연결공사_댐직하류 하천정비(환경)사업 기본계획 및 실시설계용역-수공용_용담댐하류하천환경정비사업설계예산서(건희)_욱수천 하천재해예방사업 내역서" xfId="5469" xr:uid="{00000000-0005-0000-0000-0000FE0A0000}"/>
    <cellStyle name="_오수차집연결공사_댐직하류 하천정비(환경)사업 기본계획 및 실시설계용역-수공용_용담댐하류하천환경정비사업설계예산서(건희)_욱수천 하천재해예방사업 내역서_002 욱수천정비공사실시설계 내역서_090113" xfId="5470" xr:uid="{00000000-0005-0000-0000-0000FF0A0000}"/>
    <cellStyle name="_오수차집연결공사_댐직하류 하천정비(환경)사업 기본계획 및 실시설계용역-수공용_욱수천 하천재해예방사업 내역서" xfId="5471" xr:uid="{00000000-0005-0000-0000-0000000B0000}"/>
    <cellStyle name="_오수차집연결공사_댐직하류 하천정비(환경)사업 기본계획 및 실시설계용역-수공용_욱수천 하천재해예방사업 내역서_002 욱수천정비공사실시설계 내역서_090113" xfId="5472" xr:uid="{00000000-0005-0000-0000-0000010B0000}"/>
    <cellStyle name="_오수차집연결공사_용담댐하류하천환경정비사업설계예산서(건희)" xfId="5473" xr:uid="{00000000-0005-0000-0000-0000020B0000}"/>
    <cellStyle name="_오수차집연결공사_용담댐하류하천환경정비사업설계예산서(건희)_1) 신천금호강 종합개발 기본설계" xfId="5474" xr:uid="{00000000-0005-0000-0000-0000030B0000}"/>
    <cellStyle name="_오수차집연결공사_용담댐하류하천환경정비사업설계예산서(건희)_2) 신천금호강 종합개발 동영상제작(변경최종)" xfId="5475" xr:uid="{00000000-0005-0000-0000-0000040B0000}"/>
    <cellStyle name="_오수차집연결공사_용담댐하류하천환경정비사업설계예산서(건희)_3) 신천금호강 종합개발 산책로 실시설계(변경최종)" xfId="5476" xr:uid="{00000000-0005-0000-0000-0000050B0000}"/>
    <cellStyle name="_오수차집연결공사_용담댐하류하천환경정비사업설계예산서(건희)_설계내역서(신천-금호강)" xfId="5477" xr:uid="{00000000-0005-0000-0000-0000060B0000}"/>
    <cellStyle name="_오수차집연결공사_용담댐하류하천환경정비사업설계예산서(건희)_설계내역서(신천-금호강)_욱수천 하천재해예방사업 내역서" xfId="5478" xr:uid="{00000000-0005-0000-0000-0000070B0000}"/>
    <cellStyle name="_오수차집연결공사_용담댐하류하천환경정비사업설계예산서(건희)_설계내역서(신천-금호강)_욱수천 하천재해예방사업 내역서_002 욱수천정비공사실시설계 내역서_090113" xfId="5479" xr:uid="{00000000-0005-0000-0000-0000080B0000}"/>
    <cellStyle name="_오수차집연결공사_용담댐하류하천환경정비사업설계예산서(건희)_설계내역서(전체)" xfId="5480" xr:uid="{00000000-0005-0000-0000-0000090B0000}"/>
    <cellStyle name="_오수차집연결공사_용담댐하류하천환경정비사업설계예산서(건희)_설계내역서(전체)_욱수천 하천재해예방사업 내역서" xfId="5481" xr:uid="{00000000-0005-0000-0000-00000A0B0000}"/>
    <cellStyle name="_오수차집연결공사_용담댐하류하천환경정비사업설계예산서(건희)_설계내역서(전체)_욱수천 하천재해예방사업 내역서_002 욱수천정비공사실시설계 내역서_090113" xfId="5482" xr:uid="{00000000-0005-0000-0000-00000B0B0000}"/>
    <cellStyle name="_오수차집연결공사_용담댐하류하천환경정비사업설계예산서(건희)_신천금호강 종합개발 기본설계  내역서(수정분)" xfId="5483" xr:uid="{00000000-0005-0000-0000-00000C0B0000}"/>
    <cellStyle name="_오수차집연결공사_용담댐하류하천환경정비사업설계예산서(건희)_신천금호강내역서(수정-보오링,사전재해및환경성제외,측량연장조정9(1).95억0726)" xfId="5484" xr:uid="{00000000-0005-0000-0000-00000D0B0000}"/>
    <cellStyle name="_오수차집연결공사_용담댐하류하천환경정비사업설계예산서(건희)_심사내역서" xfId="5485" xr:uid="{00000000-0005-0000-0000-00000E0B0000}"/>
    <cellStyle name="_오수차집연결공사_용담댐하류하천환경정비사업설계예산서(건희)_용담댐하류하천환경정비사업설계예산서(건희)" xfId="7575" xr:uid="{00000000-0005-0000-0000-00000F0B0000}"/>
    <cellStyle name="_오수차집연결공사_용담댐하류하천환경정비사업설계예산서(건희)_욱수천 하천재해예방사업 내역서" xfId="5486" xr:uid="{00000000-0005-0000-0000-0000100B0000}"/>
    <cellStyle name="_오수차집연결공사_용담댐하류하천환경정비사업설계예산서(건희)_욱수천 하천재해예방사업 내역서_002 욱수천정비공사실시설계 내역서_090113" xfId="5487" xr:uid="{00000000-0005-0000-0000-0000110B0000}"/>
    <cellStyle name="_오수차집연결공사_욱수천 하천재해예방사업 내역서" xfId="5488" xr:uid="{00000000-0005-0000-0000-0000120B0000}"/>
    <cellStyle name="_오수차집연결공사_욱수천 하천재해예방사업 내역서_002 욱수천정비공사실시설계 내역서_090113" xfId="5489" xr:uid="{00000000-0005-0000-0000-0000130B0000}"/>
    <cellStyle name="_오염총량관리 하수관거정비 감리내역서(총괄)-1" xfId="2094" xr:uid="{00000000-0005-0000-0000-0000140B0000}"/>
    <cellStyle name="_오트로닉스비교 RMS1800STD" xfId="724" xr:uid="{00000000-0005-0000-0000-0000150B0000}"/>
    <cellStyle name="_오트로닉스비교 RMS1800STD 2" xfId="7576" xr:uid="{00000000-0005-0000-0000-0000160B0000}"/>
    <cellStyle name="_옥곡수량" xfId="725" xr:uid="{00000000-0005-0000-0000-0000170B0000}"/>
    <cellStyle name="_옥동천변경내역(최종)" xfId="5490" xr:uid="{00000000-0005-0000-0000-0000180B0000}"/>
    <cellStyle name="_옥동천변경내역(최종) 2" xfId="7577" xr:uid="{00000000-0005-0000-0000-0000190B0000}"/>
    <cellStyle name="_옥동천변경내역(최종)_091110 안성천권역(중하류) 설계내역서" xfId="7578" xr:uid="{00000000-0005-0000-0000-00001A0B0000}"/>
    <cellStyle name="_옥동천변경내역(최종)_100120 안성천권역(중하류) 2차분내역서" xfId="6879" xr:uid="{00000000-0005-0000-0000-00001B0B0000}"/>
    <cellStyle name="_옥동천변경내역(최종)_100120 안성천권역(중하류) 2차분내역서 2" xfId="7579" xr:uid="{00000000-0005-0000-0000-00001C0B0000}"/>
    <cellStyle name="_옥동천변경내역(최종)_논산천 권역 하천기본계획 설계예산서" xfId="7580" xr:uid="{00000000-0005-0000-0000-00001D0B0000}"/>
    <cellStyle name="_옥동천변경내역(최종)_사본 - 황강중류권역 하천기본계획 예산서(황강 미포함)-2차분_ rev2" xfId="6880" xr:uid="{00000000-0005-0000-0000-00001E0B0000}"/>
    <cellStyle name="_옥동천변경내역(최종)_소양강 상류권역 하천기본계획(변경) 및 하천시설관리대장작성_Lidar측량" xfId="7581" xr:uid="{00000000-0005-0000-0000-00001F0B0000}"/>
    <cellStyle name="_옥동천변경내역(최종)_안양천 하천기본계획 예산서_보완중" xfId="7582" xr:uid="{00000000-0005-0000-0000-0000200B0000}"/>
    <cellStyle name="_옥동천변경내역(최종)_안양천권역 하천기본계획 설계예산서" xfId="7583" xr:uid="{00000000-0005-0000-0000-0000210B0000}"/>
    <cellStyle name="_옥동천변경내역(최종)_한강하류 하천기본계획 설계예산서(지형측량)" xfId="7584" xr:uid="{00000000-0005-0000-0000-0000220B0000}"/>
    <cellStyle name="_옥동천변경내역(최종)_한강하류내역서2" xfId="7585" xr:uid="{00000000-0005-0000-0000-0000230B0000}"/>
    <cellStyle name="_옥동천변경내역(최종)_한탄강 하천기본계획 예산서_최종2" xfId="7586" xr:uid="{00000000-0005-0000-0000-0000240B0000}"/>
    <cellStyle name="_옥동천변경내역(최종)_한탄강권역 하천기본계획 설계예산서(지형측량)" xfId="7587" xr:uid="{00000000-0005-0000-0000-0000250B0000}"/>
    <cellStyle name="_옥포실행" xfId="726" xr:uid="{00000000-0005-0000-0000-0000260B0000}"/>
    <cellStyle name="_온더아이티_BS 서버견적" xfId="5491" xr:uid="{00000000-0005-0000-0000-0000270B0000}"/>
    <cellStyle name="_온더아이티_BS 서버견적 2" xfId="7588" xr:uid="{00000000-0005-0000-0000-0000280B0000}"/>
    <cellStyle name="_왕가봉정비공사" xfId="5492" xr:uid="{00000000-0005-0000-0000-0000290B0000}"/>
    <cellStyle name="_용담댐3차원하천-070515" xfId="5493" xr:uid="{00000000-0005-0000-0000-00002A0B0000}"/>
    <cellStyle name="_용담댐3차원하천-070515 2" xfId="7589" xr:uid="{00000000-0005-0000-0000-00002B0B0000}"/>
    <cellStyle name="_용담댐직하류 하천정비공사 설계예산서(남원작성)" xfId="5494" xr:uid="{00000000-0005-0000-0000-00002C0B0000}"/>
    <cellStyle name="_용담댐직하류 하천정비공사 설계예산서(남원작성)-" xfId="5495" xr:uid="{00000000-0005-0000-0000-00002D0B0000}"/>
    <cellStyle name="_용담댐직하류 하천정비공사 설계예산서(남원작성) 2" xfId="7590" xr:uid="{00000000-0005-0000-0000-00002E0B0000}"/>
    <cellStyle name="_용담댐직하류 하천정비공사 설계예산서(남원작성)- 2" xfId="7591" xr:uid="{00000000-0005-0000-0000-00002F0B0000}"/>
    <cellStyle name="_용담댐직하류 하천정비공사 설계예산서(남원작성) 3" xfId="7592" xr:uid="{00000000-0005-0000-0000-0000300B0000}"/>
    <cellStyle name="_용담댐직하류 하천정비공사 설계예산서(남원작성)- 3" xfId="7593" xr:uid="{00000000-0005-0000-0000-0000310B0000}"/>
    <cellStyle name="_용담댐직하류 하천정비공사 설계예산서(남원작성) 4" xfId="7594" xr:uid="{00000000-0005-0000-0000-0000320B0000}"/>
    <cellStyle name="_용담댐직하류 하천정비공사 설계예산서(남원작성)- 4" xfId="7595" xr:uid="{00000000-0005-0000-0000-0000330B0000}"/>
    <cellStyle name="_용담댐직하류 하천정비공사 설계예산서(남원작성) 5" xfId="7596" xr:uid="{00000000-0005-0000-0000-0000340B0000}"/>
    <cellStyle name="_용담댐직하류 하천정비공사 설계예산서(남원작성)- 5" xfId="7597" xr:uid="{00000000-0005-0000-0000-0000350B0000}"/>
    <cellStyle name="_용담댐직하류 하천정비공사 설계예산서(남원작성) 6" xfId="7598" xr:uid="{00000000-0005-0000-0000-0000360B0000}"/>
    <cellStyle name="_용담댐직하류 하천정비공사 설계예산서(남원작성)- 6" xfId="7599" xr:uid="{00000000-0005-0000-0000-0000370B0000}"/>
    <cellStyle name="_용담댐직하류 하천정비공사 설계예산서(남원작성)-_091110 안성천권역(중하류) 설계내역서" xfId="7600" xr:uid="{00000000-0005-0000-0000-0000380B0000}"/>
    <cellStyle name="_용담댐직하류 하천정비공사 설계예산서(남원작성)-_100120 안성천권역(중하류) 2차분내역서" xfId="6881" xr:uid="{00000000-0005-0000-0000-0000390B0000}"/>
    <cellStyle name="_용담댐직하류 하천정비공사 설계예산서(남원작성)-_100120 안성천권역(중하류) 2차분내역서 2" xfId="7601" xr:uid="{00000000-0005-0000-0000-00003A0B0000}"/>
    <cellStyle name="_용담댐직하류 하천정비공사 설계예산서(남원작성)-_논산천 권역 하천기본계획 설계예산서" xfId="7602" xr:uid="{00000000-0005-0000-0000-00003B0B0000}"/>
    <cellStyle name="_용담댐직하류 하천정비공사 설계예산서(남원작성)-_사본 - 황강중류권역 하천기본계획 예산서(황강 미포함)-2차분_ rev2" xfId="6882" xr:uid="{00000000-0005-0000-0000-00003C0B0000}"/>
    <cellStyle name="_용담댐직하류 하천정비공사 설계예산서(남원작성)-_소양강 상류권역 하천기본계획(변경) 및 하천시설관리대장작성_Lidar측량" xfId="7603" xr:uid="{00000000-0005-0000-0000-00003D0B0000}"/>
    <cellStyle name="_용담댐직하류 하천정비공사 설계예산서(남원작성)-_안양천 하천기본계획 예산서_보완중" xfId="7604" xr:uid="{00000000-0005-0000-0000-00003E0B0000}"/>
    <cellStyle name="_용담댐직하류 하천정비공사 설계예산서(남원작성)-_안양천권역 하천기본계획 설계예산서" xfId="7605" xr:uid="{00000000-0005-0000-0000-00003F0B0000}"/>
    <cellStyle name="_용담댐직하류 하천정비공사 설계예산서(남원작성)-_한강하류 하천기본계획 설계예산서(지형측량)" xfId="7606" xr:uid="{00000000-0005-0000-0000-0000400B0000}"/>
    <cellStyle name="_용담댐직하류 하천정비공사 설계예산서(남원작성)-_한강하류내역서2" xfId="7607" xr:uid="{00000000-0005-0000-0000-0000410B0000}"/>
    <cellStyle name="_용담댐직하류 하천정비공사 설계예산서(남원작성)-_한탄강 하천기본계획 예산서_최종2" xfId="7608" xr:uid="{00000000-0005-0000-0000-0000420B0000}"/>
    <cellStyle name="_용담댐직하류 하천정비공사 설계예산서(남원작성)-_한탄강권역 하천기본계획 설계예산서(지형측량)" xfId="7609" xr:uid="{00000000-0005-0000-0000-0000430B0000}"/>
    <cellStyle name="_용수관급(가압펌프장)" xfId="2095" xr:uid="{00000000-0005-0000-0000-0000440B0000}"/>
    <cellStyle name="_용인흥덕_시설종합관리_200610_15" xfId="5496" xr:uid="{00000000-0005-0000-0000-0000450B0000}"/>
    <cellStyle name="_용인흥덕_시설종합관리_200610_15 2" xfId="7610" xr:uid="{00000000-0005-0000-0000-0000460B0000}"/>
    <cellStyle name="_용전천 생태하천조성기본및실시설계용역-작성중(사전환경성제외)" xfId="5497" xr:uid="{00000000-0005-0000-0000-0000470B0000}"/>
    <cellStyle name="_용정2p3(아포)" xfId="5498" xr:uid="{00000000-0005-0000-0000-0000480B0000}"/>
    <cellStyle name="_용정2p3(아포)_상수도급수난지역개선공사 일위대가표" xfId="5499" xr:uid="{00000000-0005-0000-0000-0000490B0000}"/>
    <cellStyle name="_용정2p3(아포)_송절2구(토공)" xfId="5500" xr:uid="{00000000-0005-0000-0000-00004A0B0000}"/>
    <cellStyle name="_용정2p3(아포)_송절2구(토공)_시설관리사업소-급수난지역 2005-10" xfId="5501" xr:uid="{00000000-0005-0000-0000-00004B0B0000}"/>
    <cellStyle name="_용정2p3(아포)_시설관리사업소-급수난지역 2005-10" xfId="5502" xr:uid="{00000000-0005-0000-0000-00004C0B0000}"/>
    <cellStyle name="_용정2p3(아포)_토공(오근장동)" xfId="5503" xr:uid="{00000000-0005-0000-0000-00004D0B0000}"/>
    <cellStyle name="_용정2p3(아포)_토공(오근장동)_시설관리사업소-급수난지역 2005-10" xfId="5504" xr:uid="{00000000-0005-0000-0000-00004E0B0000}"/>
    <cellStyle name="_우포습지타당성-1" xfId="7611" xr:uid="{00000000-0005-0000-0000-00004F0B0000}"/>
    <cellStyle name="_울릉군 소하천정비종합계획 내역서(070709)" xfId="5505" xr:uid="{00000000-0005-0000-0000-0000500B0000}"/>
    <cellStyle name="_울릉군 소하천정비종합계획 내역서(070709) 2" xfId="7612" xr:uid="{00000000-0005-0000-0000-0000510B0000}"/>
    <cellStyle name="_울산시총괄안-20030509v1" xfId="5506" xr:uid="{00000000-0005-0000-0000-0000520B0000}"/>
    <cellStyle name="_울산시총괄안-20030509v1 2" xfId="7613" xr:uid="{00000000-0005-0000-0000-0000530B0000}"/>
    <cellStyle name="_웅천 하천기본계획 사전환경성검토 내역서(091021)-행정계획" xfId="5507" xr:uid="{00000000-0005-0000-0000-0000540B0000}"/>
    <cellStyle name="_원가계산서(양식)" xfId="5508" xr:uid="{00000000-0005-0000-0000-0000550B0000}"/>
    <cellStyle name="_원가계산서(양식) 2" xfId="7614" xr:uid="{00000000-0005-0000-0000-0000560B0000}"/>
    <cellStyle name="_웹기반 범용프로그램 기본설계용역 예산설계서_050322" xfId="5509" xr:uid="{00000000-0005-0000-0000-0000570B0000}"/>
    <cellStyle name="_웹기반 범용프로그램 기본설계용역 예산설계서_050322 2" xfId="7615" xr:uid="{00000000-0005-0000-0000-0000580B0000}"/>
    <cellStyle name="_웹기반 수치지도 활용시스템 도입 설계서_1.1" xfId="5510" xr:uid="{00000000-0005-0000-0000-0000590B0000}"/>
    <cellStyle name="_웹기반 수치지도 활용시스템 도입 설계서_1.1 2" xfId="7616" xr:uid="{00000000-0005-0000-0000-00005A0B0000}"/>
    <cellStyle name="_웹기반 수치지도 활용시스템 도입 설계서_2.0" xfId="5511" xr:uid="{00000000-0005-0000-0000-00005B0B0000}"/>
    <cellStyle name="_웹기반 수치지도 활용시스템 도입 설계서_2.0 2" xfId="7617" xr:uid="{00000000-0005-0000-0000-00005C0B0000}"/>
    <cellStyle name="_유관기관연계시스템개발내역서" xfId="5512" xr:uid="{00000000-0005-0000-0000-00005D0B0000}"/>
    <cellStyle name="_유관기관연계시스템개발내역서 2" xfId="7618" xr:uid="{00000000-0005-0000-0000-00005E0B0000}"/>
    <cellStyle name="_유재복차장(CP10,17,HP5100_mail)" xfId="5513" xr:uid="{00000000-0005-0000-0000-00005F0B0000}"/>
    <cellStyle name="_유첨3(서식)" xfId="2096" xr:uid="{00000000-0005-0000-0000-0000600B0000}"/>
    <cellStyle name="_유첨3(서식) 2" xfId="7619" xr:uid="{00000000-0005-0000-0000-0000610B0000}"/>
    <cellStyle name="_유첨3(서식)_091110 안성천권역(중하류) 설계내역서" xfId="7620" xr:uid="{00000000-0005-0000-0000-0000620B0000}"/>
    <cellStyle name="_유첨3(서식)_1" xfId="2097" xr:uid="{00000000-0005-0000-0000-0000630B0000}"/>
    <cellStyle name="_유첨3(서식)_1 2" xfId="7621" xr:uid="{00000000-0005-0000-0000-0000640B0000}"/>
    <cellStyle name="_유첨3(서식)_100120 안성천권역(중하류) 2차분내역서" xfId="6883" xr:uid="{00000000-0005-0000-0000-0000650B0000}"/>
    <cellStyle name="_유첨3(서식)_100120 안성천권역(중하류) 2차분내역서 2" xfId="7622" xr:uid="{00000000-0005-0000-0000-0000660B0000}"/>
    <cellStyle name="_유첨3(서식)_논산천 권역 하천기본계획 설계예산서" xfId="7623" xr:uid="{00000000-0005-0000-0000-0000670B0000}"/>
    <cellStyle name="_유첨3(서식)_사본 - 황강중류권역 하천기본계획 예산서(황강 미포함)-2차분_ rev2" xfId="6884" xr:uid="{00000000-0005-0000-0000-0000680B0000}"/>
    <cellStyle name="_유첨3(서식)_소양강 상류권역 하천기본계획(변경) 및 하천시설관리대장작성_Lidar측량" xfId="7624" xr:uid="{00000000-0005-0000-0000-0000690B0000}"/>
    <cellStyle name="_유첨3(서식)_안양천 하천기본계획 예산서_보완중" xfId="7625" xr:uid="{00000000-0005-0000-0000-00006A0B0000}"/>
    <cellStyle name="_유첨3(서식)_안양천권역 하천기본계획 설계예산서" xfId="7626" xr:uid="{00000000-0005-0000-0000-00006B0B0000}"/>
    <cellStyle name="_유첨3(서식)_한강하류 하천기본계획 설계예산서(지형측량)" xfId="7627" xr:uid="{00000000-0005-0000-0000-00006C0B0000}"/>
    <cellStyle name="_유첨3(서식)_한강하류내역서2" xfId="7628" xr:uid="{00000000-0005-0000-0000-00006D0B0000}"/>
    <cellStyle name="_유첨3(서식)_한탄강 하천기본계획 예산서_최종2" xfId="7629" xr:uid="{00000000-0005-0000-0000-00006E0B0000}"/>
    <cellStyle name="_유첨3(서식)_한탄강권역 하천기본계획 설계예산서(지형측량)" xfId="7630" xr:uid="{00000000-0005-0000-0000-00006F0B0000}"/>
    <cellStyle name="_은평공원테니스장정비공사" xfId="5514" xr:uid="{00000000-0005-0000-0000-0000700B0000}"/>
    <cellStyle name="_은행천변경내역서(061128)" xfId="5515" xr:uid="{00000000-0005-0000-0000-0000710B0000}"/>
    <cellStyle name="_은행천변경내역서(061128) 2" xfId="7631" xr:uid="{00000000-0005-0000-0000-0000720B0000}"/>
    <cellStyle name="_은행천변경내역서(061128)_091110 안성천권역(중하류) 설계내역서" xfId="7632" xr:uid="{00000000-0005-0000-0000-0000730B0000}"/>
    <cellStyle name="_은행천변경내역서(061128)_100120 안성천권역(중하류) 2차분내역서" xfId="6885" xr:uid="{00000000-0005-0000-0000-0000740B0000}"/>
    <cellStyle name="_은행천변경내역서(061128)_100120 안성천권역(중하류) 2차분내역서 2" xfId="7633" xr:uid="{00000000-0005-0000-0000-0000750B0000}"/>
    <cellStyle name="_은행천변경내역서(061128)_논산천 권역 하천기본계획 설계예산서" xfId="7634" xr:uid="{00000000-0005-0000-0000-0000760B0000}"/>
    <cellStyle name="_은행천변경내역서(061128)_사본 - 황강중류권역 하천기본계획 예산서(황강 미포함)-2차분_ rev2" xfId="6886" xr:uid="{00000000-0005-0000-0000-0000770B0000}"/>
    <cellStyle name="_은행천변경내역서(061128)_소양강 상류권역 하천기본계획(변경) 및 하천시설관리대장작성_Lidar측량" xfId="7635" xr:uid="{00000000-0005-0000-0000-0000780B0000}"/>
    <cellStyle name="_은행천변경내역서(061128)_안양천 하천기본계획 예산서_보완중" xfId="7636" xr:uid="{00000000-0005-0000-0000-0000790B0000}"/>
    <cellStyle name="_은행천변경내역서(061128)_안양천권역 하천기본계획 설계예산서" xfId="7637" xr:uid="{00000000-0005-0000-0000-00007A0B0000}"/>
    <cellStyle name="_은행천변경내역서(061128)_한강하류 하천기본계획 설계예산서(지형측량)" xfId="7638" xr:uid="{00000000-0005-0000-0000-00007B0B0000}"/>
    <cellStyle name="_은행천변경내역서(061128)_한강하류내역서2" xfId="7639" xr:uid="{00000000-0005-0000-0000-00007C0B0000}"/>
    <cellStyle name="_은행천변경내역서(061128)_한탄강 하천기본계획 예산서_최종2" xfId="7640" xr:uid="{00000000-0005-0000-0000-00007D0B0000}"/>
    <cellStyle name="_은행천변경내역서(061128)_한탄강권역 하천기본계획 설계예산서(지형측량)" xfId="7641" xr:uid="{00000000-0005-0000-0000-00007E0B0000}"/>
    <cellStyle name="_음성방향-p1" xfId="5516" xr:uid="{00000000-0005-0000-0000-00007F0B0000}"/>
    <cellStyle name="_의왕 왕송저수지 조성사업 환경재해영향평가용역" xfId="727" xr:uid="{00000000-0005-0000-0000-0000800B0000}"/>
    <cellStyle name="_의왕 왕송저수지 조성사업 환경재해영향평가용역 2" xfId="7642" xr:uid="{00000000-0005-0000-0000-0000810B0000}"/>
    <cellStyle name="_의왕 왕송저수지 조성사업 환경재해영향평가용역_002 욱수천정비공사실시설계 내역서_090113" xfId="5517" xr:uid="{00000000-0005-0000-0000-0000820B0000}"/>
    <cellStyle name="_의왕 왕송저수지 조성사업 환경재해영향평가용역_서울대 바이오테크 설계내역서" xfId="5518" xr:uid="{00000000-0005-0000-0000-0000830B0000}"/>
    <cellStyle name="_의왕 왕송저수지 조성사업 환경재해영향평가용역_서울대 바이오테크 설계내역서 2" xfId="7643" xr:uid="{00000000-0005-0000-0000-0000840B0000}"/>
    <cellStyle name="_의왕 왕송저수지 조성사업 환경재해영향평가용역_서울대 바이오테크 설계내역서(수정)" xfId="5519" xr:uid="{00000000-0005-0000-0000-0000850B0000}"/>
    <cellStyle name="_의왕 왕송저수지 조성사업 환경재해영향평가용역_서울대 바이오테크 설계내역서(수정) 2" xfId="7644" xr:uid="{00000000-0005-0000-0000-0000860B0000}"/>
    <cellStyle name="_의정부  상하수도 설계내역서_1.2" xfId="5520" xr:uid="{00000000-0005-0000-0000-0000870B0000}"/>
    <cellStyle name="_의정부  상하수도 설계내역서_1.2 2" xfId="7645" xr:uid="{00000000-0005-0000-0000-0000880B0000}"/>
    <cellStyle name="_의정부_설계내역서" xfId="5521" xr:uid="{00000000-0005-0000-0000-0000890B0000}"/>
    <cellStyle name="_의정부_설계내역서 2" xfId="7646" xr:uid="{00000000-0005-0000-0000-00008A0B0000}"/>
    <cellStyle name="_의정부_설계내역서(제출용)" xfId="5522" xr:uid="{00000000-0005-0000-0000-00008B0B0000}"/>
    <cellStyle name="_의정부_설계내역서(제출용) 2" xfId="7647" xr:uid="{00000000-0005-0000-0000-00008C0B0000}"/>
    <cellStyle name="_이담지리지 보완확장사업 설계내역서_1.1" xfId="5523" xr:uid="{00000000-0005-0000-0000-00008D0B0000}"/>
    <cellStyle name="_이담지리지 보완확장사업 설계내역서_1.1 2" xfId="7648" xr:uid="{00000000-0005-0000-0000-00008E0B0000}"/>
    <cellStyle name="_인구평가(시흥군자지구)(1).xls-수정" xfId="5524" xr:uid="{00000000-0005-0000-0000-00008F0B0000}"/>
    <cellStyle name="_인삼랜드내역서" xfId="5525" xr:uid="{00000000-0005-0000-0000-0000900B0000}"/>
    <cellStyle name="_인원계획표 " xfId="728" xr:uid="{00000000-0005-0000-0000-0000910B0000}"/>
    <cellStyle name="_인원계획표 _12월 자금청구-창원반송" xfId="729" xr:uid="{00000000-0005-0000-0000-0000920B0000}"/>
    <cellStyle name="_인원계획표 _17공구" xfId="2098" xr:uid="{00000000-0005-0000-0000-0000930B0000}"/>
    <cellStyle name="_인원계획표 _17공구_병천하수 견적060412" xfId="2099" xr:uid="{00000000-0005-0000-0000-0000940B0000}"/>
    <cellStyle name="_인원계획표 _17공구_사본 - 기성내역서(대경엔텍)" xfId="2100" xr:uid="{00000000-0005-0000-0000-0000950B0000}"/>
    <cellStyle name="_인원계획표 _17공구_사본 - 기성내역서(대경엔텍)_병천하수 견적060412" xfId="2101" xr:uid="{00000000-0005-0000-0000-0000960B0000}"/>
    <cellStyle name="_인원계획표 _17공구_사본 - 기성내역서(대경엔텍)_산북하수견적서" xfId="2102" xr:uid="{00000000-0005-0000-0000-0000970B0000}"/>
    <cellStyle name="_인원계획표 _17공구_사본 - 기성내역서(대경엔텍)_통일하수내역서" xfId="2103" xr:uid="{00000000-0005-0000-0000-0000980B0000}"/>
    <cellStyle name="_인원계획표 _17공구_산북하수견적서" xfId="2104" xr:uid="{00000000-0005-0000-0000-0000990B0000}"/>
    <cellStyle name="_인원계획표 _17공구_제1회설계변경내역서(11.15~)update" xfId="2105" xr:uid="{00000000-0005-0000-0000-00009A0B0000}"/>
    <cellStyle name="_인원계획표 _17공구_제2회기성내역서(1차+2차공사)" xfId="2106" xr:uid="{00000000-0005-0000-0000-00009B0B0000}"/>
    <cellStyle name="_인원계획표 _17공구_제2회기성내역서(1차+2차공사)_병천하수 견적060412" xfId="2107" xr:uid="{00000000-0005-0000-0000-00009C0B0000}"/>
    <cellStyle name="_인원계획표 _17공구_제2회기성내역서(1차+2차공사)_산북하수견적서" xfId="2108" xr:uid="{00000000-0005-0000-0000-00009D0B0000}"/>
    <cellStyle name="_인원계획표 _17공구_제2회기성내역서(1차+2차공사)_제7회기성내역서(1차+2차공사)~ing" xfId="2109" xr:uid="{00000000-0005-0000-0000-00009E0B0000}"/>
    <cellStyle name="_인원계획표 _17공구_제2회기성내역서(1차+2차공사)_제7회기성내역서(1차+2차공사)~ing_병천하수 견적060412" xfId="2110" xr:uid="{00000000-0005-0000-0000-00009F0B0000}"/>
    <cellStyle name="_인원계획표 _17공구_제2회기성내역서(1차+2차공사)_제7회기성내역서(1차+2차공사)~ing_산북하수견적서" xfId="2111" xr:uid="{00000000-0005-0000-0000-0000A00B0000}"/>
    <cellStyle name="_인원계획표 _17공구_제2회기성내역서(1차+2차공사)_제7회기성내역서(1차+2차공사)~ing_통일하수내역서" xfId="2112" xr:uid="{00000000-0005-0000-0000-0000A10B0000}"/>
    <cellStyle name="_인원계획표 _17공구_제2회기성내역서(1차+2차공사)_통일하수내역서" xfId="2113" xr:uid="{00000000-0005-0000-0000-0000A20B0000}"/>
    <cellStyle name="_인원계획표 _17공구_통일하수내역서" xfId="2114" xr:uid="{00000000-0005-0000-0000-0000A30B0000}"/>
    <cellStyle name="_인원계획표 _Book1" xfId="730" xr:uid="{00000000-0005-0000-0000-0000A40B0000}"/>
    <cellStyle name="_인원계획표 _hs 보령우회" xfId="2115" xr:uid="{00000000-0005-0000-0000-0000A50B0000}"/>
    <cellStyle name="_인원계획표 _hs 보령우회_병천하수 견적060412" xfId="2116" xr:uid="{00000000-0005-0000-0000-0000A60B0000}"/>
    <cellStyle name="_인원계획표 _hs 보령우회_사본 - 기성내역서(대경엔텍)" xfId="2117" xr:uid="{00000000-0005-0000-0000-0000A70B0000}"/>
    <cellStyle name="_인원계획표 _hs 보령우회_사본 - 기성내역서(대경엔텍)_병천하수 견적060412" xfId="2118" xr:uid="{00000000-0005-0000-0000-0000A80B0000}"/>
    <cellStyle name="_인원계획표 _hs 보령우회_사본 - 기성내역서(대경엔텍)_산북하수견적서" xfId="2119" xr:uid="{00000000-0005-0000-0000-0000A90B0000}"/>
    <cellStyle name="_인원계획표 _hs 보령우회_사본 - 기성내역서(대경엔텍)_통일하수내역서" xfId="2120" xr:uid="{00000000-0005-0000-0000-0000AA0B0000}"/>
    <cellStyle name="_인원계획표 _hs 보령우회_산북하수견적서" xfId="2121" xr:uid="{00000000-0005-0000-0000-0000AB0B0000}"/>
    <cellStyle name="_인원계획표 _hs 보령우회_제1회설계변경내역서(11.15~)update" xfId="2122" xr:uid="{00000000-0005-0000-0000-0000AC0B0000}"/>
    <cellStyle name="_인원계획표 _hs 보령우회_제2회기성내역서(1차+2차공사)" xfId="2123" xr:uid="{00000000-0005-0000-0000-0000AD0B0000}"/>
    <cellStyle name="_인원계획표 _hs 보령우회_제2회기성내역서(1차+2차공사)_병천하수 견적060412" xfId="2124" xr:uid="{00000000-0005-0000-0000-0000AE0B0000}"/>
    <cellStyle name="_인원계획표 _hs 보령우회_제2회기성내역서(1차+2차공사)_산북하수견적서" xfId="2125" xr:uid="{00000000-0005-0000-0000-0000AF0B0000}"/>
    <cellStyle name="_인원계획표 _hs 보령우회_제2회기성내역서(1차+2차공사)_제7회기성내역서(1차+2차공사)~ing" xfId="2126" xr:uid="{00000000-0005-0000-0000-0000B00B0000}"/>
    <cellStyle name="_인원계획표 _hs 보령우회_제2회기성내역서(1차+2차공사)_제7회기성내역서(1차+2차공사)~ing_병천하수 견적060412" xfId="2127" xr:uid="{00000000-0005-0000-0000-0000B10B0000}"/>
    <cellStyle name="_인원계획표 _hs 보령우회_제2회기성내역서(1차+2차공사)_제7회기성내역서(1차+2차공사)~ing_산북하수견적서" xfId="2128" xr:uid="{00000000-0005-0000-0000-0000B20B0000}"/>
    <cellStyle name="_인원계획표 _hs 보령우회_제2회기성내역서(1차+2차공사)_제7회기성내역서(1차+2차공사)~ing_통일하수내역서" xfId="2129" xr:uid="{00000000-0005-0000-0000-0000B30B0000}"/>
    <cellStyle name="_인원계획표 _hs 보령우회_제2회기성내역서(1차+2차공사)_통일하수내역서" xfId="2130" xr:uid="{00000000-0005-0000-0000-0000B40B0000}"/>
    <cellStyle name="_인원계획표 _hs 보령우회_통일하수내역서" xfId="2131" xr:uid="{00000000-0005-0000-0000-0000B50B0000}"/>
    <cellStyle name="_인원계획표 _hs 중앙선 8(선산토건)" xfId="2132" xr:uid="{00000000-0005-0000-0000-0000B60B0000}"/>
    <cellStyle name="_인원계획표 _hs 중앙선 8(선산토건)_병천하수 견적060412" xfId="2133" xr:uid="{00000000-0005-0000-0000-0000B70B0000}"/>
    <cellStyle name="_인원계획표 _hs 중앙선 8(선산토건)_사본 - 기성내역서(대경엔텍)" xfId="2134" xr:uid="{00000000-0005-0000-0000-0000B80B0000}"/>
    <cellStyle name="_인원계획표 _hs 중앙선 8(선산토건)_사본 - 기성내역서(대경엔텍)_병천하수 견적060412" xfId="2135" xr:uid="{00000000-0005-0000-0000-0000B90B0000}"/>
    <cellStyle name="_인원계획표 _hs 중앙선 8(선산토건)_사본 - 기성내역서(대경엔텍)_산북하수견적서" xfId="2136" xr:uid="{00000000-0005-0000-0000-0000BA0B0000}"/>
    <cellStyle name="_인원계획표 _hs 중앙선 8(선산토건)_사본 - 기성내역서(대경엔텍)_통일하수내역서" xfId="2137" xr:uid="{00000000-0005-0000-0000-0000BB0B0000}"/>
    <cellStyle name="_인원계획표 _hs 중앙선 8(선산토건)_산북하수견적서" xfId="2138" xr:uid="{00000000-0005-0000-0000-0000BC0B0000}"/>
    <cellStyle name="_인원계획표 _hs 중앙선 8(선산토건)_제1회설계변경내역서(11.15~)update" xfId="2139" xr:uid="{00000000-0005-0000-0000-0000BD0B0000}"/>
    <cellStyle name="_인원계획표 _hs 중앙선 8(선산토건)_제2회기성내역서(1차+2차공사)" xfId="2140" xr:uid="{00000000-0005-0000-0000-0000BE0B0000}"/>
    <cellStyle name="_인원계획표 _hs 중앙선 8(선산토건)_제2회기성내역서(1차+2차공사)_병천하수 견적060412" xfId="2141" xr:uid="{00000000-0005-0000-0000-0000BF0B0000}"/>
    <cellStyle name="_인원계획표 _hs 중앙선 8(선산토건)_제2회기성내역서(1차+2차공사)_산북하수견적서" xfId="2142" xr:uid="{00000000-0005-0000-0000-0000C00B0000}"/>
    <cellStyle name="_인원계획표 _hs 중앙선 8(선산토건)_제2회기성내역서(1차+2차공사)_제7회기성내역서(1차+2차공사)~ing" xfId="2143" xr:uid="{00000000-0005-0000-0000-0000C10B0000}"/>
    <cellStyle name="_인원계획표 _hs 중앙선 8(선산토건)_제2회기성내역서(1차+2차공사)_제7회기성내역서(1차+2차공사)~ing_병천하수 견적060412" xfId="2144" xr:uid="{00000000-0005-0000-0000-0000C20B0000}"/>
    <cellStyle name="_인원계획표 _hs 중앙선 8(선산토건)_제2회기성내역서(1차+2차공사)_제7회기성내역서(1차+2차공사)~ing_산북하수견적서" xfId="2145" xr:uid="{00000000-0005-0000-0000-0000C30B0000}"/>
    <cellStyle name="_인원계획표 _hs 중앙선 8(선산토건)_제2회기성내역서(1차+2차공사)_제7회기성내역서(1차+2차공사)~ing_통일하수내역서" xfId="2146" xr:uid="{00000000-0005-0000-0000-0000C40B0000}"/>
    <cellStyle name="_인원계획표 _hs 중앙선 8(선산토건)_제2회기성내역서(1차+2차공사)_통일하수내역서" xfId="2147" xr:uid="{00000000-0005-0000-0000-0000C50B0000}"/>
    <cellStyle name="_인원계획표 _hs 중앙선 8(선산토건)_통일하수내역서" xfId="2148" xr:uid="{00000000-0005-0000-0000-0000C60B0000}"/>
    <cellStyle name="_인원계획표 _kcc 안산2단계" xfId="2149" xr:uid="{00000000-0005-0000-0000-0000C70B0000}"/>
    <cellStyle name="_인원계획표 _kcc 안산2단계_병천하수 견적060412" xfId="2150" xr:uid="{00000000-0005-0000-0000-0000C80B0000}"/>
    <cellStyle name="_인원계획표 _kcc 안산2단계_사본 - 기성내역서(대경엔텍)" xfId="2151" xr:uid="{00000000-0005-0000-0000-0000C90B0000}"/>
    <cellStyle name="_인원계획표 _kcc 안산2단계_사본 - 기성내역서(대경엔텍)_병천하수 견적060412" xfId="2152" xr:uid="{00000000-0005-0000-0000-0000CA0B0000}"/>
    <cellStyle name="_인원계획표 _kcc 안산2단계_사본 - 기성내역서(대경엔텍)_산북하수견적서" xfId="2153" xr:uid="{00000000-0005-0000-0000-0000CB0B0000}"/>
    <cellStyle name="_인원계획표 _kcc 안산2단계_사본 - 기성내역서(대경엔텍)_통일하수내역서" xfId="2154" xr:uid="{00000000-0005-0000-0000-0000CC0B0000}"/>
    <cellStyle name="_인원계획표 _kcc 안산2단계_산북하수견적서" xfId="2155" xr:uid="{00000000-0005-0000-0000-0000CD0B0000}"/>
    <cellStyle name="_인원계획표 _kcc 안산2단계_제1회설계변경내역서(11.15~)update" xfId="2156" xr:uid="{00000000-0005-0000-0000-0000CE0B0000}"/>
    <cellStyle name="_인원계획표 _kcc 안산2단계_제2회기성내역서(1차+2차공사)" xfId="2157" xr:uid="{00000000-0005-0000-0000-0000CF0B0000}"/>
    <cellStyle name="_인원계획표 _kcc 안산2단계_제2회기성내역서(1차+2차공사)_병천하수 견적060412" xfId="2158" xr:uid="{00000000-0005-0000-0000-0000D00B0000}"/>
    <cellStyle name="_인원계획표 _kcc 안산2단계_제2회기성내역서(1차+2차공사)_산북하수견적서" xfId="2159" xr:uid="{00000000-0005-0000-0000-0000D10B0000}"/>
    <cellStyle name="_인원계획표 _kcc 안산2단계_제2회기성내역서(1차+2차공사)_제7회기성내역서(1차+2차공사)~ing" xfId="2160" xr:uid="{00000000-0005-0000-0000-0000D20B0000}"/>
    <cellStyle name="_인원계획표 _kcc 안산2단계_제2회기성내역서(1차+2차공사)_제7회기성내역서(1차+2차공사)~ing_병천하수 견적060412" xfId="2161" xr:uid="{00000000-0005-0000-0000-0000D30B0000}"/>
    <cellStyle name="_인원계획표 _kcc 안산2단계_제2회기성내역서(1차+2차공사)_제7회기성내역서(1차+2차공사)~ing_산북하수견적서" xfId="2162" xr:uid="{00000000-0005-0000-0000-0000D40B0000}"/>
    <cellStyle name="_인원계획표 _kcc 안산2단계_제2회기성내역서(1차+2차공사)_제7회기성내역서(1차+2차공사)~ing_통일하수내역서" xfId="2163" xr:uid="{00000000-0005-0000-0000-0000D50B0000}"/>
    <cellStyle name="_인원계획표 _kcc 안산2단계_제2회기성내역서(1차+2차공사)_통일하수내역서" xfId="2164" xr:uid="{00000000-0005-0000-0000-0000D60B0000}"/>
    <cellStyle name="_인원계획표 _kcc 안산2단계_통일하수내역서" xfId="2165" xr:uid="{00000000-0005-0000-0000-0000D70B0000}"/>
    <cellStyle name="_인원계획표 _kcc 합덕 신례원 1" xfId="2166" xr:uid="{00000000-0005-0000-0000-0000D80B0000}"/>
    <cellStyle name="_인원계획표 _kcc 합덕 신례원 1_병천하수 견적060412" xfId="2167" xr:uid="{00000000-0005-0000-0000-0000D90B0000}"/>
    <cellStyle name="_인원계획표 _kcc 합덕 신례원 1_사본 - 기성내역서(대경엔텍)" xfId="2168" xr:uid="{00000000-0005-0000-0000-0000DA0B0000}"/>
    <cellStyle name="_인원계획표 _kcc 합덕 신례원 1_사본 - 기성내역서(대경엔텍)_병천하수 견적060412" xfId="2169" xr:uid="{00000000-0005-0000-0000-0000DB0B0000}"/>
    <cellStyle name="_인원계획표 _kcc 합덕 신례원 1_사본 - 기성내역서(대경엔텍)_산북하수견적서" xfId="2170" xr:uid="{00000000-0005-0000-0000-0000DC0B0000}"/>
    <cellStyle name="_인원계획표 _kcc 합덕 신례원 1_사본 - 기성내역서(대경엔텍)_통일하수내역서" xfId="2171" xr:uid="{00000000-0005-0000-0000-0000DD0B0000}"/>
    <cellStyle name="_인원계획표 _kcc 합덕 신례원 1_산북하수견적서" xfId="2172" xr:uid="{00000000-0005-0000-0000-0000DE0B0000}"/>
    <cellStyle name="_인원계획표 _kcc 합덕 신례원 1_제1회설계변경내역서(11.15~)update" xfId="2173" xr:uid="{00000000-0005-0000-0000-0000DF0B0000}"/>
    <cellStyle name="_인원계획표 _kcc 합덕 신례원 1_제2회기성내역서(1차+2차공사)" xfId="2174" xr:uid="{00000000-0005-0000-0000-0000E00B0000}"/>
    <cellStyle name="_인원계획표 _kcc 합덕 신례원 1_제2회기성내역서(1차+2차공사)_병천하수 견적060412" xfId="2175" xr:uid="{00000000-0005-0000-0000-0000E10B0000}"/>
    <cellStyle name="_인원계획표 _kcc 합덕 신례원 1_제2회기성내역서(1차+2차공사)_산북하수견적서" xfId="2176" xr:uid="{00000000-0005-0000-0000-0000E20B0000}"/>
    <cellStyle name="_인원계획표 _kcc 합덕 신례원 1_제2회기성내역서(1차+2차공사)_제7회기성내역서(1차+2차공사)~ing" xfId="2177" xr:uid="{00000000-0005-0000-0000-0000E30B0000}"/>
    <cellStyle name="_인원계획표 _kcc 합덕 신례원 1_제2회기성내역서(1차+2차공사)_제7회기성내역서(1차+2차공사)~ing_병천하수 견적060412" xfId="2178" xr:uid="{00000000-0005-0000-0000-0000E40B0000}"/>
    <cellStyle name="_인원계획표 _kcc 합덕 신례원 1_제2회기성내역서(1차+2차공사)_제7회기성내역서(1차+2차공사)~ing_산북하수견적서" xfId="2179" xr:uid="{00000000-0005-0000-0000-0000E50B0000}"/>
    <cellStyle name="_인원계획표 _kcc 합덕 신례원 1_제2회기성내역서(1차+2차공사)_제7회기성내역서(1차+2차공사)~ing_통일하수내역서" xfId="2180" xr:uid="{00000000-0005-0000-0000-0000E60B0000}"/>
    <cellStyle name="_인원계획표 _kcc 합덕 신례원 1_제2회기성내역서(1차+2차공사)_통일하수내역서" xfId="2181" xr:uid="{00000000-0005-0000-0000-0000E70B0000}"/>
    <cellStyle name="_인원계획표 _kcc 합덕 신례원 1_통일하수내역서" xfId="2182" xr:uid="{00000000-0005-0000-0000-0000E80B0000}"/>
    <cellStyle name="_인원계획표 _kn 구룡포~대보간 1" xfId="2183" xr:uid="{00000000-0005-0000-0000-0000E90B0000}"/>
    <cellStyle name="_인원계획표 _kn 구룡포~대보간 1_병천하수 견적060412" xfId="2184" xr:uid="{00000000-0005-0000-0000-0000EA0B0000}"/>
    <cellStyle name="_인원계획표 _kn 구룡포~대보간 1_사본 - 기성내역서(대경엔텍)" xfId="2185" xr:uid="{00000000-0005-0000-0000-0000EB0B0000}"/>
    <cellStyle name="_인원계획표 _kn 구룡포~대보간 1_사본 - 기성내역서(대경엔텍)_병천하수 견적060412" xfId="2186" xr:uid="{00000000-0005-0000-0000-0000EC0B0000}"/>
    <cellStyle name="_인원계획표 _kn 구룡포~대보간 1_사본 - 기성내역서(대경엔텍)_산북하수견적서" xfId="2187" xr:uid="{00000000-0005-0000-0000-0000ED0B0000}"/>
    <cellStyle name="_인원계획표 _kn 구룡포~대보간 1_사본 - 기성내역서(대경엔텍)_통일하수내역서" xfId="2188" xr:uid="{00000000-0005-0000-0000-0000EE0B0000}"/>
    <cellStyle name="_인원계획표 _kn 구룡포~대보간 1_산북하수견적서" xfId="2189" xr:uid="{00000000-0005-0000-0000-0000EF0B0000}"/>
    <cellStyle name="_인원계획표 _kn 구룡포~대보간 1_제1회설계변경내역서(11.15~)update" xfId="2190" xr:uid="{00000000-0005-0000-0000-0000F00B0000}"/>
    <cellStyle name="_인원계획표 _kn 구룡포~대보간 1_제2회기성내역서(1차+2차공사)" xfId="2191" xr:uid="{00000000-0005-0000-0000-0000F10B0000}"/>
    <cellStyle name="_인원계획표 _kn 구룡포~대보간 1_제2회기성내역서(1차+2차공사)_병천하수 견적060412" xfId="2192" xr:uid="{00000000-0005-0000-0000-0000F20B0000}"/>
    <cellStyle name="_인원계획표 _kn 구룡포~대보간 1_제2회기성내역서(1차+2차공사)_산북하수견적서" xfId="2193" xr:uid="{00000000-0005-0000-0000-0000F30B0000}"/>
    <cellStyle name="_인원계획표 _kn 구룡포~대보간 1_제2회기성내역서(1차+2차공사)_제7회기성내역서(1차+2차공사)~ing" xfId="2194" xr:uid="{00000000-0005-0000-0000-0000F40B0000}"/>
    <cellStyle name="_인원계획표 _kn 구룡포~대보간 1_제2회기성내역서(1차+2차공사)_제7회기성내역서(1차+2차공사)~ing_병천하수 견적060412" xfId="2195" xr:uid="{00000000-0005-0000-0000-0000F50B0000}"/>
    <cellStyle name="_인원계획표 _kn 구룡포~대보간 1_제2회기성내역서(1차+2차공사)_제7회기성내역서(1차+2차공사)~ing_산북하수견적서" xfId="2196" xr:uid="{00000000-0005-0000-0000-0000F60B0000}"/>
    <cellStyle name="_인원계획표 _kn 구룡포~대보간 1_제2회기성내역서(1차+2차공사)_제7회기성내역서(1차+2차공사)~ing_통일하수내역서" xfId="2197" xr:uid="{00000000-0005-0000-0000-0000F70B0000}"/>
    <cellStyle name="_인원계획표 _kn 구룡포~대보간 1_제2회기성내역서(1차+2차공사)_통일하수내역서" xfId="2198" xr:uid="{00000000-0005-0000-0000-0000F80B0000}"/>
    <cellStyle name="_인원계획표 _kn 구룡포~대보간 1_통일하수내역서" xfId="2199" xr:uid="{00000000-0005-0000-0000-0000F90B0000}"/>
    <cellStyle name="_인원계획표 _ss 굴포천" xfId="2200" xr:uid="{00000000-0005-0000-0000-0000FA0B0000}"/>
    <cellStyle name="_인원계획표 _ss 굴포천_병천하수 견적060412" xfId="2201" xr:uid="{00000000-0005-0000-0000-0000FB0B0000}"/>
    <cellStyle name="_인원계획표 _ss 굴포천_사본 - 기성내역서(대경엔텍)" xfId="2202" xr:uid="{00000000-0005-0000-0000-0000FC0B0000}"/>
    <cellStyle name="_인원계획표 _ss 굴포천_사본 - 기성내역서(대경엔텍)_병천하수 견적060412" xfId="2203" xr:uid="{00000000-0005-0000-0000-0000FD0B0000}"/>
    <cellStyle name="_인원계획표 _ss 굴포천_사본 - 기성내역서(대경엔텍)_산북하수견적서" xfId="2204" xr:uid="{00000000-0005-0000-0000-0000FE0B0000}"/>
    <cellStyle name="_인원계획표 _ss 굴포천_사본 - 기성내역서(대경엔텍)_통일하수내역서" xfId="2205" xr:uid="{00000000-0005-0000-0000-0000FF0B0000}"/>
    <cellStyle name="_인원계획표 _ss 굴포천_산북하수견적서" xfId="2206" xr:uid="{00000000-0005-0000-0000-0000000C0000}"/>
    <cellStyle name="_인원계획표 _ss 굴포천_제1회설계변경내역서(11.15~)update" xfId="2207" xr:uid="{00000000-0005-0000-0000-0000010C0000}"/>
    <cellStyle name="_인원계획표 _ss 굴포천_제2회기성내역서(1차+2차공사)" xfId="2208" xr:uid="{00000000-0005-0000-0000-0000020C0000}"/>
    <cellStyle name="_인원계획표 _ss 굴포천_제2회기성내역서(1차+2차공사)_병천하수 견적060412" xfId="2209" xr:uid="{00000000-0005-0000-0000-0000030C0000}"/>
    <cellStyle name="_인원계획표 _ss 굴포천_제2회기성내역서(1차+2차공사)_산북하수견적서" xfId="2210" xr:uid="{00000000-0005-0000-0000-0000040C0000}"/>
    <cellStyle name="_인원계획표 _ss 굴포천_제2회기성내역서(1차+2차공사)_제7회기성내역서(1차+2차공사)~ing" xfId="2211" xr:uid="{00000000-0005-0000-0000-0000050C0000}"/>
    <cellStyle name="_인원계획표 _ss 굴포천_제2회기성내역서(1차+2차공사)_제7회기성내역서(1차+2차공사)~ing_병천하수 견적060412" xfId="2212" xr:uid="{00000000-0005-0000-0000-0000060C0000}"/>
    <cellStyle name="_인원계획표 _ss 굴포천_제2회기성내역서(1차+2차공사)_제7회기성내역서(1차+2차공사)~ing_산북하수견적서" xfId="2213" xr:uid="{00000000-0005-0000-0000-0000070C0000}"/>
    <cellStyle name="_인원계획표 _ss 굴포천_제2회기성내역서(1차+2차공사)_제7회기성내역서(1차+2차공사)~ing_통일하수내역서" xfId="2214" xr:uid="{00000000-0005-0000-0000-0000080C0000}"/>
    <cellStyle name="_인원계획표 _ss 굴포천_제2회기성내역서(1차+2차공사)_통일하수내역서" xfId="2215" xr:uid="{00000000-0005-0000-0000-0000090C0000}"/>
    <cellStyle name="_인원계획표 _ss 굴포천_통일하수내역서" xfId="2216" xr:uid="{00000000-0005-0000-0000-00000A0C0000}"/>
    <cellStyle name="_인원계획표 _경기북부2차도급내역(분류체계)" xfId="731" xr:uid="{00000000-0005-0000-0000-00000B0C0000}"/>
    <cellStyle name="_인원계획표 _경기북부2차도급내역(분류체계)_12월 자금청구-창원반송" xfId="732" xr:uid="{00000000-0005-0000-0000-00000C0C0000}"/>
    <cellStyle name="_인원계획표 _경기북부2차도급내역(분류체계)_Book1" xfId="733" xr:uid="{00000000-0005-0000-0000-00000D0C0000}"/>
    <cellStyle name="_인원계획표 _도급내역서(1차계약분)" xfId="734" xr:uid="{00000000-0005-0000-0000-00000E0C0000}"/>
    <cellStyle name="_인원계획표 _도급내역서(1차계약분)_12월 자금청구-창원반송" xfId="735" xr:uid="{00000000-0005-0000-0000-00000F0C0000}"/>
    <cellStyle name="_인원계획표 _도급내역서(1차계약분)_Book1" xfId="736" xr:uid="{00000000-0005-0000-0000-0000100C0000}"/>
    <cellStyle name="_인원계획표 _병천하수 견적060412" xfId="2217" xr:uid="{00000000-0005-0000-0000-0000110C0000}"/>
    <cellStyle name="_인원계획표 _사본 - 기성내역서(대경엔텍)" xfId="2218" xr:uid="{00000000-0005-0000-0000-0000120C0000}"/>
    <cellStyle name="_인원계획표 _사본 - 기성내역서(대경엔텍)_병천하수 견적060412" xfId="2219" xr:uid="{00000000-0005-0000-0000-0000130C0000}"/>
    <cellStyle name="_인원계획표 _사본 - 기성내역서(대경엔텍)_산북하수견적서" xfId="2220" xr:uid="{00000000-0005-0000-0000-0000140C0000}"/>
    <cellStyle name="_인원계획표 _사본 - 기성내역서(대경엔텍)_통일하수내역서" xfId="2221" xr:uid="{00000000-0005-0000-0000-0000150C0000}"/>
    <cellStyle name="_인원계획표 _산북하수견적서" xfId="2222" xr:uid="{00000000-0005-0000-0000-0000160C0000}"/>
    <cellStyle name="_인원계획표 _안동투찰" xfId="2223" xr:uid="{00000000-0005-0000-0000-0000170C0000}"/>
    <cellStyle name="_인원계획표 _안동투찰_병천하수 견적060412" xfId="2224" xr:uid="{00000000-0005-0000-0000-0000180C0000}"/>
    <cellStyle name="_인원계획표 _안동투찰_사본 - 기성내역서(대경엔텍)" xfId="2225" xr:uid="{00000000-0005-0000-0000-0000190C0000}"/>
    <cellStyle name="_인원계획표 _안동투찰_사본 - 기성내역서(대경엔텍)_병천하수 견적060412" xfId="2226" xr:uid="{00000000-0005-0000-0000-00001A0C0000}"/>
    <cellStyle name="_인원계획표 _안동투찰_사본 - 기성내역서(대경엔텍)_산북하수견적서" xfId="2227" xr:uid="{00000000-0005-0000-0000-00001B0C0000}"/>
    <cellStyle name="_인원계획표 _안동투찰_사본 - 기성내역서(대경엔텍)_통일하수내역서" xfId="2228" xr:uid="{00000000-0005-0000-0000-00001C0C0000}"/>
    <cellStyle name="_인원계획표 _안동투찰_산북하수견적서" xfId="2229" xr:uid="{00000000-0005-0000-0000-00001D0C0000}"/>
    <cellStyle name="_인원계획표 _안동투찰_제1회설계변경내역서(11.15~)update" xfId="2230" xr:uid="{00000000-0005-0000-0000-00001E0C0000}"/>
    <cellStyle name="_인원계획표 _안동투찰_제2회기성내역서(1차+2차공사)" xfId="2231" xr:uid="{00000000-0005-0000-0000-00001F0C0000}"/>
    <cellStyle name="_인원계획표 _안동투찰_제2회기성내역서(1차+2차공사)_병천하수 견적060412" xfId="2232" xr:uid="{00000000-0005-0000-0000-0000200C0000}"/>
    <cellStyle name="_인원계획표 _안동투찰_제2회기성내역서(1차+2차공사)_산북하수견적서" xfId="2233" xr:uid="{00000000-0005-0000-0000-0000210C0000}"/>
    <cellStyle name="_인원계획표 _안동투찰_제2회기성내역서(1차+2차공사)_제7회기성내역서(1차+2차공사)~ing" xfId="2234" xr:uid="{00000000-0005-0000-0000-0000220C0000}"/>
    <cellStyle name="_인원계획표 _안동투찰_제2회기성내역서(1차+2차공사)_제7회기성내역서(1차+2차공사)~ing_병천하수 견적060412" xfId="2235" xr:uid="{00000000-0005-0000-0000-0000230C0000}"/>
    <cellStyle name="_인원계획표 _안동투찰_제2회기성내역서(1차+2차공사)_제7회기성내역서(1차+2차공사)~ing_산북하수견적서" xfId="2236" xr:uid="{00000000-0005-0000-0000-0000240C0000}"/>
    <cellStyle name="_인원계획표 _안동투찰_제2회기성내역서(1차+2차공사)_제7회기성내역서(1차+2차공사)~ing_통일하수내역서" xfId="2237" xr:uid="{00000000-0005-0000-0000-0000250C0000}"/>
    <cellStyle name="_인원계획표 _안동투찰_제2회기성내역서(1차+2차공사)_통일하수내역서" xfId="2238" xr:uid="{00000000-0005-0000-0000-0000260C0000}"/>
    <cellStyle name="_인원계획표 _안동투찰_통일하수내역서" xfId="2239" xr:uid="{00000000-0005-0000-0000-0000270C0000}"/>
    <cellStyle name="_인원계획표 _적격 " xfId="737" xr:uid="{00000000-0005-0000-0000-0000280C0000}"/>
    <cellStyle name="_인원계획표 _적격 _12월 자금청구-창원반송" xfId="738" xr:uid="{00000000-0005-0000-0000-0000290C0000}"/>
    <cellStyle name="_인원계획표 _적격 _17공구" xfId="2240" xr:uid="{00000000-0005-0000-0000-00002A0C0000}"/>
    <cellStyle name="_인원계획표 _적격 _17공구_병천하수 견적060412" xfId="2241" xr:uid="{00000000-0005-0000-0000-00002B0C0000}"/>
    <cellStyle name="_인원계획표 _적격 _17공구_사본 - 기성내역서(대경엔텍)" xfId="2242" xr:uid="{00000000-0005-0000-0000-00002C0C0000}"/>
    <cellStyle name="_인원계획표 _적격 _17공구_사본 - 기성내역서(대경엔텍)_병천하수 견적060412" xfId="2243" xr:uid="{00000000-0005-0000-0000-00002D0C0000}"/>
    <cellStyle name="_인원계획표 _적격 _17공구_사본 - 기성내역서(대경엔텍)_산북하수견적서" xfId="2244" xr:uid="{00000000-0005-0000-0000-00002E0C0000}"/>
    <cellStyle name="_인원계획표 _적격 _17공구_사본 - 기성내역서(대경엔텍)_통일하수내역서" xfId="2245" xr:uid="{00000000-0005-0000-0000-00002F0C0000}"/>
    <cellStyle name="_인원계획표 _적격 _17공구_산북하수견적서" xfId="2246" xr:uid="{00000000-0005-0000-0000-0000300C0000}"/>
    <cellStyle name="_인원계획표 _적격 _17공구_제1회설계변경내역서(11.15~)update" xfId="2247" xr:uid="{00000000-0005-0000-0000-0000310C0000}"/>
    <cellStyle name="_인원계획표 _적격 _17공구_제2회기성내역서(1차+2차공사)" xfId="2248" xr:uid="{00000000-0005-0000-0000-0000320C0000}"/>
    <cellStyle name="_인원계획표 _적격 _17공구_제2회기성내역서(1차+2차공사)_병천하수 견적060412" xfId="2249" xr:uid="{00000000-0005-0000-0000-0000330C0000}"/>
    <cellStyle name="_인원계획표 _적격 _17공구_제2회기성내역서(1차+2차공사)_산북하수견적서" xfId="2250" xr:uid="{00000000-0005-0000-0000-0000340C0000}"/>
    <cellStyle name="_인원계획표 _적격 _17공구_제2회기성내역서(1차+2차공사)_제7회기성내역서(1차+2차공사)~ing" xfId="2251" xr:uid="{00000000-0005-0000-0000-0000350C0000}"/>
    <cellStyle name="_인원계획표 _적격 _17공구_제2회기성내역서(1차+2차공사)_제7회기성내역서(1차+2차공사)~ing_병천하수 견적060412" xfId="2252" xr:uid="{00000000-0005-0000-0000-0000360C0000}"/>
    <cellStyle name="_인원계획표 _적격 _17공구_제2회기성내역서(1차+2차공사)_제7회기성내역서(1차+2차공사)~ing_산북하수견적서" xfId="2253" xr:uid="{00000000-0005-0000-0000-0000370C0000}"/>
    <cellStyle name="_인원계획표 _적격 _17공구_제2회기성내역서(1차+2차공사)_제7회기성내역서(1차+2차공사)~ing_통일하수내역서" xfId="2254" xr:uid="{00000000-0005-0000-0000-0000380C0000}"/>
    <cellStyle name="_인원계획표 _적격 _17공구_제2회기성내역서(1차+2차공사)_통일하수내역서" xfId="2255" xr:uid="{00000000-0005-0000-0000-0000390C0000}"/>
    <cellStyle name="_인원계획표 _적격 _17공구_통일하수내역서" xfId="2256" xr:uid="{00000000-0005-0000-0000-00003A0C0000}"/>
    <cellStyle name="_인원계획표 _적격 _Book1" xfId="739" xr:uid="{00000000-0005-0000-0000-00003B0C0000}"/>
    <cellStyle name="_인원계획표 _적격 _hs 보령우회" xfId="2257" xr:uid="{00000000-0005-0000-0000-00003C0C0000}"/>
    <cellStyle name="_인원계획표 _적격 _hs 보령우회_병천하수 견적060412" xfId="2258" xr:uid="{00000000-0005-0000-0000-00003D0C0000}"/>
    <cellStyle name="_인원계획표 _적격 _hs 보령우회_사본 - 기성내역서(대경엔텍)" xfId="2259" xr:uid="{00000000-0005-0000-0000-00003E0C0000}"/>
    <cellStyle name="_인원계획표 _적격 _hs 보령우회_사본 - 기성내역서(대경엔텍)_병천하수 견적060412" xfId="2260" xr:uid="{00000000-0005-0000-0000-00003F0C0000}"/>
    <cellStyle name="_인원계획표 _적격 _hs 보령우회_사본 - 기성내역서(대경엔텍)_산북하수견적서" xfId="2261" xr:uid="{00000000-0005-0000-0000-0000400C0000}"/>
    <cellStyle name="_인원계획표 _적격 _hs 보령우회_사본 - 기성내역서(대경엔텍)_통일하수내역서" xfId="2262" xr:uid="{00000000-0005-0000-0000-0000410C0000}"/>
    <cellStyle name="_인원계획표 _적격 _hs 보령우회_산북하수견적서" xfId="2263" xr:uid="{00000000-0005-0000-0000-0000420C0000}"/>
    <cellStyle name="_인원계획표 _적격 _hs 보령우회_제1회설계변경내역서(11.15~)update" xfId="2264" xr:uid="{00000000-0005-0000-0000-0000430C0000}"/>
    <cellStyle name="_인원계획표 _적격 _hs 보령우회_제2회기성내역서(1차+2차공사)" xfId="2265" xr:uid="{00000000-0005-0000-0000-0000440C0000}"/>
    <cellStyle name="_인원계획표 _적격 _hs 보령우회_제2회기성내역서(1차+2차공사)_병천하수 견적060412" xfId="2266" xr:uid="{00000000-0005-0000-0000-0000450C0000}"/>
    <cellStyle name="_인원계획표 _적격 _hs 보령우회_제2회기성내역서(1차+2차공사)_산북하수견적서" xfId="2267" xr:uid="{00000000-0005-0000-0000-0000460C0000}"/>
    <cellStyle name="_인원계획표 _적격 _hs 보령우회_제2회기성내역서(1차+2차공사)_제7회기성내역서(1차+2차공사)~ing" xfId="2268" xr:uid="{00000000-0005-0000-0000-0000470C0000}"/>
    <cellStyle name="_인원계획표 _적격 _hs 보령우회_제2회기성내역서(1차+2차공사)_제7회기성내역서(1차+2차공사)~ing_병천하수 견적060412" xfId="2269" xr:uid="{00000000-0005-0000-0000-0000480C0000}"/>
    <cellStyle name="_인원계획표 _적격 _hs 보령우회_제2회기성내역서(1차+2차공사)_제7회기성내역서(1차+2차공사)~ing_산북하수견적서" xfId="2270" xr:uid="{00000000-0005-0000-0000-0000490C0000}"/>
    <cellStyle name="_인원계획표 _적격 _hs 보령우회_제2회기성내역서(1차+2차공사)_제7회기성내역서(1차+2차공사)~ing_통일하수내역서" xfId="2271" xr:uid="{00000000-0005-0000-0000-00004A0C0000}"/>
    <cellStyle name="_인원계획표 _적격 _hs 보령우회_제2회기성내역서(1차+2차공사)_통일하수내역서" xfId="2272" xr:uid="{00000000-0005-0000-0000-00004B0C0000}"/>
    <cellStyle name="_인원계획표 _적격 _hs 보령우회_통일하수내역서" xfId="2273" xr:uid="{00000000-0005-0000-0000-00004C0C0000}"/>
    <cellStyle name="_인원계획표 _적격 _hs 중앙선 8(선산토건)" xfId="2274" xr:uid="{00000000-0005-0000-0000-00004D0C0000}"/>
    <cellStyle name="_인원계획표 _적격 _hs 중앙선 8(선산토건)_병천하수 견적060412" xfId="2275" xr:uid="{00000000-0005-0000-0000-00004E0C0000}"/>
    <cellStyle name="_인원계획표 _적격 _hs 중앙선 8(선산토건)_사본 - 기성내역서(대경엔텍)" xfId="2276" xr:uid="{00000000-0005-0000-0000-00004F0C0000}"/>
    <cellStyle name="_인원계획표 _적격 _hs 중앙선 8(선산토건)_사본 - 기성내역서(대경엔텍)_병천하수 견적060412" xfId="2277" xr:uid="{00000000-0005-0000-0000-0000500C0000}"/>
    <cellStyle name="_인원계획표 _적격 _hs 중앙선 8(선산토건)_사본 - 기성내역서(대경엔텍)_산북하수견적서" xfId="2278" xr:uid="{00000000-0005-0000-0000-0000510C0000}"/>
    <cellStyle name="_인원계획표 _적격 _hs 중앙선 8(선산토건)_사본 - 기성내역서(대경엔텍)_통일하수내역서" xfId="2279" xr:uid="{00000000-0005-0000-0000-0000520C0000}"/>
    <cellStyle name="_인원계획표 _적격 _hs 중앙선 8(선산토건)_산북하수견적서" xfId="2280" xr:uid="{00000000-0005-0000-0000-0000530C0000}"/>
    <cellStyle name="_인원계획표 _적격 _hs 중앙선 8(선산토건)_제1회설계변경내역서(11.15~)update" xfId="2281" xr:uid="{00000000-0005-0000-0000-0000540C0000}"/>
    <cellStyle name="_인원계획표 _적격 _hs 중앙선 8(선산토건)_제2회기성내역서(1차+2차공사)" xfId="2282" xr:uid="{00000000-0005-0000-0000-0000550C0000}"/>
    <cellStyle name="_인원계획표 _적격 _hs 중앙선 8(선산토건)_제2회기성내역서(1차+2차공사)_병천하수 견적060412" xfId="2283" xr:uid="{00000000-0005-0000-0000-0000560C0000}"/>
    <cellStyle name="_인원계획표 _적격 _hs 중앙선 8(선산토건)_제2회기성내역서(1차+2차공사)_산북하수견적서" xfId="2284" xr:uid="{00000000-0005-0000-0000-0000570C0000}"/>
    <cellStyle name="_인원계획표 _적격 _hs 중앙선 8(선산토건)_제2회기성내역서(1차+2차공사)_제7회기성내역서(1차+2차공사)~ing" xfId="2285" xr:uid="{00000000-0005-0000-0000-0000580C0000}"/>
    <cellStyle name="_인원계획표 _적격 _hs 중앙선 8(선산토건)_제2회기성내역서(1차+2차공사)_제7회기성내역서(1차+2차공사)~ing_병천하수 견적060412" xfId="2286" xr:uid="{00000000-0005-0000-0000-0000590C0000}"/>
    <cellStyle name="_인원계획표 _적격 _hs 중앙선 8(선산토건)_제2회기성내역서(1차+2차공사)_제7회기성내역서(1차+2차공사)~ing_산북하수견적서" xfId="2287" xr:uid="{00000000-0005-0000-0000-00005A0C0000}"/>
    <cellStyle name="_인원계획표 _적격 _hs 중앙선 8(선산토건)_제2회기성내역서(1차+2차공사)_제7회기성내역서(1차+2차공사)~ing_통일하수내역서" xfId="2288" xr:uid="{00000000-0005-0000-0000-00005B0C0000}"/>
    <cellStyle name="_인원계획표 _적격 _hs 중앙선 8(선산토건)_제2회기성내역서(1차+2차공사)_통일하수내역서" xfId="2289" xr:uid="{00000000-0005-0000-0000-00005C0C0000}"/>
    <cellStyle name="_인원계획표 _적격 _hs 중앙선 8(선산토건)_통일하수내역서" xfId="2290" xr:uid="{00000000-0005-0000-0000-00005D0C0000}"/>
    <cellStyle name="_인원계획표 _적격 _kcc 안산2단계" xfId="2291" xr:uid="{00000000-0005-0000-0000-00005E0C0000}"/>
    <cellStyle name="_인원계획표 _적격 _kcc 안산2단계_병천하수 견적060412" xfId="2292" xr:uid="{00000000-0005-0000-0000-00005F0C0000}"/>
    <cellStyle name="_인원계획표 _적격 _kcc 안산2단계_사본 - 기성내역서(대경엔텍)" xfId="2293" xr:uid="{00000000-0005-0000-0000-0000600C0000}"/>
    <cellStyle name="_인원계획표 _적격 _kcc 안산2단계_사본 - 기성내역서(대경엔텍)_병천하수 견적060412" xfId="2294" xr:uid="{00000000-0005-0000-0000-0000610C0000}"/>
    <cellStyle name="_인원계획표 _적격 _kcc 안산2단계_사본 - 기성내역서(대경엔텍)_산북하수견적서" xfId="2295" xr:uid="{00000000-0005-0000-0000-0000620C0000}"/>
    <cellStyle name="_인원계획표 _적격 _kcc 안산2단계_사본 - 기성내역서(대경엔텍)_통일하수내역서" xfId="2296" xr:uid="{00000000-0005-0000-0000-0000630C0000}"/>
    <cellStyle name="_인원계획표 _적격 _kcc 안산2단계_산북하수견적서" xfId="2297" xr:uid="{00000000-0005-0000-0000-0000640C0000}"/>
    <cellStyle name="_인원계획표 _적격 _kcc 안산2단계_제1회설계변경내역서(11.15~)update" xfId="2298" xr:uid="{00000000-0005-0000-0000-0000650C0000}"/>
    <cellStyle name="_인원계획표 _적격 _kcc 안산2단계_제2회기성내역서(1차+2차공사)" xfId="2299" xr:uid="{00000000-0005-0000-0000-0000660C0000}"/>
    <cellStyle name="_인원계획표 _적격 _kcc 안산2단계_제2회기성내역서(1차+2차공사)_병천하수 견적060412" xfId="2300" xr:uid="{00000000-0005-0000-0000-0000670C0000}"/>
    <cellStyle name="_인원계획표 _적격 _kcc 안산2단계_제2회기성내역서(1차+2차공사)_산북하수견적서" xfId="2301" xr:uid="{00000000-0005-0000-0000-0000680C0000}"/>
    <cellStyle name="_인원계획표 _적격 _kcc 안산2단계_제2회기성내역서(1차+2차공사)_제7회기성내역서(1차+2차공사)~ing" xfId="2302" xr:uid="{00000000-0005-0000-0000-0000690C0000}"/>
    <cellStyle name="_인원계획표 _적격 _kcc 안산2단계_제2회기성내역서(1차+2차공사)_제7회기성내역서(1차+2차공사)~ing_병천하수 견적060412" xfId="2303" xr:uid="{00000000-0005-0000-0000-00006A0C0000}"/>
    <cellStyle name="_인원계획표 _적격 _kcc 안산2단계_제2회기성내역서(1차+2차공사)_제7회기성내역서(1차+2차공사)~ing_산북하수견적서" xfId="2304" xr:uid="{00000000-0005-0000-0000-00006B0C0000}"/>
    <cellStyle name="_인원계획표 _적격 _kcc 안산2단계_제2회기성내역서(1차+2차공사)_제7회기성내역서(1차+2차공사)~ing_통일하수내역서" xfId="2305" xr:uid="{00000000-0005-0000-0000-00006C0C0000}"/>
    <cellStyle name="_인원계획표 _적격 _kcc 안산2단계_제2회기성내역서(1차+2차공사)_통일하수내역서" xfId="2306" xr:uid="{00000000-0005-0000-0000-00006D0C0000}"/>
    <cellStyle name="_인원계획표 _적격 _kcc 안산2단계_통일하수내역서" xfId="2307" xr:uid="{00000000-0005-0000-0000-00006E0C0000}"/>
    <cellStyle name="_인원계획표 _적격 _kcc 합덕 신례원 1" xfId="2308" xr:uid="{00000000-0005-0000-0000-00006F0C0000}"/>
    <cellStyle name="_인원계획표 _적격 _kcc 합덕 신례원 1_병천하수 견적060412" xfId="2309" xr:uid="{00000000-0005-0000-0000-0000700C0000}"/>
    <cellStyle name="_인원계획표 _적격 _kcc 합덕 신례원 1_사본 - 기성내역서(대경엔텍)" xfId="2310" xr:uid="{00000000-0005-0000-0000-0000710C0000}"/>
    <cellStyle name="_인원계획표 _적격 _kcc 합덕 신례원 1_사본 - 기성내역서(대경엔텍)_병천하수 견적060412" xfId="2311" xr:uid="{00000000-0005-0000-0000-0000720C0000}"/>
    <cellStyle name="_인원계획표 _적격 _kcc 합덕 신례원 1_사본 - 기성내역서(대경엔텍)_산북하수견적서" xfId="2312" xr:uid="{00000000-0005-0000-0000-0000730C0000}"/>
    <cellStyle name="_인원계획표 _적격 _kcc 합덕 신례원 1_사본 - 기성내역서(대경엔텍)_통일하수내역서" xfId="2313" xr:uid="{00000000-0005-0000-0000-0000740C0000}"/>
    <cellStyle name="_인원계획표 _적격 _kcc 합덕 신례원 1_산북하수견적서" xfId="2314" xr:uid="{00000000-0005-0000-0000-0000750C0000}"/>
    <cellStyle name="_인원계획표 _적격 _kcc 합덕 신례원 1_제1회설계변경내역서(11.15~)update" xfId="2315" xr:uid="{00000000-0005-0000-0000-0000760C0000}"/>
    <cellStyle name="_인원계획표 _적격 _kcc 합덕 신례원 1_제2회기성내역서(1차+2차공사)" xfId="2316" xr:uid="{00000000-0005-0000-0000-0000770C0000}"/>
    <cellStyle name="_인원계획표 _적격 _kcc 합덕 신례원 1_제2회기성내역서(1차+2차공사)_병천하수 견적060412" xfId="2317" xr:uid="{00000000-0005-0000-0000-0000780C0000}"/>
    <cellStyle name="_인원계획표 _적격 _kcc 합덕 신례원 1_제2회기성내역서(1차+2차공사)_산북하수견적서" xfId="2318" xr:uid="{00000000-0005-0000-0000-0000790C0000}"/>
    <cellStyle name="_인원계획표 _적격 _kcc 합덕 신례원 1_제2회기성내역서(1차+2차공사)_제7회기성내역서(1차+2차공사)~ing" xfId="2319" xr:uid="{00000000-0005-0000-0000-00007A0C0000}"/>
    <cellStyle name="_인원계획표 _적격 _kcc 합덕 신례원 1_제2회기성내역서(1차+2차공사)_제7회기성내역서(1차+2차공사)~ing_병천하수 견적060412" xfId="2320" xr:uid="{00000000-0005-0000-0000-00007B0C0000}"/>
    <cellStyle name="_인원계획표 _적격 _kcc 합덕 신례원 1_제2회기성내역서(1차+2차공사)_제7회기성내역서(1차+2차공사)~ing_산북하수견적서" xfId="2321" xr:uid="{00000000-0005-0000-0000-00007C0C0000}"/>
    <cellStyle name="_인원계획표 _적격 _kcc 합덕 신례원 1_제2회기성내역서(1차+2차공사)_제7회기성내역서(1차+2차공사)~ing_통일하수내역서" xfId="2322" xr:uid="{00000000-0005-0000-0000-00007D0C0000}"/>
    <cellStyle name="_인원계획표 _적격 _kcc 합덕 신례원 1_제2회기성내역서(1차+2차공사)_통일하수내역서" xfId="2323" xr:uid="{00000000-0005-0000-0000-00007E0C0000}"/>
    <cellStyle name="_인원계획표 _적격 _kcc 합덕 신례원 1_통일하수내역서" xfId="2324" xr:uid="{00000000-0005-0000-0000-00007F0C0000}"/>
    <cellStyle name="_인원계획표 _적격 _kn 구룡포~대보간 1" xfId="2325" xr:uid="{00000000-0005-0000-0000-0000800C0000}"/>
    <cellStyle name="_인원계획표 _적격 _kn 구룡포~대보간 1_병천하수 견적060412" xfId="2326" xr:uid="{00000000-0005-0000-0000-0000810C0000}"/>
    <cellStyle name="_인원계획표 _적격 _kn 구룡포~대보간 1_사본 - 기성내역서(대경엔텍)" xfId="2327" xr:uid="{00000000-0005-0000-0000-0000820C0000}"/>
    <cellStyle name="_인원계획표 _적격 _kn 구룡포~대보간 1_사본 - 기성내역서(대경엔텍)_병천하수 견적060412" xfId="2328" xr:uid="{00000000-0005-0000-0000-0000830C0000}"/>
    <cellStyle name="_인원계획표 _적격 _kn 구룡포~대보간 1_사본 - 기성내역서(대경엔텍)_산북하수견적서" xfId="2329" xr:uid="{00000000-0005-0000-0000-0000840C0000}"/>
    <cellStyle name="_인원계획표 _적격 _kn 구룡포~대보간 1_사본 - 기성내역서(대경엔텍)_통일하수내역서" xfId="2330" xr:uid="{00000000-0005-0000-0000-0000850C0000}"/>
    <cellStyle name="_인원계획표 _적격 _kn 구룡포~대보간 1_산북하수견적서" xfId="2331" xr:uid="{00000000-0005-0000-0000-0000860C0000}"/>
    <cellStyle name="_인원계획표 _적격 _kn 구룡포~대보간 1_제1회설계변경내역서(11.15~)update" xfId="2332" xr:uid="{00000000-0005-0000-0000-0000870C0000}"/>
    <cellStyle name="_인원계획표 _적격 _kn 구룡포~대보간 1_제2회기성내역서(1차+2차공사)" xfId="2333" xr:uid="{00000000-0005-0000-0000-0000880C0000}"/>
    <cellStyle name="_인원계획표 _적격 _kn 구룡포~대보간 1_제2회기성내역서(1차+2차공사)_병천하수 견적060412" xfId="2334" xr:uid="{00000000-0005-0000-0000-0000890C0000}"/>
    <cellStyle name="_인원계획표 _적격 _kn 구룡포~대보간 1_제2회기성내역서(1차+2차공사)_산북하수견적서" xfId="2335" xr:uid="{00000000-0005-0000-0000-00008A0C0000}"/>
    <cellStyle name="_인원계획표 _적격 _kn 구룡포~대보간 1_제2회기성내역서(1차+2차공사)_제7회기성내역서(1차+2차공사)~ing" xfId="2336" xr:uid="{00000000-0005-0000-0000-00008B0C0000}"/>
    <cellStyle name="_인원계획표 _적격 _kn 구룡포~대보간 1_제2회기성내역서(1차+2차공사)_제7회기성내역서(1차+2차공사)~ing_병천하수 견적060412" xfId="2337" xr:uid="{00000000-0005-0000-0000-00008C0C0000}"/>
    <cellStyle name="_인원계획표 _적격 _kn 구룡포~대보간 1_제2회기성내역서(1차+2차공사)_제7회기성내역서(1차+2차공사)~ing_산북하수견적서" xfId="2338" xr:uid="{00000000-0005-0000-0000-00008D0C0000}"/>
    <cellStyle name="_인원계획표 _적격 _kn 구룡포~대보간 1_제2회기성내역서(1차+2차공사)_제7회기성내역서(1차+2차공사)~ing_통일하수내역서" xfId="2339" xr:uid="{00000000-0005-0000-0000-00008E0C0000}"/>
    <cellStyle name="_인원계획표 _적격 _kn 구룡포~대보간 1_제2회기성내역서(1차+2차공사)_통일하수내역서" xfId="2340" xr:uid="{00000000-0005-0000-0000-00008F0C0000}"/>
    <cellStyle name="_인원계획표 _적격 _kn 구룡포~대보간 1_통일하수내역서" xfId="2341" xr:uid="{00000000-0005-0000-0000-0000900C0000}"/>
    <cellStyle name="_인원계획표 _적격 _ss 굴포천" xfId="2342" xr:uid="{00000000-0005-0000-0000-0000910C0000}"/>
    <cellStyle name="_인원계획표 _적격 _ss 굴포천_병천하수 견적060412" xfId="2343" xr:uid="{00000000-0005-0000-0000-0000920C0000}"/>
    <cellStyle name="_인원계획표 _적격 _ss 굴포천_사본 - 기성내역서(대경엔텍)" xfId="2344" xr:uid="{00000000-0005-0000-0000-0000930C0000}"/>
    <cellStyle name="_인원계획표 _적격 _ss 굴포천_사본 - 기성내역서(대경엔텍)_병천하수 견적060412" xfId="2345" xr:uid="{00000000-0005-0000-0000-0000940C0000}"/>
    <cellStyle name="_인원계획표 _적격 _ss 굴포천_사본 - 기성내역서(대경엔텍)_산북하수견적서" xfId="2346" xr:uid="{00000000-0005-0000-0000-0000950C0000}"/>
    <cellStyle name="_인원계획표 _적격 _ss 굴포천_사본 - 기성내역서(대경엔텍)_통일하수내역서" xfId="2347" xr:uid="{00000000-0005-0000-0000-0000960C0000}"/>
    <cellStyle name="_인원계획표 _적격 _ss 굴포천_산북하수견적서" xfId="2348" xr:uid="{00000000-0005-0000-0000-0000970C0000}"/>
    <cellStyle name="_인원계획표 _적격 _ss 굴포천_제1회설계변경내역서(11.15~)update" xfId="2349" xr:uid="{00000000-0005-0000-0000-0000980C0000}"/>
    <cellStyle name="_인원계획표 _적격 _ss 굴포천_제2회기성내역서(1차+2차공사)" xfId="2350" xr:uid="{00000000-0005-0000-0000-0000990C0000}"/>
    <cellStyle name="_인원계획표 _적격 _ss 굴포천_제2회기성내역서(1차+2차공사)_병천하수 견적060412" xfId="2351" xr:uid="{00000000-0005-0000-0000-00009A0C0000}"/>
    <cellStyle name="_인원계획표 _적격 _ss 굴포천_제2회기성내역서(1차+2차공사)_산북하수견적서" xfId="2352" xr:uid="{00000000-0005-0000-0000-00009B0C0000}"/>
    <cellStyle name="_인원계획표 _적격 _ss 굴포천_제2회기성내역서(1차+2차공사)_제7회기성내역서(1차+2차공사)~ing" xfId="2353" xr:uid="{00000000-0005-0000-0000-00009C0C0000}"/>
    <cellStyle name="_인원계획표 _적격 _ss 굴포천_제2회기성내역서(1차+2차공사)_제7회기성내역서(1차+2차공사)~ing_병천하수 견적060412" xfId="2354" xr:uid="{00000000-0005-0000-0000-00009D0C0000}"/>
    <cellStyle name="_인원계획표 _적격 _ss 굴포천_제2회기성내역서(1차+2차공사)_제7회기성내역서(1차+2차공사)~ing_산북하수견적서" xfId="2355" xr:uid="{00000000-0005-0000-0000-00009E0C0000}"/>
    <cellStyle name="_인원계획표 _적격 _ss 굴포천_제2회기성내역서(1차+2차공사)_제7회기성내역서(1차+2차공사)~ing_통일하수내역서" xfId="2356" xr:uid="{00000000-0005-0000-0000-00009F0C0000}"/>
    <cellStyle name="_인원계획표 _적격 _ss 굴포천_제2회기성내역서(1차+2차공사)_통일하수내역서" xfId="2357" xr:uid="{00000000-0005-0000-0000-0000A00C0000}"/>
    <cellStyle name="_인원계획표 _적격 _ss 굴포천_통일하수내역서" xfId="2358" xr:uid="{00000000-0005-0000-0000-0000A10C0000}"/>
    <cellStyle name="_인원계획표 _적격 _경기북부2차도급내역(분류체계)" xfId="740" xr:uid="{00000000-0005-0000-0000-0000A20C0000}"/>
    <cellStyle name="_인원계획표 _적격 _경기북부2차도급내역(분류체계)_12월 자금청구-창원반송" xfId="741" xr:uid="{00000000-0005-0000-0000-0000A30C0000}"/>
    <cellStyle name="_인원계획표 _적격 _경기북부2차도급내역(분류체계)_Book1" xfId="742" xr:uid="{00000000-0005-0000-0000-0000A40C0000}"/>
    <cellStyle name="_인원계획표 _적격 _도급내역서(1차계약분)" xfId="743" xr:uid="{00000000-0005-0000-0000-0000A50C0000}"/>
    <cellStyle name="_인원계획표 _적격 _도급내역서(1차계약분)_12월 자금청구-창원반송" xfId="744" xr:uid="{00000000-0005-0000-0000-0000A60C0000}"/>
    <cellStyle name="_인원계획표 _적격 _도급내역서(1차계약분)_Book1" xfId="745" xr:uid="{00000000-0005-0000-0000-0000A70C0000}"/>
    <cellStyle name="_인원계획표 _적격 _병천하수 견적060412" xfId="2359" xr:uid="{00000000-0005-0000-0000-0000A80C0000}"/>
    <cellStyle name="_인원계획표 _적격 _사본 - 기성내역서(대경엔텍)" xfId="2360" xr:uid="{00000000-0005-0000-0000-0000A90C0000}"/>
    <cellStyle name="_인원계획표 _적격 _사본 - 기성내역서(대경엔텍)_병천하수 견적060412" xfId="2361" xr:uid="{00000000-0005-0000-0000-0000AA0C0000}"/>
    <cellStyle name="_인원계획표 _적격 _사본 - 기성내역서(대경엔텍)_산북하수견적서" xfId="2362" xr:uid="{00000000-0005-0000-0000-0000AB0C0000}"/>
    <cellStyle name="_인원계획표 _적격 _사본 - 기성내역서(대경엔텍)_통일하수내역서" xfId="2363" xr:uid="{00000000-0005-0000-0000-0000AC0C0000}"/>
    <cellStyle name="_인원계획표 _적격 _산북하수견적서" xfId="2364" xr:uid="{00000000-0005-0000-0000-0000AD0C0000}"/>
    <cellStyle name="_인원계획표 _적격 _안동투찰" xfId="2365" xr:uid="{00000000-0005-0000-0000-0000AE0C0000}"/>
    <cellStyle name="_인원계획표 _적격 _안동투찰_병천하수 견적060412" xfId="2366" xr:uid="{00000000-0005-0000-0000-0000AF0C0000}"/>
    <cellStyle name="_인원계획표 _적격 _안동투찰_사본 - 기성내역서(대경엔텍)" xfId="2367" xr:uid="{00000000-0005-0000-0000-0000B00C0000}"/>
    <cellStyle name="_인원계획표 _적격 _안동투찰_사본 - 기성내역서(대경엔텍)_병천하수 견적060412" xfId="2368" xr:uid="{00000000-0005-0000-0000-0000B10C0000}"/>
    <cellStyle name="_인원계획표 _적격 _안동투찰_사본 - 기성내역서(대경엔텍)_산북하수견적서" xfId="2369" xr:uid="{00000000-0005-0000-0000-0000B20C0000}"/>
    <cellStyle name="_인원계획표 _적격 _안동투찰_사본 - 기성내역서(대경엔텍)_통일하수내역서" xfId="2370" xr:uid="{00000000-0005-0000-0000-0000B30C0000}"/>
    <cellStyle name="_인원계획표 _적격 _안동투찰_산북하수견적서" xfId="2371" xr:uid="{00000000-0005-0000-0000-0000B40C0000}"/>
    <cellStyle name="_인원계획표 _적격 _안동투찰_제1회설계변경내역서(11.15~)update" xfId="2372" xr:uid="{00000000-0005-0000-0000-0000B50C0000}"/>
    <cellStyle name="_인원계획표 _적격 _안동투찰_제2회기성내역서(1차+2차공사)" xfId="2373" xr:uid="{00000000-0005-0000-0000-0000B60C0000}"/>
    <cellStyle name="_인원계획표 _적격 _안동투찰_제2회기성내역서(1차+2차공사)_병천하수 견적060412" xfId="2374" xr:uid="{00000000-0005-0000-0000-0000B70C0000}"/>
    <cellStyle name="_인원계획표 _적격 _안동투찰_제2회기성내역서(1차+2차공사)_산북하수견적서" xfId="2375" xr:uid="{00000000-0005-0000-0000-0000B80C0000}"/>
    <cellStyle name="_인원계획표 _적격 _안동투찰_제2회기성내역서(1차+2차공사)_제7회기성내역서(1차+2차공사)~ing" xfId="2376" xr:uid="{00000000-0005-0000-0000-0000B90C0000}"/>
    <cellStyle name="_인원계획표 _적격 _안동투찰_제2회기성내역서(1차+2차공사)_제7회기성내역서(1차+2차공사)~ing_병천하수 견적060412" xfId="2377" xr:uid="{00000000-0005-0000-0000-0000BA0C0000}"/>
    <cellStyle name="_인원계획표 _적격 _안동투찰_제2회기성내역서(1차+2차공사)_제7회기성내역서(1차+2차공사)~ing_산북하수견적서" xfId="2378" xr:uid="{00000000-0005-0000-0000-0000BB0C0000}"/>
    <cellStyle name="_인원계획표 _적격 _안동투찰_제2회기성내역서(1차+2차공사)_제7회기성내역서(1차+2차공사)~ing_통일하수내역서" xfId="2379" xr:uid="{00000000-0005-0000-0000-0000BC0C0000}"/>
    <cellStyle name="_인원계획표 _적격 _안동투찰_제2회기성내역서(1차+2차공사)_통일하수내역서" xfId="2380" xr:uid="{00000000-0005-0000-0000-0000BD0C0000}"/>
    <cellStyle name="_인원계획표 _적격 _안동투찰_통일하수내역서" xfId="2381" xr:uid="{00000000-0005-0000-0000-0000BE0C0000}"/>
    <cellStyle name="_인원계획표 _적격 _제1회설계변경내역서(11.15~)update" xfId="2382" xr:uid="{00000000-0005-0000-0000-0000BF0C0000}"/>
    <cellStyle name="_인원계획표 _적격 _제2회기성내역서(1차+2차공사)" xfId="2383" xr:uid="{00000000-0005-0000-0000-0000C00C0000}"/>
    <cellStyle name="_인원계획표 _적격 _제2회기성내역서(1차+2차공사)_병천하수 견적060412" xfId="2384" xr:uid="{00000000-0005-0000-0000-0000C10C0000}"/>
    <cellStyle name="_인원계획표 _적격 _제2회기성내역서(1차+2차공사)_산북하수견적서" xfId="2385" xr:uid="{00000000-0005-0000-0000-0000C20C0000}"/>
    <cellStyle name="_인원계획표 _적격 _제2회기성내역서(1차+2차공사)_제7회기성내역서(1차+2차공사)~ing" xfId="2386" xr:uid="{00000000-0005-0000-0000-0000C30C0000}"/>
    <cellStyle name="_인원계획표 _적격 _제2회기성내역서(1차+2차공사)_제7회기성내역서(1차+2차공사)~ing_병천하수 견적060412" xfId="2387" xr:uid="{00000000-0005-0000-0000-0000C40C0000}"/>
    <cellStyle name="_인원계획표 _적격 _제2회기성내역서(1차+2차공사)_제7회기성내역서(1차+2차공사)~ing_산북하수견적서" xfId="2388" xr:uid="{00000000-0005-0000-0000-0000C50C0000}"/>
    <cellStyle name="_인원계획표 _적격 _제2회기성내역서(1차+2차공사)_제7회기성내역서(1차+2차공사)~ing_통일하수내역서" xfId="2389" xr:uid="{00000000-0005-0000-0000-0000C60C0000}"/>
    <cellStyle name="_인원계획표 _적격 _제2회기성내역서(1차+2차공사)_통일하수내역서" xfId="2390" xr:uid="{00000000-0005-0000-0000-0000C70C0000}"/>
    <cellStyle name="_인원계획표 _적격 _통리투찰" xfId="2391" xr:uid="{00000000-0005-0000-0000-0000C80C0000}"/>
    <cellStyle name="_인원계획표 _적격 _통리투찰_병천하수 견적060412" xfId="2392" xr:uid="{00000000-0005-0000-0000-0000C90C0000}"/>
    <cellStyle name="_인원계획표 _적격 _통리투찰_사본 - 기성내역서(대경엔텍)" xfId="2393" xr:uid="{00000000-0005-0000-0000-0000CA0C0000}"/>
    <cellStyle name="_인원계획표 _적격 _통리투찰_사본 - 기성내역서(대경엔텍)_병천하수 견적060412" xfId="2394" xr:uid="{00000000-0005-0000-0000-0000CB0C0000}"/>
    <cellStyle name="_인원계획표 _적격 _통리투찰_사본 - 기성내역서(대경엔텍)_산북하수견적서" xfId="2395" xr:uid="{00000000-0005-0000-0000-0000CC0C0000}"/>
    <cellStyle name="_인원계획표 _적격 _통리투찰_사본 - 기성내역서(대경엔텍)_통일하수내역서" xfId="2396" xr:uid="{00000000-0005-0000-0000-0000CD0C0000}"/>
    <cellStyle name="_인원계획표 _적격 _통리투찰_산북하수견적서" xfId="2397" xr:uid="{00000000-0005-0000-0000-0000CE0C0000}"/>
    <cellStyle name="_인원계획표 _적격 _통리투찰_제1회설계변경내역서(11.15~)update" xfId="2398" xr:uid="{00000000-0005-0000-0000-0000CF0C0000}"/>
    <cellStyle name="_인원계획표 _적격 _통리투찰_제2회기성내역서(1차+2차공사)" xfId="2399" xr:uid="{00000000-0005-0000-0000-0000D00C0000}"/>
    <cellStyle name="_인원계획표 _적격 _통리투찰_제2회기성내역서(1차+2차공사)_병천하수 견적060412" xfId="2400" xr:uid="{00000000-0005-0000-0000-0000D10C0000}"/>
    <cellStyle name="_인원계획표 _적격 _통리투찰_제2회기성내역서(1차+2차공사)_산북하수견적서" xfId="2401" xr:uid="{00000000-0005-0000-0000-0000D20C0000}"/>
    <cellStyle name="_인원계획표 _적격 _통리투찰_제2회기성내역서(1차+2차공사)_제7회기성내역서(1차+2차공사)~ing" xfId="2402" xr:uid="{00000000-0005-0000-0000-0000D30C0000}"/>
    <cellStyle name="_인원계획표 _적격 _통리투찰_제2회기성내역서(1차+2차공사)_제7회기성내역서(1차+2차공사)~ing_병천하수 견적060412" xfId="2403" xr:uid="{00000000-0005-0000-0000-0000D40C0000}"/>
    <cellStyle name="_인원계획표 _적격 _통리투찰_제2회기성내역서(1차+2차공사)_제7회기성내역서(1차+2차공사)~ing_산북하수견적서" xfId="2404" xr:uid="{00000000-0005-0000-0000-0000D50C0000}"/>
    <cellStyle name="_인원계획표 _적격 _통리투찰_제2회기성내역서(1차+2차공사)_제7회기성내역서(1차+2차공사)~ing_통일하수내역서" xfId="2405" xr:uid="{00000000-0005-0000-0000-0000D60C0000}"/>
    <cellStyle name="_인원계획표 _적격 _통리투찰_제2회기성내역서(1차+2차공사)_통일하수내역서" xfId="2406" xr:uid="{00000000-0005-0000-0000-0000D70C0000}"/>
    <cellStyle name="_인원계획표 _적격 _통리투찰_통일하수내역서" xfId="2407" xr:uid="{00000000-0005-0000-0000-0000D80C0000}"/>
    <cellStyle name="_인원계획표 _적격 _통일하수내역서" xfId="2408" xr:uid="{00000000-0005-0000-0000-0000D90C0000}"/>
    <cellStyle name="_인원계획표 _제1회설계변경내역서(11.15~)update" xfId="2409" xr:uid="{00000000-0005-0000-0000-0000DA0C0000}"/>
    <cellStyle name="_인원계획표 _제2회기성내역서(1차+2차공사)" xfId="2410" xr:uid="{00000000-0005-0000-0000-0000DB0C0000}"/>
    <cellStyle name="_인원계획표 _제2회기성내역서(1차+2차공사)_병천하수 견적060412" xfId="2411" xr:uid="{00000000-0005-0000-0000-0000DC0C0000}"/>
    <cellStyle name="_인원계획표 _제2회기성내역서(1차+2차공사)_산북하수견적서" xfId="2412" xr:uid="{00000000-0005-0000-0000-0000DD0C0000}"/>
    <cellStyle name="_인원계획표 _제2회기성내역서(1차+2차공사)_제7회기성내역서(1차+2차공사)~ing" xfId="2413" xr:uid="{00000000-0005-0000-0000-0000DE0C0000}"/>
    <cellStyle name="_인원계획표 _제2회기성내역서(1차+2차공사)_제7회기성내역서(1차+2차공사)~ing_병천하수 견적060412" xfId="2414" xr:uid="{00000000-0005-0000-0000-0000DF0C0000}"/>
    <cellStyle name="_인원계획표 _제2회기성내역서(1차+2차공사)_제7회기성내역서(1차+2차공사)~ing_산북하수견적서" xfId="2415" xr:uid="{00000000-0005-0000-0000-0000E00C0000}"/>
    <cellStyle name="_인원계획표 _제2회기성내역서(1차+2차공사)_제7회기성내역서(1차+2차공사)~ing_통일하수내역서" xfId="2416" xr:uid="{00000000-0005-0000-0000-0000E10C0000}"/>
    <cellStyle name="_인원계획표 _제2회기성내역서(1차+2차공사)_통일하수내역서" xfId="2417" xr:uid="{00000000-0005-0000-0000-0000E20C0000}"/>
    <cellStyle name="_인원계획표 _통리투찰" xfId="2418" xr:uid="{00000000-0005-0000-0000-0000E30C0000}"/>
    <cellStyle name="_인원계획표 _통리투찰_병천하수 견적060412" xfId="2419" xr:uid="{00000000-0005-0000-0000-0000E40C0000}"/>
    <cellStyle name="_인원계획표 _통리투찰_사본 - 기성내역서(대경엔텍)" xfId="2420" xr:uid="{00000000-0005-0000-0000-0000E50C0000}"/>
    <cellStyle name="_인원계획표 _통리투찰_사본 - 기성내역서(대경엔텍)_병천하수 견적060412" xfId="2421" xr:uid="{00000000-0005-0000-0000-0000E60C0000}"/>
    <cellStyle name="_인원계획표 _통리투찰_사본 - 기성내역서(대경엔텍)_산북하수견적서" xfId="2422" xr:uid="{00000000-0005-0000-0000-0000E70C0000}"/>
    <cellStyle name="_인원계획표 _통리투찰_사본 - 기성내역서(대경엔텍)_통일하수내역서" xfId="2423" xr:uid="{00000000-0005-0000-0000-0000E80C0000}"/>
    <cellStyle name="_인원계획표 _통리투찰_산북하수견적서" xfId="2424" xr:uid="{00000000-0005-0000-0000-0000E90C0000}"/>
    <cellStyle name="_인원계획표 _통리투찰_제1회설계변경내역서(11.15~)update" xfId="2425" xr:uid="{00000000-0005-0000-0000-0000EA0C0000}"/>
    <cellStyle name="_인원계획표 _통리투찰_제2회기성내역서(1차+2차공사)" xfId="2426" xr:uid="{00000000-0005-0000-0000-0000EB0C0000}"/>
    <cellStyle name="_인원계획표 _통리투찰_제2회기성내역서(1차+2차공사)_병천하수 견적060412" xfId="2427" xr:uid="{00000000-0005-0000-0000-0000EC0C0000}"/>
    <cellStyle name="_인원계획표 _통리투찰_제2회기성내역서(1차+2차공사)_산북하수견적서" xfId="2428" xr:uid="{00000000-0005-0000-0000-0000ED0C0000}"/>
    <cellStyle name="_인원계획표 _통리투찰_제2회기성내역서(1차+2차공사)_제7회기성내역서(1차+2차공사)~ing" xfId="2429" xr:uid="{00000000-0005-0000-0000-0000EE0C0000}"/>
    <cellStyle name="_인원계획표 _통리투찰_제2회기성내역서(1차+2차공사)_제7회기성내역서(1차+2차공사)~ing_병천하수 견적060412" xfId="2430" xr:uid="{00000000-0005-0000-0000-0000EF0C0000}"/>
    <cellStyle name="_인원계획표 _통리투찰_제2회기성내역서(1차+2차공사)_제7회기성내역서(1차+2차공사)~ing_산북하수견적서" xfId="2431" xr:uid="{00000000-0005-0000-0000-0000F00C0000}"/>
    <cellStyle name="_인원계획표 _통리투찰_제2회기성내역서(1차+2차공사)_제7회기성내역서(1차+2차공사)~ing_통일하수내역서" xfId="2432" xr:uid="{00000000-0005-0000-0000-0000F10C0000}"/>
    <cellStyle name="_인원계획표 _통리투찰_제2회기성내역서(1차+2차공사)_통일하수내역서" xfId="2433" xr:uid="{00000000-0005-0000-0000-0000F20C0000}"/>
    <cellStyle name="_인원계획표 _통리투찰_통일하수내역서" xfId="2434" xr:uid="{00000000-0005-0000-0000-0000F30C0000}"/>
    <cellStyle name="_인원계획표 _통일하수내역서" xfId="2435" xr:uid="{00000000-0005-0000-0000-0000F40C0000}"/>
    <cellStyle name="_인증견적자료" xfId="5526" xr:uid="{00000000-0005-0000-0000-0000F50C0000}"/>
    <cellStyle name="_인증견적자료 2" xfId="7649" xr:uid="{00000000-0005-0000-0000-0000F60C0000}"/>
    <cellStyle name="_인천시 지하시설물통합정보시스템 구축사업 설계내역서_0514(FP)" xfId="5527" xr:uid="{00000000-0005-0000-0000-0000F70C0000}"/>
    <cellStyle name="_인천시 지하시설물통합정보시스템 구축사업 설계내역서_0514(FP) 2" xfId="7650" xr:uid="{00000000-0005-0000-0000-0000F80C0000}"/>
    <cellStyle name="_인트라넷개발내역" xfId="5528" xr:uid="{00000000-0005-0000-0000-0000F90C0000}"/>
    <cellStyle name="_인트라넷개발내역 2" xfId="7651" xr:uid="{00000000-0005-0000-0000-0000FA0C0000}"/>
    <cellStyle name="_일위대가" xfId="5529" xr:uid="{00000000-0005-0000-0000-0000FB0C0000}"/>
    <cellStyle name="_일위대가2" xfId="5530" xr:uid="{00000000-0005-0000-0000-0000FC0C0000}"/>
    <cellStyle name="_임진강-산출내역v1(1).0" xfId="746" xr:uid="{00000000-0005-0000-0000-0000FD0C0000}"/>
    <cellStyle name="_임진강-산출내역v1(1).0 2" xfId="7652" xr:uid="{00000000-0005-0000-0000-0000FE0C0000}"/>
    <cellStyle name="_입찰표지 " xfId="747" xr:uid="{00000000-0005-0000-0000-0000FF0C0000}"/>
    <cellStyle name="_입찰표지 _12월 자금청구-창원반송" xfId="748" xr:uid="{00000000-0005-0000-0000-0000000D0000}"/>
    <cellStyle name="_입찰표지 _17공구" xfId="2436" xr:uid="{00000000-0005-0000-0000-0000010D0000}"/>
    <cellStyle name="_입찰표지 _17공구_병천하수 견적060412" xfId="2437" xr:uid="{00000000-0005-0000-0000-0000020D0000}"/>
    <cellStyle name="_입찰표지 _17공구_사본 - 기성내역서(대경엔텍)" xfId="2438" xr:uid="{00000000-0005-0000-0000-0000030D0000}"/>
    <cellStyle name="_입찰표지 _17공구_사본 - 기성내역서(대경엔텍)_병천하수 견적060412" xfId="2439" xr:uid="{00000000-0005-0000-0000-0000040D0000}"/>
    <cellStyle name="_입찰표지 _17공구_사본 - 기성내역서(대경엔텍)_산북하수견적서" xfId="2440" xr:uid="{00000000-0005-0000-0000-0000050D0000}"/>
    <cellStyle name="_입찰표지 _17공구_사본 - 기성내역서(대경엔텍)_통일하수내역서" xfId="2441" xr:uid="{00000000-0005-0000-0000-0000060D0000}"/>
    <cellStyle name="_입찰표지 _17공구_산북하수견적서" xfId="2442" xr:uid="{00000000-0005-0000-0000-0000070D0000}"/>
    <cellStyle name="_입찰표지 _17공구_제1회설계변경내역서(11.15~)update" xfId="2443" xr:uid="{00000000-0005-0000-0000-0000080D0000}"/>
    <cellStyle name="_입찰표지 _17공구_제2회기성내역서(1차+2차공사)" xfId="2444" xr:uid="{00000000-0005-0000-0000-0000090D0000}"/>
    <cellStyle name="_입찰표지 _17공구_제2회기성내역서(1차+2차공사)_병천하수 견적060412" xfId="2445" xr:uid="{00000000-0005-0000-0000-00000A0D0000}"/>
    <cellStyle name="_입찰표지 _17공구_제2회기성내역서(1차+2차공사)_산북하수견적서" xfId="2446" xr:uid="{00000000-0005-0000-0000-00000B0D0000}"/>
    <cellStyle name="_입찰표지 _17공구_제2회기성내역서(1차+2차공사)_제7회기성내역서(1차+2차공사)~ing" xfId="2447" xr:uid="{00000000-0005-0000-0000-00000C0D0000}"/>
    <cellStyle name="_입찰표지 _17공구_제2회기성내역서(1차+2차공사)_제7회기성내역서(1차+2차공사)~ing_병천하수 견적060412" xfId="2448" xr:uid="{00000000-0005-0000-0000-00000D0D0000}"/>
    <cellStyle name="_입찰표지 _17공구_제2회기성내역서(1차+2차공사)_제7회기성내역서(1차+2차공사)~ing_산북하수견적서" xfId="2449" xr:uid="{00000000-0005-0000-0000-00000E0D0000}"/>
    <cellStyle name="_입찰표지 _17공구_제2회기성내역서(1차+2차공사)_제7회기성내역서(1차+2차공사)~ing_통일하수내역서" xfId="2450" xr:uid="{00000000-0005-0000-0000-00000F0D0000}"/>
    <cellStyle name="_입찰표지 _17공구_제2회기성내역서(1차+2차공사)_통일하수내역서" xfId="2451" xr:uid="{00000000-0005-0000-0000-0000100D0000}"/>
    <cellStyle name="_입찰표지 _17공구_통일하수내역서" xfId="2452" xr:uid="{00000000-0005-0000-0000-0000110D0000}"/>
    <cellStyle name="_입찰표지 _Book1" xfId="749" xr:uid="{00000000-0005-0000-0000-0000120D0000}"/>
    <cellStyle name="_입찰표지 _hs 보령우회" xfId="2453" xr:uid="{00000000-0005-0000-0000-0000130D0000}"/>
    <cellStyle name="_입찰표지 _hs 보령우회_병천하수 견적060412" xfId="2454" xr:uid="{00000000-0005-0000-0000-0000140D0000}"/>
    <cellStyle name="_입찰표지 _hs 보령우회_사본 - 기성내역서(대경엔텍)" xfId="2455" xr:uid="{00000000-0005-0000-0000-0000150D0000}"/>
    <cellStyle name="_입찰표지 _hs 보령우회_사본 - 기성내역서(대경엔텍)_병천하수 견적060412" xfId="2456" xr:uid="{00000000-0005-0000-0000-0000160D0000}"/>
    <cellStyle name="_입찰표지 _hs 보령우회_사본 - 기성내역서(대경엔텍)_산북하수견적서" xfId="2457" xr:uid="{00000000-0005-0000-0000-0000170D0000}"/>
    <cellStyle name="_입찰표지 _hs 보령우회_사본 - 기성내역서(대경엔텍)_통일하수내역서" xfId="2458" xr:uid="{00000000-0005-0000-0000-0000180D0000}"/>
    <cellStyle name="_입찰표지 _hs 보령우회_산북하수견적서" xfId="2459" xr:uid="{00000000-0005-0000-0000-0000190D0000}"/>
    <cellStyle name="_입찰표지 _hs 보령우회_제1회설계변경내역서(11.15~)update" xfId="2460" xr:uid="{00000000-0005-0000-0000-00001A0D0000}"/>
    <cellStyle name="_입찰표지 _hs 보령우회_제2회기성내역서(1차+2차공사)" xfId="2461" xr:uid="{00000000-0005-0000-0000-00001B0D0000}"/>
    <cellStyle name="_입찰표지 _hs 보령우회_제2회기성내역서(1차+2차공사)_병천하수 견적060412" xfId="2462" xr:uid="{00000000-0005-0000-0000-00001C0D0000}"/>
    <cellStyle name="_입찰표지 _hs 보령우회_제2회기성내역서(1차+2차공사)_산북하수견적서" xfId="2463" xr:uid="{00000000-0005-0000-0000-00001D0D0000}"/>
    <cellStyle name="_입찰표지 _hs 보령우회_제2회기성내역서(1차+2차공사)_제7회기성내역서(1차+2차공사)~ing" xfId="2464" xr:uid="{00000000-0005-0000-0000-00001E0D0000}"/>
    <cellStyle name="_입찰표지 _hs 보령우회_제2회기성내역서(1차+2차공사)_제7회기성내역서(1차+2차공사)~ing_병천하수 견적060412" xfId="2465" xr:uid="{00000000-0005-0000-0000-00001F0D0000}"/>
    <cellStyle name="_입찰표지 _hs 보령우회_제2회기성내역서(1차+2차공사)_제7회기성내역서(1차+2차공사)~ing_산북하수견적서" xfId="2466" xr:uid="{00000000-0005-0000-0000-0000200D0000}"/>
    <cellStyle name="_입찰표지 _hs 보령우회_제2회기성내역서(1차+2차공사)_제7회기성내역서(1차+2차공사)~ing_통일하수내역서" xfId="2467" xr:uid="{00000000-0005-0000-0000-0000210D0000}"/>
    <cellStyle name="_입찰표지 _hs 보령우회_제2회기성내역서(1차+2차공사)_통일하수내역서" xfId="2468" xr:uid="{00000000-0005-0000-0000-0000220D0000}"/>
    <cellStyle name="_입찰표지 _hs 보령우회_통일하수내역서" xfId="2469" xr:uid="{00000000-0005-0000-0000-0000230D0000}"/>
    <cellStyle name="_입찰표지 _hs 중앙선 8(선산토건)" xfId="2470" xr:uid="{00000000-0005-0000-0000-0000240D0000}"/>
    <cellStyle name="_입찰표지 _hs 중앙선 8(선산토건)_병천하수 견적060412" xfId="2471" xr:uid="{00000000-0005-0000-0000-0000250D0000}"/>
    <cellStyle name="_입찰표지 _hs 중앙선 8(선산토건)_사본 - 기성내역서(대경엔텍)" xfId="2472" xr:uid="{00000000-0005-0000-0000-0000260D0000}"/>
    <cellStyle name="_입찰표지 _hs 중앙선 8(선산토건)_사본 - 기성내역서(대경엔텍)_병천하수 견적060412" xfId="2473" xr:uid="{00000000-0005-0000-0000-0000270D0000}"/>
    <cellStyle name="_입찰표지 _hs 중앙선 8(선산토건)_사본 - 기성내역서(대경엔텍)_산북하수견적서" xfId="2474" xr:uid="{00000000-0005-0000-0000-0000280D0000}"/>
    <cellStyle name="_입찰표지 _hs 중앙선 8(선산토건)_사본 - 기성내역서(대경엔텍)_통일하수내역서" xfId="2475" xr:uid="{00000000-0005-0000-0000-0000290D0000}"/>
    <cellStyle name="_입찰표지 _hs 중앙선 8(선산토건)_산북하수견적서" xfId="2476" xr:uid="{00000000-0005-0000-0000-00002A0D0000}"/>
    <cellStyle name="_입찰표지 _hs 중앙선 8(선산토건)_제1회설계변경내역서(11.15~)update" xfId="2477" xr:uid="{00000000-0005-0000-0000-00002B0D0000}"/>
    <cellStyle name="_입찰표지 _hs 중앙선 8(선산토건)_제2회기성내역서(1차+2차공사)" xfId="2478" xr:uid="{00000000-0005-0000-0000-00002C0D0000}"/>
    <cellStyle name="_입찰표지 _hs 중앙선 8(선산토건)_제2회기성내역서(1차+2차공사)_병천하수 견적060412" xfId="2479" xr:uid="{00000000-0005-0000-0000-00002D0D0000}"/>
    <cellStyle name="_입찰표지 _hs 중앙선 8(선산토건)_제2회기성내역서(1차+2차공사)_산북하수견적서" xfId="2480" xr:uid="{00000000-0005-0000-0000-00002E0D0000}"/>
    <cellStyle name="_입찰표지 _hs 중앙선 8(선산토건)_제2회기성내역서(1차+2차공사)_제7회기성내역서(1차+2차공사)~ing" xfId="2481" xr:uid="{00000000-0005-0000-0000-00002F0D0000}"/>
    <cellStyle name="_입찰표지 _hs 중앙선 8(선산토건)_제2회기성내역서(1차+2차공사)_제7회기성내역서(1차+2차공사)~ing_병천하수 견적060412" xfId="2482" xr:uid="{00000000-0005-0000-0000-0000300D0000}"/>
    <cellStyle name="_입찰표지 _hs 중앙선 8(선산토건)_제2회기성내역서(1차+2차공사)_제7회기성내역서(1차+2차공사)~ing_산북하수견적서" xfId="2483" xr:uid="{00000000-0005-0000-0000-0000310D0000}"/>
    <cellStyle name="_입찰표지 _hs 중앙선 8(선산토건)_제2회기성내역서(1차+2차공사)_제7회기성내역서(1차+2차공사)~ing_통일하수내역서" xfId="2484" xr:uid="{00000000-0005-0000-0000-0000320D0000}"/>
    <cellStyle name="_입찰표지 _hs 중앙선 8(선산토건)_제2회기성내역서(1차+2차공사)_통일하수내역서" xfId="2485" xr:uid="{00000000-0005-0000-0000-0000330D0000}"/>
    <cellStyle name="_입찰표지 _hs 중앙선 8(선산토건)_통일하수내역서" xfId="2486" xr:uid="{00000000-0005-0000-0000-0000340D0000}"/>
    <cellStyle name="_입찰표지 _kcc 안산2단계" xfId="2487" xr:uid="{00000000-0005-0000-0000-0000350D0000}"/>
    <cellStyle name="_입찰표지 _kcc 안산2단계_병천하수 견적060412" xfId="2488" xr:uid="{00000000-0005-0000-0000-0000360D0000}"/>
    <cellStyle name="_입찰표지 _kcc 안산2단계_사본 - 기성내역서(대경엔텍)" xfId="2489" xr:uid="{00000000-0005-0000-0000-0000370D0000}"/>
    <cellStyle name="_입찰표지 _kcc 안산2단계_사본 - 기성내역서(대경엔텍)_병천하수 견적060412" xfId="2490" xr:uid="{00000000-0005-0000-0000-0000380D0000}"/>
    <cellStyle name="_입찰표지 _kcc 안산2단계_사본 - 기성내역서(대경엔텍)_산북하수견적서" xfId="2491" xr:uid="{00000000-0005-0000-0000-0000390D0000}"/>
    <cellStyle name="_입찰표지 _kcc 안산2단계_사본 - 기성내역서(대경엔텍)_통일하수내역서" xfId="2492" xr:uid="{00000000-0005-0000-0000-00003A0D0000}"/>
    <cellStyle name="_입찰표지 _kcc 안산2단계_산북하수견적서" xfId="2493" xr:uid="{00000000-0005-0000-0000-00003B0D0000}"/>
    <cellStyle name="_입찰표지 _kcc 안산2단계_제1회설계변경내역서(11.15~)update" xfId="2494" xr:uid="{00000000-0005-0000-0000-00003C0D0000}"/>
    <cellStyle name="_입찰표지 _kcc 안산2단계_제2회기성내역서(1차+2차공사)" xfId="2495" xr:uid="{00000000-0005-0000-0000-00003D0D0000}"/>
    <cellStyle name="_입찰표지 _kcc 안산2단계_제2회기성내역서(1차+2차공사)_병천하수 견적060412" xfId="2496" xr:uid="{00000000-0005-0000-0000-00003E0D0000}"/>
    <cellStyle name="_입찰표지 _kcc 안산2단계_제2회기성내역서(1차+2차공사)_산북하수견적서" xfId="2497" xr:uid="{00000000-0005-0000-0000-00003F0D0000}"/>
    <cellStyle name="_입찰표지 _kcc 안산2단계_제2회기성내역서(1차+2차공사)_제7회기성내역서(1차+2차공사)~ing" xfId="2498" xr:uid="{00000000-0005-0000-0000-0000400D0000}"/>
    <cellStyle name="_입찰표지 _kcc 안산2단계_제2회기성내역서(1차+2차공사)_제7회기성내역서(1차+2차공사)~ing_병천하수 견적060412" xfId="2499" xr:uid="{00000000-0005-0000-0000-0000410D0000}"/>
    <cellStyle name="_입찰표지 _kcc 안산2단계_제2회기성내역서(1차+2차공사)_제7회기성내역서(1차+2차공사)~ing_산북하수견적서" xfId="2500" xr:uid="{00000000-0005-0000-0000-0000420D0000}"/>
    <cellStyle name="_입찰표지 _kcc 안산2단계_제2회기성내역서(1차+2차공사)_제7회기성내역서(1차+2차공사)~ing_통일하수내역서" xfId="2501" xr:uid="{00000000-0005-0000-0000-0000430D0000}"/>
    <cellStyle name="_입찰표지 _kcc 안산2단계_제2회기성내역서(1차+2차공사)_통일하수내역서" xfId="2502" xr:uid="{00000000-0005-0000-0000-0000440D0000}"/>
    <cellStyle name="_입찰표지 _kcc 안산2단계_통일하수내역서" xfId="2503" xr:uid="{00000000-0005-0000-0000-0000450D0000}"/>
    <cellStyle name="_입찰표지 _kcc 합덕 신례원 1" xfId="2504" xr:uid="{00000000-0005-0000-0000-0000460D0000}"/>
    <cellStyle name="_입찰표지 _kcc 합덕 신례원 1_병천하수 견적060412" xfId="2505" xr:uid="{00000000-0005-0000-0000-0000470D0000}"/>
    <cellStyle name="_입찰표지 _kcc 합덕 신례원 1_사본 - 기성내역서(대경엔텍)" xfId="2506" xr:uid="{00000000-0005-0000-0000-0000480D0000}"/>
    <cellStyle name="_입찰표지 _kcc 합덕 신례원 1_사본 - 기성내역서(대경엔텍)_병천하수 견적060412" xfId="2507" xr:uid="{00000000-0005-0000-0000-0000490D0000}"/>
    <cellStyle name="_입찰표지 _kcc 합덕 신례원 1_사본 - 기성내역서(대경엔텍)_산북하수견적서" xfId="2508" xr:uid="{00000000-0005-0000-0000-00004A0D0000}"/>
    <cellStyle name="_입찰표지 _kcc 합덕 신례원 1_사본 - 기성내역서(대경엔텍)_통일하수내역서" xfId="2509" xr:uid="{00000000-0005-0000-0000-00004B0D0000}"/>
    <cellStyle name="_입찰표지 _kcc 합덕 신례원 1_산북하수견적서" xfId="2510" xr:uid="{00000000-0005-0000-0000-00004C0D0000}"/>
    <cellStyle name="_입찰표지 _kcc 합덕 신례원 1_제1회설계변경내역서(11.15~)update" xfId="2511" xr:uid="{00000000-0005-0000-0000-00004D0D0000}"/>
    <cellStyle name="_입찰표지 _kcc 합덕 신례원 1_제2회기성내역서(1차+2차공사)" xfId="2512" xr:uid="{00000000-0005-0000-0000-00004E0D0000}"/>
    <cellStyle name="_입찰표지 _kcc 합덕 신례원 1_제2회기성내역서(1차+2차공사)_병천하수 견적060412" xfId="2513" xr:uid="{00000000-0005-0000-0000-00004F0D0000}"/>
    <cellStyle name="_입찰표지 _kcc 합덕 신례원 1_제2회기성내역서(1차+2차공사)_산북하수견적서" xfId="2514" xr:uid="{00000000-0005-0000-0000-0000500D0000}"/>
    <cellStyle name="_입찰표지 _kcc 합덕 신례원 1_제2회기성내역서(1차+2차공사)_제7회기성내역서(1차+2차공사)~ing" xfId="2515" xr:uid="{00000000-0005-0000-0000-0000510D0000}"/>
    <cellStyle name="_입찰표지 _kcc 합덕 신례원 1_제2회기성내역서(1차+2차공사)_제7회기성내역서(1차+2차공사)~ing_병천하수 견적060412" xfId="2516" xr:uid="{00000000-0005-0000-0000-0000520D0000}"/>
    <cellStyle name="_입찰표지 _kcc 합덕 신례원 1_제2회기성내역서(1차+2차공사)_제7회기성내역서(1차+2차공사)~ing_산북하수견적서" xfId="2517" xr:uid="{00000000-0005-0000-0000-0000530D0000}"/>
    <cellStyle name="_입찰표지 _kcc 합덕 신례원 1_제2회기성내역서(1차+2차공사)_제7회기성내역서(1차+2차공사)~ing_통일하수내역서" xfId="2518" xr:uid="{00000000-0005-0000-0000-0000540D0000}"/>
    <cellStyle name="_입찰표지 _kcc 합덕 신례원 1_제2회기성내역서(1차+2차공사)_통일하수내역서" xfId="2519" xr:uid="{00000000-0005-0000-0000-0000550D0000}"/>
    <cellStyle name="_입찰표지 _kcc 합덕 신례원 1_통일하수내역서" xfId="2520" xr:uid="{00000000-0005-0000-0000-0000560D0000}"/>
    <cellStyle name="_입찰표지 _kn 구룡포~대보간 1" xfId="2521" xr:uid="{00000000-0005-0000-0000-0000570D0000}"/>
    <cellStyle name="_입찰표지 _kn 구룡포~대보간 1_병천하수 견적060412" xfId="2522" xr:uid="{00000000-0005-0000-0000-0000580D0000}"/>
    <cellStyle name="_입찰표지 _kn 구룡포~대보간 1_사본 - 기성내역서(대경엔텍)" xfId="2523" xr:uid="{00000000-0005-0000-0000-0000590D0000}"/>
    <cellStyle name="_입찰표지 _kn 구룡포~대보간 1_사본 - 기성내역서(대경엔텍)_병천하수 견적060412" xfId="2524" xr:uid="{00000000-0005-0000-0000-00005A0D0000}"/>
    <cellStyle name="_입찰표지 _kn 구룡포~대보간 1_사본 - 기성내역서(대경엔텍)_산북하수견적서" xfId="2525" xr:uid="{00000000-0005-0000-0000-00005B0D0000}"/>
    <cellStyle name="_입찰표지 _kn 구룡포~대보간 1_사본 - 기성내역서(대경엔텍)_통일하수내역서" xfId="2526" xr:uid="{00000000-0005-0000-0000-00005C0D0000}"/>
    <cellStyle name="_입찰표지 _kn 구룡포~대보간 1_산북하수견적서" xfId="2527" xr:uid="{00000000-0005-0000-0000-00005D0D0000}"/>
    <cellStyle name="_입찰표지 _kn 구룡포~대보간 1_제1회설계변경내역서(11.15~)update" xfId="2528" xr:uid="{00000000-0005-0000-0000-00005E0D0000}"/>
    <cellStyle name="_입찰표지 _kn 구룡포~대보간 1_제2회기성내역서(1차+2차공사)" xfId="2529" xr:uid="{00000000-0005-0000-0000-00005F0D0000}"/>
    <cellStyle name="_입찰표지 _kn 구룡포~대보간 1_제2회기성내역서(1차+2차공사)_병천하수 견적060412" xfId="2530" xr:uid="{00000000-0005-0000-0000-0000600D0000}"/>
    <cellStyle name="_입찰표지 _kn 구룡포~대보간 1_제2회기성내역서(1차+2차공사)_산북하수견적서" xfId="2531" xr:uid="{00000000-0005-0000-0000-0000610D0000}"/>
    <cellStyle name="_입찰표지 _kn 구룡포~대보간 1_제2회기성내역서(1차+2차공사)_제7회기성내역서(1차+2차공사)~ing" xfId="2532" xr:uid="{00000000-0005-0000-0000-0000620D0000}"/>
    <cellStyle name="_입찰표지 _kn 구룡포~대보간 1_제2회기성내역서(1차+2차공사)_제7회기성내역서(1차+2차공사)~ing_병천하수 견적060412" xfId="2533" xr:uid="{00000000-0005-0000-0000-0000630D0000}"/>
    <cellStyle name="_입찰표지 _kn 구룡포~대보간 1_제2회기성내역서(1차+2차공사)_제7회기성내역서(1차+2차공사)~ing_산북하수견적서" xfId="2534" xr:uid="{00000000-0005-0000-0000-0000640D0000}"/>
    <cellStyle name="_입찰표지 _kn 구룡포~대보간 1_제2회기성내역서(1차+2차공사)_제7회기성내역서(1차+2차공사)~ing_통일하수내역서" xfId="2535" xr:uid="{00000000-0005-0000-0000-0000650D0000}"/>
    <cellStyle name="_입찰표지 _kn 구룡포~대보간 1_제2회기성내역서(1차+2차공사)_통일하수내역서" xfId="2536" xr:uid="{00000000-0005-0000-0000-0000660D0000}"/>
    <cellStyle name="_입찰표지 _kn 구룡포~대보간 1_통일하수내역서" xfId="2537" xr:uid="{00000000-0005-0000-0000-0000670D0000}"/>
    <cellStyle name="_입찰표지 _ss 굴포천" xfId="2538" xr:uid="{00000000-0005-0000-0000-0000680D0000}"/>
    <cellStyle name="_입찰표지 _ss 굴포천_병천하수 견적060412" xfId="2539" xr:uid="{00000000-0005-0000-0000-0000690D0000}"/>
    <cellStyle name="_입찰표지 _ss 굴포천_사본 - 기성내역서(대경엔텍)" xfId="2540" xr:uid="{00000000-0005-0000-0000-00006A0D0000}"/>
    <cellStyle name="_입찰표지 _ss 굴포천_사본 - 기성내역서(대경엔텍)_병천하수 견적060412" xfId="2541" xr:uid="{00000000-0005-0000-0000-00006B0D0000}"/>
    <cellStyle name="_입찰표지 _ss 굴포천_사본 - 기성내역서(대경엔텍)_산북하수견적서" xfId="2542" xr:uid="{00000000-0005-0000-0000-00006C0D0000}"/>
    <cellStyle name="_입찰표지 _ss 굴포천_사본 - 기성내역서(대경엔텍)_통일하수내역서" xfId="2543" xr:uid="{00000000-0005-0000-0000-00006D0D0000}"/>
    <cellStyle name="_입찰표지 _ss 굴포천_산북하수견적서" xfId="2544" xr:uid="{00000000-0005-0000-0000-00006E0D0000}"/>
    <cellStyle name="_입찰표지 _ss 굴포천_제1회설계변경내역서(11.15~)update" xfId="2545" xr:uid="{00000000-0005-0000-0000-00006F0D0000}"/>
    <cellStyle name="_입찰표지 _ss 굴포천_제2회기성내역서(1차+2차공사)" xfId="2546" xr:uid="{00000000-0005-0000-0000-0000700D0000}"/>
    <cellStyle name="_입찰표지 _ss 굴포천_제2회기성내역서(1차+2차공사)_병천하수 견적060412" xfId="2547" xr:uid="{00000000-0005-0000-0000-0000710D0000}"/>
    <cellStyle name="_입찰표지 _ss 굴포천_제2회기성내역서(1차+2차공사)_산북하수견적서" xfId="2548" xr:uid="{00000000-0005-0000-0000-0000720D0000}"/>
    <cellStyle name="_입찰표지 _ss 굴포천_제2회기성내역서(1차+2차공사)_제7회기성내역서(1차+2차공사)~ing" xfId="2549" xr:uid="{00000000-0005-0000-0000-0000730D0000}"/>
    <cellStyle name="_입찰표지 _ss 굴포천_제2회기성내역서(1차+2차공사)_제7회기성내역서(1차+2차공사)~ing_병천하수 견적060412" xfId="2550" xr:uid="{00000000-0005-0000-0000-0000740D0000}"/>
    <cellStyle name="_입찰표지 _ss 굴포천_제2회기성내역서(1차+2차공사)_제7회기성내역서(1차+2차공사)~ing_산북하수견적서" xfId="2551" xr:uid="{00000000-0005-0000-0000-0000750D0000}"/>
    <cellStyle name="_입찰표지 _ss 굴포천_제2회기성내역서(1차+2차공사)_제7회기성내역서(1차+2차공사)~ing_통일하수내역서" xfId="2552" xr:uid="{00000000-0005-0000-0000-0000760D0000}"/>
    <cellStyle name="_입찰표지 _ss 굴포천_제2회기성내역서(1차+2차공사)_통일하수내역서" xfId="2553" xr:uid="{00000000-0005-0000-0000-0000770D0000}"/>
    <cellStyle name="_입찰표지 _ss 굴포천_통일하수내역서" xfId="2554" xr:uid="{00000000-0005-0000-0000-0000780D0000}"/>
    <cellStyle name="_입찰표지 _경기북부2차도급내역(분류체계)" xfId="750" xr:uid="{00000000-0005-0000-0000-0000790D0000}"/>
    <cellStyle name="_입찰표지 _경기북부2차도급내역(분류체계)_12월 자금청구-창원반송" xfId="751" xr:uid="{00000000-0005-0000-0000-00007A0D0000}"/>
    <cellStyle name="_입찰표지 _경기북부2차도급내역(분류체계)_Book1" xfId="752" xr:uid="{00000000-0005-0000-0000-00007B0D0000}"/>
    <cellStyle name="_입찰표지 _도급내역서(1차계약분)" xfId="753" xr:uid="{00000000-0005-0000-0000-00007C0D0000}"/>
    <cellStyle name="_입찰표지 _도급내역서(1차계약분)_12월 자금청구-창원반송" xfId="754" xr:uid="{00000000-0005-0000-0000-00007D0D0000}"/>
    <cellStyle name="_입찰표지 _도급내역서(1차계약분)_Book1" xfId="755" xr:uid="{00000000-0005-0000-0000-00007E0D0000}"/>
    <cellStyle name="_입찰표지 _병천하수 견적060412" xfId="2555" xr:uid="{00000000-0005-0000-0000-00007F0D0000}"/>
    <cellStyle name="_입찰표지 _사본 - 기성내역서(대경엔텍)" xfId="2556" xr:uid="{00000000-0005-0000-0000-0000800D0000}"/>
    <cellStyle name="_입찰표지 _사본 - 기성내역서(대경엔텍)_병천하수 견적060412" xfId="2557" xr:uid="{00000000-0005-0000-0000-0000810D0000}"/>
    <cellStyle name="_입찰표지 _사본 - 기성내역서(대경엔텍)_산북하수견적서" xfId="2558" xr:uid="{00000000-0005-0000-0000-0000820D0000}"/>
    <cellStyle name="_입찰표지 _사본 - 기성내역서(대경엔텍)_통일하수내역서" xfId="2559" xr:uid="{00000000-0005-0000-0000-0000830D0000}"/>
    <cellStyle name="_입찰표지 _산북하수견적서" xfId="2560" xr:uid="{00000000-0005-0000-0000-0000840D0000}"/>
    <cellStyle name="_입찰표지 _안동투찰" xfId="2561" xr:uid="{00000000-0005-0000-0000-0000850D0000}"/>
    <cellStyle name="_입찰표지 _안동투찰_병천하수 견적060412" xfId="2562" xr:uid="{00000000-0005-0000-0000-0000860D0000}"/>
    <cellStyle name="_입찰표지 _안동투찰_사본 - 기성내역서(대경엔텍)" xfId="2563" xr:uid="{00000000-0005-0000-0000-0000870D0000}"/>
    <cellStyle name="_입찰표지 _안동투찰_사본 - 기성내역서(대경엔텍)_병천하수 견적060412" xfId="2564" xr:uid="{00000000-0005-0000-0000-0000880D0000}"/>
    <cellStyle name="_입찰표지 _안동투찰_사본 - 기성내역서(대경엔텍)_산북하수견적서" xfId="2565" xr:uid="{00000000-0005-0000-0000-0000890D0000}"/>
    <cellStyle name="_입찰표지 _안동투찰_사본 - 기성내역서(대경엔텍)_통일하수내역서" xfId="2566" xr:uid="{00000000-0005-0000-0000-00008A0D0000}"/>
    <cellStyle name="_입찰표지 _안동투찰_산북하수견적서" xfId="2567" xr:uid="{00000000-0005-0000-0000-00008B0D0000}"/>
    <cellStyle name="_입찰표지 _안동투찰_제1회설계변경내역서(11.15~)update" xfId="2568" xr:uid="{00000000-0005-0000-0000-00008C0D0000}"/>
    <cellStyle name="_입찰표지 _안동투찰_제2회기성내역서(1차+2차공사)" xfId="2569" xr:uid="{00000000-0005-0000-0000-00008D0D0000}"/>
    <cellStyle name="_입찰표지 _안동투찰_제2회기성내역서(1차+2차공사)_병천하수 견적060412" xfId="2570" xr:uid="{00000000-0005-0000-0000-00008E0D0000}"/>
    <cellStyle name="_입찰표지 _안동투찰_제2회기성내역서(1차+2차공사)_산북하수견적서" xfId="2571" xr:uid="{00000000-0005-0000-0000-00008F0D0000}"/>
    <cellStyle name="_입찰표지 _안동투찰_제2회기성내역서(1차+2차공사)_제7회기성내역서(1차+2차공사)~ing" xfId="2572" xr:uid="{00000000-0005-0000-0000-0000900D0000}"/>
    <cellStyle name="_입찰표지 _안동투찰_제2회기성내역서(1차+2차공사)_제7회기성내역서(1차+2차공사)~ing_병천하수 견적060412" xfId="2573" xr:uid="{00000000-0005-0000-0000-0000910D0000}"/>
    <cellStyle name="_입찰표지 _안동투찰_제2회기성내역서(1차+2차공사)_제7회기성내역서(1차+2차공사)~ing_산북하수견적서" xfId="2574" xr:uid="{00000000-0005-0000-0000-0000920D0000}"/>
    <cellStyle name="_입찰표지 _안동투찰_제2회기성내역서(1차+2차공사)_제7회기성내역서(1차+2차공사)~ing_통일하수내역서" xfId="2575" xr:uid="{00000000-0005-0000-0000-0000930D0000}"/>
    <cellStyle name="_입찰표지 _안동투찰_제2회기성내역서(1차+2차공사)_통일하수내역서" xfId="2576" xr:uid="{00000000-0005-0000-0000-0000940D0000}"/>
    <cellStyle name="_입찰표지 _안동투찰_통일하수내역서" xfId="2577" xr:uid="{00000000-0005-0000-0000-0000950D0000}"/>
    <cellStyle name="_입찰표지 _제1회설계변경내역서(11.15~)update" xfId="2578" xr:uid="{00000000-0005-0000-0000-0000960D0000}"/>
    <cellStyle name="_입찰표지 _제2회기성내역서(1차+2차공사)" xfId="2579" xr:uid="{00000000-0005-0000-0000-0000970D0000}"/>
    <cellStyle name="_입찰표지 _제2회기성내역서(1차+2차공사)_병천하수 견적060412" xfId="2580" xr:uid="{00000000-0005-0000-0000-0000980D0000}"/>
    <cellStyle name="_입찰표지 _제2회기성내역서(1차+2차공사)_산북하수견적서" xfId="2581" xr:uid="{00000000-0005-0000-0000-0000990D0000}"/>
    <cellStyle name="_입찰표지 _제2회기성내역서(1차+2차공사)_제7회기성내역서(1차+2차공사)~ing" xfId="2582" xr:uid="{00000000-0005-0000-0000-00009A0D0000}"/>
    <cellStyle name="_입찰표지 _제2회기성내역서(1차+2차공사)_제7회기성내역서(1차+2차공사)~ing_병천하수 견적060412" xfId="2583" xr:uid="{00000000-0005-0000-0000-00009B0D0000}"/>
    <cellStyle name="_입찰표지 _제2회기성내역서(1차+2차공사)_제7회기성내역서(1차+2차공사)~ing_산북하수견적서" xfId="2584" xr:uid="{00000000-0005-0000-0000-00009C0D0000}"/>
    <cellStyle name="_입찰표지 _제2회기성내역서(1차+2차공사)_제7회기성내역서(1차+2차공사)~ing_통일하수내역서" xfId="2585" xr:uid="{00000000-0005-0000-0000-00009D0D0000}"/>
    <cellStyle name="_입찰표지 _제2회기성내역서(1차+2차공사)_통일하수내역서" xfId="2586" xr:uid="{00000000-0005-0000-0000-00009E0D0000}"/>
    <cellStyle name="_입찰표지 _통리투찰" xfId="2587" xr:uid="{00000000-0005-0000-0000-00009F0D0000}"/>
    <cellStyle name="_입찰표지 _통리투찰_병천하수 견적060412" xfId="2588" xr:uid="{00000000-0005-0000-0000-0000A00D0000}"/>
    <cellStyle name="_입찰표지 _통리투찰_사본 - 기성내역서(대경엔텍)" xfId="2589" xr:uid="{00000000-0005-0000-0000-0000A10D0000}"/>
    <cellStyle name="_입찰표지 _통리투찰_사본 - 기성내역서(대경엔텍)_병천하수 견적060412" xfId="2590" xr:uid="{00000000-0005-0000-0000-0000A20D0000}"/>
    <cellStyle name="_입찰표지 _통리투찰_사본 - 기성내역서(대경엔텍)_산북하수견적서" xfId="2591" xr:uid="{00000000-0005-0000-0000-0000A30D0000}"/>
    <cellStyle name="_입찰표지 _통리투찰_사본 - 기성내역서(대경엔텍)_통일하수내역서" xfId="2592" xr:uid="{00000000-0005-0000-0000-0000A40D0000}"/>
    <cellStyle name="_입찰표지 _통리투찰_산북하수견적서" xfId="2593" xr:uid="{00000000-0005-0000-0000-0000A50D0000}"/>
    <cellStyle name="_입찰표지 _통리투찰_제1회설계변경내역서(11.15~)update" xfId="2594" xr:uid="{00000000-0005-0000-0000-0000A60D0000}"/>
    <cellStyle name="_입찰표지 _통리투찰_제2회기성내역서(1차+2차공사)" xfId="2595" xr:uid="{00000000-0005-0000-0000-0000A70D0000}"/>
    <cellStyle name="_입찰표지 _통리투찰_제2회기성내역서(1차+2차공사)_병천하수 견적060412" xfId="2596" xr:uid="{00000000-0005-0000-0000-0000A80D0000}"/>
    <cellStyle name="_입찰표지 _통리투찰_제2회기성내역서(1차+2차공사)_산북하수견적서" xfId="2597" xr:uid="{00000000-0005-0000-0000-0000A90D0000}"/>
    <cellStyle name="_입찰표지 _통리투찰_제2회기성내역서(1차+2차공사)_제7회기성내역서(1차+2차공사)~ing" xfId="2598" xr:uid="{00000000-0005-0000-0000-0000AA0D0000}"/>
    <cellStyle name="_입찰표지 _통리투찰_제2회기성내역서(1차+2차공사)_제7회기성내역서(1차+2차공사)~ing_병천하수 견적060412" xfId="2599" xr:uid="{00000000-0005-0000-0000-0000AB0D0000}"/>
    <cellStyle name="_입찰표지 _통리투찰_제2회기성내역서(1차+2차공사)_제7회기성내역서(1차+2차공사)~ing_산북하수견적서" xfId="2600" xr:uid="{00000000-0005-0000-0000-0000AC0D0000}"/>
    <cellStyle name="_입찰표지 _통리투찰_제2회기성내역서(1차+2차공사)_제7회기성내역서(1차+2차공사)~ing_통일하수내역서" xfId="2601" xr:uid="{00000000-0005-0000-0000-0000AD0D0000}"/>
    <cellStyle name="_입찰표지 _통리투찰_제2회기성내역서(1차+2차공사)_통일하수내역서" xfId="2602" xr:uid="{00000000-0005-0000-0000-0000AE0D0000}"/>
    <cellStyle name="_입찰표지 _통리투찰_통일하수내역서" xfId="2603" xr:uid="{00000000-0005-0000-0000-0000AF0D0000}"/>
    <cellStyle name="_입찰표지 _통일하수내역서" xfId="2604" xr:uid="{00000000-0005-0000-0000-0000B00D0000}"/>
    <cellStyle name="_자동화저장설비정비유지" xfId="5531" xr:uid="{00000000-0005-0000-0000-0000B10D0000}"/>
    <cellStyle name="_자동화저장설비정비유지 2" xfId="7653" xr:uid="{00000000-0005-0000-0000-0000B20D0000}"/>
    <cellStyle name="_자연형하천정화사업기본(종합)계획수립용역설계서(계약수정)" xfId="5532" xr:uid="{00000000-0005-0000-0000-0000B30D0000}"/>
    <cellStyle name="_자연형하천정화사업기본(종합)계획수립용역설계서(계약수정) 2" xfId="7654" xr:uid="{00000000-0005-0000-0000-0000B40D0000}"/>
    <cellStyle name="_장비" xfId="6887" xr:uid="{00000000-0005-0000-0000-0000B50D0000}"/>
    <cellStyle name="_장비 2" xfId="7655" xr:uid="{00000000-0005-0000-0000-0000B60D0000}"/>
    <cellStyle name="_장비견적분석" xfId="5533" xr:uid="{00000000-0005-0000-0000-0000B70D0000}"/>
    <cellStyle name="_장비견적분석 2" xfId="7656" xr:uid="{00000000-0005-0000-0000-0000B80D0000}"/>
    <cellStyle name="_장안천외 3개소 용역내역서(원내역)" xfId="5534" xr:uid="{00000000-0005-0000-0000-0000B90D0000}"/>
    <cellStyle name="_장안천외 3개소 용역내역서(원내역) 2" xfId="7657" xr:uid="{00000000-0005-0000-0000-0000BA0D0000}"/>
    <cellStyle name="_장흥수수시설(도시계획시설포함)" xfId="5535" xr:uid="{00000000-0005-0000-0000-0000BB0D0000}"/>
    <cellStyle name="_적격 " xfId="756" xr:uid="{00000000-0005-0000-0000-0000BC0D0000}"/>
    <cellStyle name="_적격 _12월 자금청구-창원반송" xfId="757" xr:uid="{00000000-0005-0000-0000-0000BD0D0000}"/>
    <cellStyle name="_적격 _17공구" xfId="2605" xr:uid="{00000000-0005-0000-0000-0000BE0D0000}"/>
    <cellStyle name="_적격 _17공구_병천하수 견적060412" xfId="2606" xr:uid="{00000000-0005-0000-0000-0000BF0D0000}"/>
    <cellStyle name="_적격 _17공구_사본 - 기성내역서(대경엔텍)" xfId="2607" xr:uid="{00000000-0005-0000-0000-0000C00D0000}"/>
    <cellStyle name="_적격 _17공구_사본 - 기성내역서(대경엔텍)_병천하수 견적060412" xfId="2608" xr:uid="{00000000-0005-0000-0000-0000C10D0000}"/>
    <cellStyle name="_적격 _17공구_사본 - 기성내역서(대경엔텍)_산북하수견적서" xfId="2609" xr:uid="{00000000-0005-0000-0000-0000C20D0000}"/>
    <cellStyle name="_적격 _17공구_사본 - 기성내역서(대경엔텍)_통일하수내역서" xfId="2610" xr:uid="{00000000-0005-0000-0000-0000C30D0000}"/>
    <cellStyle name="_적격 _17공구_산북하수견적서" xfId="2611" xr:uid="{00000000-0005-0000-0000-0000C40D0000}"/>
    <cellStyle name="_적격 _17공구_제1회설계변경내역서(11.15~)update" xfId="2612" xr:uid="{00000000-0005-0000-0000-0000C50D0000}"/>
    <cellStyle name="_적격 _17공구_제2회기성내역서(1차+2차공사)" xfId="2613" xr:uid="{00000000-0005-0000-0000-0000C60D0000}"/>
    <cellStyle name="_적격 _17공구_제2회기성내역서(1차+2차공사)_병천하수 견적060412" xfId="2614" xr:uid="{00000000-0005-0000-0000-0000C70D0000}"/>
    <cellStyle name="_적격 _17공구_제2회기성내역서(1차+2차공사)_산북하수견적서" xfId="2615" xr:uid="{00000000-0005-0000-0000-0000C80D0000}"/>
    <cellStyle name="_적격 _17공구_제2회기성내역서(1차+2차공사)_제7회기성내역서(1차+2차공사)~ing" xfId="2616" xr:uid="{00000000-0005-0000-0000-0000C90D0000}"/>
    <cellStyle name="_적격 _17공구_제2회기성내역서(1차+2차공사)_제7회기성내역서(1차+2차공사)~ing_병천하수 견적060412" xfId="2617" xr:uid="{00000000-0005-0000-0000-0000CA0D0000}"/>
    <cellStyle name="_적격 _17공구_제2회기성내역서(1차+2차공사)_제7회기성내역서(1차+2차공사)~ing_산북하수견적서" xfId="2618" xr:uid="{00000000-0005-0000-0000-0000CB0D0000}"/>
    <cellStyle name="_적격 _17공구_제2회기성내역서(1차+2차공사)_제7회기성내역서(1차+2차공사)~ing_통일하수내역서" xfId="2619" xr:uid="{00000000-0005-0000-0000-0000CC0D0000}"/>
    <cellStyle name="_적격 _17공구_제2회기성내역서(1차+2차공사)_통일하수내역서" xfId="2620" xr:uid="{00000000-0005-0000-0000-0000CD0D0000}"/>
    <cellStyle name="_적격 _17공구_통일하수내역서" xfId="2621" xr:uid="{00000000-0005-0000-0000-0000CE0D0000}"/>
    <cellStyle name="_적격 _Book1" xfId="758" xr:uid="{00000000-0005-0000-0000-0000CF0D0000}"/>
    <cellStyle name="_적격 _hs 보령우회" xfId="2622" xr:uid="{00000000-0005-0000-0000-0000D00D0000}"/>
    <cellStyle name="_적격 _hs 보령우회_병천하수 견적060412" xfId="2623" xr:uid="{00000000-0005-0000-0000-0000D10D0000}"/>
    <cellStyle name="_적격 _hs 보령우회_사본 - 기성내역서(대경엔텍)" xfId="2624" xr:uid="{00000000-0005-0000-0000-0000D20D0000}"/>
    <cellStyle name="_적격 _hs 보령우회_사본 - 기성내역서(대경엔텍)_병천하수 견적060412" xfId="2625" xr:uid="{00000000-0005-0000-0000-0000D30D0000}"/>
    <cellStyle name="_적격 _hs 보령우회_사본 - 기성내역서(대경엔텍)_산북하수견적서" xfId="2626" xr:uid="{00000000-0005-0000-0000-0000D40D0000}"/>
    <cellStyle name="_적격 _hs 보령우회_사본 - 기성내역서(대경엔텍)_통일하수내역서" xfId="2627" xr:uid="{00000000-0005-0000-0000-0000D50D0000}"/>
    <cellStyle name="_적격 _hs 보령우회_산북하수견적서" xfId="2628" xr:uid="{00000000-0005-0000-0000-0000D60D0000}"/>
    <cellStyle name="_적격 _hs 보령우회_제1회설계변경내역서(11.15~)update" xfId="2629" xr:uid="{00000000-0005-0000-0000-0000D70D0000}"/>
    <cellStyle name="_적격 _hs 보령우회_제2회기성내역서(1차+2차공사)" xfId="2630" xr:uid="{00000000-0005-0000-0000-0000D80D0000}"/>
    <cellStyle name="_적격 _hs 보령우회_제2회기성내역서(1차+2차공사)_병천하수 견적060412" xfId="2631" xr:uid="{00000000-0005-0000-0000-0000D90D0000}"/>
    <cellStyle name="_적격 _hs 보령우회_제2회기성내역서(1차+2차공사)_산북하수견적서" xfId="2632" xr:uid="{00000000-0005-0000-0000-0000DA0D0000}"/>
    <cellStyle name="_적격 _hs 보령우회_제2회기성내역서(1차+2차공사)_제7회기성내역서(1차+2차공사)~ing" xfId="2633" xr:uid="{00000000-0005-0000-0000-0000DB0D0000}"/>
    <cellStyle name="_적격 _hs 보령우회_제2회기성내역서(1차+2차공사)_제7회기성내역서(1차+2차공사)~ing_병천하수 견적060412" xfId="2634" xr:uid="{00000000-0005-0000-0000-0000DC0D0000}"/>
    <cellStyle name="_적격 _hs 보령우회_제2회기성내역서(1차+2차공사)_제7회기성내역서(1차+2차공사)~ing_산북하수견적서" xfId="2635" xr:uid="{00000000-0005-0000-0000-0000DD0D0000}"/>
    <cellStyle name="_적격 _hs 보령우회_제2회기성내역서(1차+2차공사)_제7회기성내역서(1차+2차공사)~ing_통일하수내역서" xfId="2636" xr:uid="{00000000-0005-0000-0000-0000DE0D0000}"/>
    <cellStyle name="_적격 _hs 보령우회_제2회기성내역서(1차+2차공사)_통일하수내역서" xfId="2637" xr:uid="{00000000-0005-0000-0000-0000DF0D0000}"/>
    <cellStyle name="_적격 _hs 보령우회_통일하수내역서" xfId="2638" xr:uid="{00000000-0005-0000-0000-0000E00D0000}"/>
    <cellStyle name="_적격 _hs 중앙선 8(선산토건)" xfId="2639" xr:uid="{00000000-0005-0000-0000-0000E10D0000}"/>
    <cellStyle name="_적격 _hs 중앙선 8(선산토건)_병천하수 견적060412" xfId="2640" xr:uid="{00000000-0005-0000-0000-0000E20D0000}"/>
    <cellStyle name="_적격 _hs 중앙선 8(선산토건)_사본 - 기성내역서(대경엔텍)" xfId="2641" xr:uid="{00000000-0005-0000-0000-0000E30D0000}"/>
    <cellStyle name="_적격 _hs 중앙선 8(선산토건)_사본 - 기성내역서(대경엔텍)_병천하수 견적060412" xfId="2642" xr:uid="{00000000-0005-0000-0000-0000E40D0000}"/>
    <cellStyle name="_적격 _hs 중앙선 8(선산토건)_사본 - 기성내역서(대경엔텍)_산북하수견적서" xfId="2643" xr:uid="{00000000-0005-0000-0000-0000E50D0000}"/>
    <cellStyle name="_적격 _hs 중앙선 8(선산토건)_사본 - 기성내역서(대경엔텍)_통일하수내역서" xfId="2644" xr:uid="{00000000-0005-0000-0000-0000E60D0000}"/>
    <cellStyle name="_적격 _hs 중앙선 8(선산토건)_산북하수견적서" xfId="2645" xr:uid="{00000000-0005-0000-0000-0000E70D0000}"/>
    <cellStyle name="_적격 _hs 중앙선 8(선산토건)_제1회설계변경내역서(11.15~)update" xfId="2646" xr:uid="{00000000-0005-0000-0000-0000E80D0000}"/>
    <cellStyle name="_적격 _hs 중앙선 8(선산토건)_제2회기성내역서(1차+2차공사)" xfId="2647" xr:uid="{00000000-0005-0000-0000-0000E90D0000}"/>
    <cellStyle name="_적격 _hs 중앙선 8(선산토건)_제2회기성내역서(1차+2차공사)_병천하수 견적060412" xfId="2648" xr:uid="{00000000-0005-0000-0000-0000EA0D0000}"/>
    <cellStyle name="_적격 _hs 중앙선 8(선산토건)_제2회기성내역서(1차+2차공사)_산북하수견적서" xfId="2649" xr:uid="{00000000-0005-0000-0000-0000EB0D0000}"/>
    <cellStyle name="_적격 _hs 중앙선 8(선산토건)_제2회기성내역서(1차+2차공사)_제7회기성내역서(1차+2차공사)~ing" xfId="2650" xr:uid="{00000000-0005-0000-0000-0000EC0D0000}"/>
    <cellStyle name="_적격 _hs 중앙선 8(선산토건)_제2회기성내역서(1차+2차공사)_제7회기성내역서(1차+2차공사)~ing_병천하수 견적060412" xfId="2651" xr:uid="{00000000-0005-0000-0000-0000ED0D0000}"/>
    <cellStyle name="_적격 _hs 중앙선 8(선산토건)_제2회기성내역서(1차+2차공사)_제7회기성내역서(1차+2차공사)~ing_산북하수견적서" xfId="2652" xr:uid="{00000000-0005-0000-0000-0000EE0D0000}"/>
    <cellStyle name="_적격 _hs 중앙선 8(선산토건)_제2회기성내역서(1차+2차공사)_제7회기성내역서(1차+2차공사)~ing_통일하수내역서" xfId="2653" xr:uid="{00000000-0005-0000-0000-0000EF0D0000}"/>
    <cellStyle name="_적격 _hs 중앙선 8(선산토건)_제2회기성내역서(1차+2차공사)_통일하수내역서" xfId="2654" xr:uid="{00000000-0005-0000-0000-0000F00D0000}"/>
    <cellStyle name="_적격 _hs 중앙선 8(선산토건)_통일하수내역서" xfId="2655" xr:uid="{00000000-0005-0000-0000-0000F10D0000}"/>
    <cellStyle name="_적격 _kcc 안산2단계" xfId="2656" xr:uid="{00000000-0005-0000-0000-0000F20D0000}"/>
    <cellStyle name="_적격 _kcc 안산2단계_병천하수 견적060412" xfId="2657" xr:uid="{00000000-0005-0000-0000-0000F30D0000}"/>
    <cellStyle name="_적격 _kcc 안산2단계_사본 - 기성내역서(대경엔텍)" xfId="2658" xr:uid="{00000000-0005-0000-0000-0000F40D0000}"/>
    <cellStyle name="_적격 _kcc 안산2단계_사본 - 기성내역서(대경엔텍)_병천하수 견적060412" xfId="2659" xr:uid="{00000000-0005-0000-0000-0000F50D0000}"/>
    <cellStyle name="_적격 _kcc 안산2단계_사본 - 기성내역서(대경엔텍)_산북하수견적서" xfId="2660" xr:uid="{00000000-0005-0000-0000-0000F60D0000}"/>
    <cellStyle name="_적격 _kcc 안산2단계_사본 - 기성내역서(대경엔텍)_통일하수내역서" xfId="2661" xr:uid="{00000000-0005-0000-0000-0000F70D0000}"/>
    <cellStyle name="_적격 _kcc 안산2단계_산북하수견적서" xfId="2662" xr:uid="{00000000-0005-0000-0000-0000F80D0000}"/>
    <cellStyle name="_적격 _kcc 안산2단계_제1회설계변경내역서(11.15~)update" xfId="2663" xr:uid="{00000000-0005-0000-0000-0000F90D0000}"/>
    <cellStyle name="_적격 _kcc 안산2단계_제2회기성내역서(1차+2차공사)" xfId="2664" xr:uid="{00000000-0005-0000-0000-0000FA0D0000}"/>
    <cellStyle name="_적격 _kcc 안산2단계_제2회기성내역서(1차+2차공사)_병천하수 견적060412" xfId="2665" xr:uid="{00000000-0005-0000-0000-0000FB0D0000}"/>
    <cellStyle name="_적격 _kcc 안산2단계_제2회기성내역서(1차+2차공사)_산북하수견적서" xfId="2666" xr:uid="{00000000-0005-0000-0000-0000FC0D0000}"/>
    <cellStyle name="_적격 _kcc 안산2단계_제2회기성내역서(1차+2차공사)_제7회기성내역서(1차+2차공사)~ing" xfId="2667" xr:uid="{00000000-0005-0000-0000-0000FD0D0000}"/>
    <cellStyle name="_적격 _kcc 안산2단계_제2회기성내역서(1차+2차공사)_제7회기성내역서(1차+2차공사)~ing_병천하수 견적060412" xfId="2668" xr:uid="{00000000-0005-0000-0000-0000FE0D0000}"/>
    <cellStyle name="_적격 _kcc 안산2단계_제2회기성내역서(1차+2차공사)_제7회기성내역서(1차+2차공사)~ing_산북하수견적서" xfId="2669" xr:uid="{00000000-0005-0000-0000-0000FF0D0000}"/>
    <cellStyle name="_적격 _kcc 안산2단계_제2회기성내역서(1차+2차공사)_제7회기성내역서(1차+2차공사)~ing_통일하수내역서" xfId="2670" xr:uid="{00000000-0005-0000-0000-0000000E0000}"/>
    <cellStyle name="_적격 _kcc 안산2단계_제2회기성내역서(1차+2차공사)_통일하수내역서" xfId="2671" xr:uid="{00000000-0005-0000-0000-0000010E0000}"/>
    <cellStyle name="_적격 _kcc 안산2단계_통일하수내역서" xfId="2672" xr:uid="{00000000-0005-0000-0000-0000020E0000}"/>
    <cellStyle name="_적격 _kcc 합덕 신례원 1" xfId="2673" xr:uid="{00000000-0005-0000-0000-0000030E0000}"/>
    <cellStyle name="_적격 _kcc 합덕 신례원 1_병천하수 견적060412" xfId="2674" xr:uid="{00000000-0005-0000-0000-0000040E0000}"/>
    <cellStyle name="_적격 _kcc 합덕 신례원 1_사본 - 기성내역서(대경엔텍)" xfId="2675" xr:uid="{00000000-0005-0000-0000-0000050E0000}"/>
    <cellStyle name="_적격 _kcc 합덕 신례원 1_사본 - 기성내역서(대경엔텍)_병천하수 견적060412" xfId="2676" xr:uid="{00000000-0005-0000-0000-0000060E0000}"/>
    <cellStyle name="_적격 _kcc 합덕 신례원 1_사본 - 기성내역서(대경엔텍)_산북하수견적서" xfId="2677" xr:uid="{00000000-0005-0000-0000-0000070E0000}"/>
    <cellStyle name="_적격 _kcc 합덕 신례원 1_사본 - 기성내역서(대경엔텍)_통일하수내역서" xfId="2678" xr:uid="{00000000-0005-0000-0000-0000080E0000}"/>
    <cellStyle name="_적격 _kcc 합덕 신례원 1_산북하수견적서" xfId="2679" xr:uid="{00000000-0005-0000-0000-0000090E0000}"/>
    <cellStyle name="_적격 _kcc 합덕 신례원 1_제1회설계변경내역서(11.15~)update" xfId="2680" xr:uid="{00000000-0005-0000-0000-00000A0E0000}"/>
    <cellStyle name="_적격 _kcc 합덕 신례원 1_제2회기성내역서(1차+2차공사)" xfId="2681" xr:uid="{00000000-0005-0000-0000-00000B0E0000}"/>
    <cellStyle name="_적격 _kcc 합덕 신례원 1_제2회기성내역서(1차+2차공사)_병천하수 견적060412" xfId="2682" xr:uid="{00000000-0005-0000-0000-00000C0E0000}"/>
    <cellStyle name="_적격 _kcc 합덕 신례원 1_제2회기성내역서(1차+2차공사)_산북하수견적서" xfId="2683" xr:uid="{00000000-0005-0000-0000-00000D0E0000}"/>
    <cellStyle name="_적격 _kcc 합덕 신례원 1_제2회기성내역서(1차+2차공사)_제7회기성내역서(1차+2차공사)~ing" xfId="2684" xr:uid="{00000000-0005-0000-0000-00000E0E0000}"/>
    <cellStyle name="_적격 _kcc 합덕 신례원 1_제2회기성내역서(1차+2차공사)_제7회기성내역서(1차+2차공사)~ing_병천하수 견적060412" xfId="2685" xr:uid="{00000000-0005-0000-0000-00000F0E0000}"/>
    <cellStyle name="_적격 _kcc 합덕 신례원 1_제2회기성내역서(1차+2차공사)_제7회기성내역서(1차+2차공사)~ing_산북하수견적서" xfId="2686" xr:uid="{00000000-0005-0000-0000-0000100E0000}"/>
    <cellStyle name="_적격 _kcc 합덕 신례원 1_제2회기성내역서(1차+2차공사)_제7회기성내역서(1차+2차공사)~ing_통일하수내역서" xfId="2687" xr:uid="{00000000-0005-0000-0000-0000110E0000}"/>
    <cellStyle name="_적격 _kcc 합덕 신례원 1_제2회기성내역서(1차+2차공사)_통일하수내역서" xfId="2688" xr:uid="{00000000-0005-0000-0000-0000120E0000}"/>
    <cellStyle name="_적격 _kcc 합덕 신례원 1_통일하수내역서" xfId="2689" xr:uid="{00000000-0005-0000-0000-0000130E0000}"/>
    <cellStyle name="_적격 _kn 구룡포~대보간 1" xfId="2690" xr:uid="{00000000-0005-0000-0000-0000140E0000}"/>
    <cellStyle name="_적격 _kn 구룡포~대보간 1_병천하수 견적060412" xfId="2691" xr:uid="{00000000-0005-0000-0000-0000150E0000}"/>
    <cellStyle name="_적격 _kn 구룡포~대보간 1_사본 - 기성내역서(대경엔텍)" xfId="2692" xr:uid="{00000000-0005-0000-0000-0000160E0000}"/>
    <cellStyle name="_적격 _kn 구룡포~대보간 1_사본 - 기성내역서(대경엔텍)_병천하수 견적060412" xfId="2693" xr:uid="{00000000-0005-0000-0000-0000170E0000}"/>
    <cellStyle name="_적격 _kn 구룡포~대보간 1_사본 - 기성내역서(대경엔텍)_산북하수견적서" xfId="2694" xr:uid="{00000000-0005-0000-0000-0000180E0000}"/>
    <cellStyle name="_적격 _kn 구룡포~대보간 1_사본 - 기성내역서(대경엔텍)_통일하수내역서" xfId="2695" xr:uid="{00000000-0005-0000-0000-0000190E0000}"/>
    <cellStyle name="_적격 _kn 구룡포~대보간 1_산북하수견적서" xfId="2696" xr:uid="{00000000-0005-0000-0000-00001A0E0000}"/>
    <cellStyle name="_적격 _kn 구룡포~대보간 1_제1회설계변경내역서(11.15~)update" xfId="2697" xr:uid="{00000000-0005-0000-0000-00001B0E0000}"/>
    <cellStyle name="_적격 _kn 구룡포~대보간 1_제2회기성내역서(1차+2차공사)" xfId="2698" xr:uid="{00000000-0005-0000-0000-00001C0E0000}"/>
    <cellStyle name="_적격 _kn 구룡포~대보간 1_제2회기성내역서(1차+2차공사)_병천하수 견적060412" xfId="2699" xr:uid="{00000000-0005-0000-0000-00001D0E0000}"/>
    <cellStyle name="_적격 _kn 구룡포~대보간 1_제2회기성내역서(1차+2차공사)_산북하수견적서" xfId="2700" xr:uid="{00000000-0005-0000-0000-00001E0E0000}"/>
    <cellStyle name="_적격 _kn 구룡포~대보간 1_제2회기성내역서(1차+2차공사)_제7회기성내역서(1차+2차공사)~ing" xfId="2701" xr:uid="{00000000-0005-0000-0000-00001F0E0000}"/>
    <cellStyle name="_적격 _kn 구룡포~대보간 1_제2회기성내역서(1차+2차공사)_제7회기성내역서(1차+2차공사)~ing_병천하수 견적060412" xfId="2702" xr:uid="{00000000-0005-0000-0000-0000200E0000}"/>
    <cellStyle name="_적격 _kn 구룡포~대보간 1_제2회기성내역서(1차+2차공사)_제7회기성내역서(1차+2차공사)~ing_산북하수견적서" xfId="2703" xr:uid="{00000000-0005-0000-0000-0000210E0000}"/>
    <cellStyle name="_적격 _kn 구룡포~대보간 1_제2회기성내역서(1차+2차공사)_제7회기성내역서(1차+2차공사)~ing_통일하수내역서" xfId="2704" xr:uid="{00000000-0005-0000-0000-0000220E0000}"/>
    <cellStyle name="_적격 _kn 구룡포~대보간 1_제2회기성내역서(1차+2차공사)_통일하수내역서" xfId="2705" xr:uid="{00000000-0005-0000-0000-0000230E0000}"/>
    <cellStyle name="_적격 _kn 구룡포~대보간 1_통일하수내역서" xfId="2706" xr:uid="{00000000-0005-0000-0000-0000240E0000}"/>
    <cellStyle name="_적격 _ss 굴포천" xfId="2707" xr:uid="{00000000-0005-0000-0000-0000250E0000}"/>
    <cellStyle name="_적격 _ss 굴포천_병천하수 견적060412" xfId="2708" xr:uid="{00000000-0005-0000-0000-0000260E0000}"/>
    <cellStyle name="_적격 _ss 굴포천_사본 - 기성내역서(대경엔텍)" xfId="2709" xr:uid="{00000000-0005-0000-0000-0000270E0000}"/>
    <cellStyle name="_적격 _ss 굴포천_사본 - 기성내역서(대경엔텍)_병천하수 견적060412" xfId="2710" xr:uid="{00000000-0005-0000-0000-0000280E0000}"/>
    <cellStyle name="_적격 _ss 굴포천_사본 - 기성내역서(대경엔텍)_산북하수견적서" xfId="2711" xr:uid="{00000000-0005-0000-0000-0000290E0000}"/>
    <cellStyle name="_적격 _ss 굴포천_사본 - 기성내역서(대경엔텍)_통일하수내역서" xfId="2712" xr:uid="{00000000-0005-0000-0000-00002A0E0000}"/>
    <cellStyle name="_적격 _ss 굴포천_산북하수견적서" xfId="2713" xr:uid="{00000000-0005-0000-0000-00002B0E0000}"/>
    <cellStyle name="_적격 _ss 굴포천_제1회설계변경내역서(11.15~)update" xfId="2714" xr:uid="{00000000-0005-0000-0000-00002C0E0000}"/>
    <cellStyle name="_적격 _ss 굴포천_제2회기성내역서(1차+2차공사)" xfId="2715" xr:uid="{00000000-0005-0000-0000-00002D0E0000}"/>
    <cellStyle name="_적격 _ss 굴포천_제2회기성내역서(1차+2차공사)_병천하수 견적060412" xfId="2716" xr:uid="{00000000-0005-0000-0000-00002E0E0000}"/>
    <cellStyle name="_적격 _ss 굴포천_제2회기성내역서(1차+2차공사)_산북하수견적서" xfId="2717" xr:uid="{00000000-0005-0000-0000-00002F0E0000}"/>
    <cellStyle name="_적격 _ss 굴포천_제2회기성내역서(1차+2차공사)_제7회기성내역서(1차+2차공사)~ing" xfId="2718" xr:uid="{00000000-0005-0000-0000-0000300E0000}"/>
    <cellStyle name="_적격 _ss 굴포천_제2회기성내역서(1차+2차공사)_제7회기성내역서(1차+2차공사)~ing_병천하수 견적060412" xfId="2719" xr:uid="{00000000-0005-0000-0000-0000310E0000}"/>
    <cellStyle name="_적격 _ss 굴포천_제2회기성내역서(1차+2차공사)_제7회기성내역서(1차+2차공사)~ing_산북하수견적서" xfId="2720" xr:uid="{00000000-0005-0000-0000-0000320E0000}"/>
    <cellStyle name="_적격 _ss 굴포천_제2회기성내역서(1차+2차공사)_제7회기성내역서(1차+2차공사)~ing_통일하수내역서" xfId="2721" xr:uid="{00000000-0005-0000-0000-0000330E0000}"/>
    <cellStyle name="_적격 _ss 굴포천_제2회기성내역서(1차+2차공사)_통일하수내역서" xfId="2722" xr:uid="{00000000-0005-0000-0000-0000340E0000}"/>
    <cellStyle name="_적격 _ss 굴포천_통일하수내역서" xfId="2723" xr:uid="{00000000-0005-0000-0000-0000350E0000}"/>
    <cellStyle name="_적격 _경기북부2차도급내역(분류체계)" xfId="759" xr:uid="{00000000-0005-0000-0000-0000360E0000}"/>
    <cellStyle name="_적격 _경기북부2차도급내역(분류체계)_12월 자금청구-창원반송" xfId="760" xr:uid="{00000000-0005-0000-0000-0000370E0000}"/>
    <cellStyle name="_적격 _경기북부2차도급내역(분류체계)_Book1" xfId="761" xr:uid="{00000000-0005-0000-0000-0000380E0000}"/>
    <cellStyle name="_적격 _도급내역서(1차계약분)" xfId="762" xr:uid="{00000000-0005-0000-0000-0000390E0000}"/>
    <cellStyle name="_적격 _도급내역서(1차계약분)_12월 자금청구-창원반송" xfId="763" xr:uid="{00000000-0005-0000-0000-00003A0E0000}"/>
    <cellStyle name="_적격 _도급내역서(1차계약분)_Book1" xfId="764" xr:uid="{00000000-0005-0000-0000-00003B0E0000}"/>
    <cellStyle name="_적격 _병천하수 견적060412" xfId="2724" xr:uid="{00000000-0005-0000-0000-00003C0E0000}"/>
    <cellStyle name="_적격 _사본 - 기성내역서(대경엔텍)" xfId="2725" xr:uid="{00000000-0005-0000-0000-00003D0E0000}"/>
    <cellStyle name="_적격 _사본 - 기성내역서(대경엔텍)_병천하수 견적060412" xfId="2726" xr:uid="{00000000-0005-0000-0000-00003E0E0000}"/>
    <cellStyle name="_적격 _사본 - 기성내역서(대경엔텍)_산북하수견적서" xfId="2727" xr:uid="{00000000-0005-0000-0000-00003F0E0000}"/>
    <cellStyle name="_적격 _사본 - 기성내역서(대경엔텍)_통일하수내역서" xfId="2728" xr:uid="{00000000-0005-0000-0000-0000400E0000}"/>
    <cellStyle name="_적격 _산북하수견적서" xfId="2729" xr:uid="{00000000-0005-0000-0000-0000410E0000}"/>
    <cellStyle name="_적격 _안동투찰" xfId="2730" xr:uid="{00000000-0005-0000-0000-0000420E0000}"/>
    <cellStyle name="_적격 _안동투찰_병천하수 견적060412" xfId="2731" xr:uid="{00000000-0005-0000-0000-0000430E0000}"/>
    <cellStyle name="_적격 _안동투찰_사본 - 기성내역서(대경엔텍)" xfId="2732" xr:uid="{00000000-0005-0000-0000-0000440E0000}"/>
    <cellStyle name="_적격 _안동투찰_사본 - 기성내역서(대경엔텍)_병천하수 견적060412" xfId="2733" xr:uid="{00000000-0005-0000-0000-0000450E0000}"/>
    <cellStyle name="_적격 _안동투찰_사본 - 기성내역서(대경엔텍)_산북하수견적서" xfId="2734" xr:uid="{00000000-0005-0000-0000-0000460E0000}"/>
    <cellStyle name="_적격 _안동투찰_사본 - 기성내역서(대경엔텍)_통일하수내역서" xfId="2735" xr:uid="{00000000-0005-0000-0000-0000470E0000}"/>
    <cellStyle name="_적격 _안동투찰_산북하수견적서" xfId="2736" xr:uid="{00000000-0005-0000-0000-0000480E0000}"/>
    <cellStyle name="_적격 _안동투찰_제1회설계변경내역서(11.15~)update" xfId="2737" xr:uid="{00000000-0005-0000-0000-0000490E0000}"/>
    <cellStyle name="_적격 _안동투찰_제2회기성내역서(1차+2차공사)" xfId="2738" xr:uid="{00000000-0005-0000-0000-00004A0E0000}"/>
    <cellStyle name="_적격 _안동투찰_제2회기성내역서(1차+2차공사)_병천하수 견적060412" xfId="2739" xr:uid="{00000000-0005-0000-0000-00004B0E0000}"/>
    <cellStyle name="_적격 _안동투찰_제2회기성내역서(1차+2차공사)_산북하수견적서" xfId="2740" xr:uid="{00000000-0005-0000-0000-00004C0E0000}"/>
    <cellStyle name="_적격 _안동투찰_제2회기성내역서(1차+2차공사)_제7회기성내역서(1차+2차공사)~ing" xfId="2741" xr:uid="{00000000-0005-0000-0000-00004D0E0000}"/>
    <cellStyle name="_적격 _안동투찰_제2회기성내역서(1차+2차공사)_제7회기성내역서(1차+2차공사)~ing_병천하수 견적060412" xfId="2742" xr:uid="{00000000-0005-0000-0000-00004E0E0000}"/>
    <cellStyle name="_적격 _안동투찰_제2회기성내역서(1차+2차공사)_제7회기성내역서(1차+2차공사)~ing_산북하수견적서" xfId="2743" xr:uid="{00000000-0005-0000-0000-00004F0E0000}"/>
    <cellStyle name="_적격 _안동투찰_제2회기성내역서(1차+2차공사)_제7회기성내역서(1차+2차공사)~ing_통일하수내역서" xfId="2744" xr:uid="{00000000-0005-0000-0000-0000500E0000}"/>
    <cellStyle name="_적격 _안동투찰_제2회기성내역서(1차+2차공사)_통일하수내역서" xfId="2745" xr:uid="{00000000-0005-0000-0000-0000510E0000}"/>
    <cellStyle name="_적격 _안동투찰_통일하수내역서" xfId="2746" xr:uid="{00000000-0005-0000-0000-0000520E0000}"/>
    <cellStyle name="_적격 _제1회설계변경내역서(11.15~)update" xfId="2747" xr:uid="{00000000-0005-0000-0000-0000530E0000}"/>
    <cellStyle name="_적격 _제2회기성내역서(1차+2차공사)" xfId="2748" xr:uid="{00000000-0005-0000-0000-0000540E0000}"/>
    <cellStyle name="_적격 _제2회기성내역서(1차+2차공사)_병천하수 견적060412" xfId="2749" xr:uid="{00000000-0005-0000-0000-0000550E0000}"/>
    <cellStyle name="_적격 _제2회기성내역서(1차+2차공사)_산북하수견적서" xfId="2750" xr:uid="{00000000-0005-0000-0000-0000560E0000}"/>
    <cellStyle name="_적격 _제2회기성내역서(1차+2차공사)_제7회기성내역서(1차+2차공사)~ing" xfId="2751" xr:uid="{00000000-0005-0000-0000-0000570E0000}"/>
    <cellStyle name="_적격 _제2회기성내역서(1차+2차공사)_제7회기성내역서(1차+2차공사)~ing_병천하수 견적060412" xfId="2752" xr:uid="{00000000-0005-0000-0000-0000580E0000}"/>
    <cellStyle name="_적격 _제2회기성내역서(1차+2차공사)_제7회기성내역서(1차+2차공사)~ing_산북하수견적서" xfId="2753" xr:uid="{00000000-0005-0000-0000-0000590E0000}"/>
    <cellStyle name="_적격 _제2회기성내역서(1차+2차공사)_제7회기성내역서(1차+2차공사)~ing_통일하수내역서" xfId="2754" xr:uid="{00000000-0005-0000-0000-00005A0E0000}"/>
    <cellStyle name="_적격 _제2회기성내역서(1차+2차공사)_통일하수내역서" xfId="2755" xr:uid="{00000000-0005-0000-0000-00005B0E0000}"/>
    <cellStyle name="_적격 _집행갑지 " xfId="765" xr:uid="{00000000-0005-0000-0000-00005C0E0000}"/>
    <cellStyle name="_적격 _집행갑지 _12월 자금청구-창원반송" xfId="766" xr:uid="{00000000-0005-0000-0000-00005D0E0000}"/>
    <cellStyle name="_적격 _집행갑지 _17공구" xfId="2756" xr:uid="{00000000-0005-0000-0000-00005E0E0000}"/>
    <cellStyle name="_적격 _집행갑지 _17공구_병천하수 견적060412" xfId="2757" xr:uid="{00000000-0005-0000-0000-00005F0E0000}"/>
    <cellStyle name="_적격 _집행갑지 _17공구_사본 - 기성내역서(대경엔텍)" xfId="2758" xr:uid="{00000000-0005-0000-0000-0000600E0000}"/>
    <cellStyle name="_적격 _집행갑지 _17공구_사본 - 기성내역서(대경엔텍)_병천하수 견적060412" xfId="2759" xr:uid="{00000000-0005-0000-0000-0000610E0000}"/>
    <cellStyle name="_적격 _집행갑지 _17공구_사본 - 기성내역서(대경엔텍)_산북하수견적서" xfId="2760" xr:uid="{00000000-0005-0000-0000-0000620E0000}"/>
    <cellStyle name="_적격 _집행갑지 _17공구_사본 - 기성내역서(대경엔텍)_통일하수내역서" xfId="2761" xr:uid="{00000000-0005-0000-0000-0000630E0000}"/>
    <cellStyle name="_적격 _집행갑지 _17공구_산북하수견적서" xfId="2762" xr:uid="{00000000-0005-0000-0000-0000640E0000}"/>
    <cellStyle name="_적격 _집행갑지 _17공구_제1회설계변경내역서(11.15~)update" xfId="2763" xr:uid="{00000000-0005-0000-0000-0000650E0000}"/>
    <cellStyle name="_적격 _집행갑지 _17공구_제2회기성내역서(1차+2차공사)" xfId="2764" xr:uid="{00000000-0005-0000-0000-0000660E0000}"/>
    <cellStyle name="_적격 _집행갑지 _17공구_제2회기성내역서(1차+2차공사)_병천하수 견적060412" xfId="2765" xr:uid="{00000000-0005-0000-0000-0000670E0000}"/>
    <cellStyle name="_적격 _집행갑지 _17공구_제2회기성내역서(1차+2차공사)_산북하수견적서" xfId="2766" xr:uid="{00000000-0005-0000-0000-0000680E0000}"/>
    <cellStyle name="_적격 _집행갑지 _17공구_제2회기성내역서(1차+2차공사)_제7회기성내역서(1차+2차공사)~ing" xfId="2767" xr:uid="{00000000-0005-0000-0000-0000690E0000}"/>
    <cellStyle name="_적격 _집행갑지 _17공구_제2회기성내역서(1차+2차공사)_제7회기성내역서(1차+2차공사)~ing_병천하수 견적060412" xfId="2768" xr:uid="{00000000-0005-0000-0000-00006A0E0000}"/>
    <cellStyle name="_적격 _집행갑지 _17공구_제2회기성내역서(1차+2차공사)_제7회기성내역서(1차+2차공사)~ing_산북하수견적서" xfId="2769" xr:uid="{00000000-0005-0000-0000-00006B0E0000}"/>
    <cellStyle name="_적격 _집행갑지 _17공구_제2회기성내역서(1차+2차공사)_제7회기성내역서(1차+2차공사)~ing_통일하수내역서" xfId="2770" xr:uid="{00000000-0005-0000-0000-00006C0E0000}"/>
    <cellStyle name="_적격 _집행갑지 _17공구_제2회기성내역서(1차+2차공사)_통일하수내역서" xfId="2771" xr:uid="{00000000-0005-0000-0000-00006D0E0000}"/>
    <cellStyle name="_적격 _집행갑지 _17공구_통일하수내역서" xfId="2772" xr:uid="{00000000-0005-0000-0000-00006E0E0000}"/>
    <cellStyle name="_적격 _집행갑지 _Book1" xfId="767" xr:uid="{00000000-0005-0000-0000-00006F0E0000}"/>
    <cellStyle name="_적격 _집행갑지 _hs 보령우회" xfId="2773" xr:uid="{00000000-0005-0000-0000-0000700E0000}"/>
    <cellStyle name="_적격 _집행갑지 _hs 보령우회_병천하수 견적060412" xfId="2774" xr:uid="{00000000-0005-0000-0000-0000710E0000}"/>
    <cellStyle name="_적격 _집행갑지 _hs 보령우회_사본 - 기성내역서(대경엔텍)" xfId="2775" xr:uid="{00000000-0005-0000-0000-0000720E0000}"/>
    <cellStyle name="_적격 _집행갑지 _hs 보령우회_사본 - 기성내역서(대경엔텍)_병천하수 견적060412" xfId="2776" xr:uid="{00000000-0005-0000-0000-0000730E0000}"/>
    <cellStyle name="_적격 _집행갑지 _hs 보령우회_사본 - 기성내역서(대경엔텍)_산북하수견적서" xfId="2777" xr:uid="{00000000-0005-0000-0000-0000740E0000}"/>
    <cellStyle name="_적격 _집행갑지 _hs 보령우회_사본 - 기성내역서(대경엔텍)_통일하수내역서" xfId="2778" xr:uid="{00000000-0005-0000-0000-0000750E0000}"/>
    <cellStyle name="_적격 _집행갑지 _hs 보령우회_산북하수견적서" xfId="2779" xr:uid="{00000000-0005-0000-0000-0000760E0000}"/>
    <cellStyle name="_적격 _집행갑지 _hs 보령우회_제1회설계변경내역서(11.15~)update" xfId="2780" xr:uid="{00000000-0005-0000-0000-0000770E0000}"/>
    <cellStyle name="_적격 _집행갑지 _hs 보령우회_제2회기성내역서(1차+2차공사)" xfId="2781" xr:uid="{00000000-0005-0000-0000-0000780E0000}"/>
    <cellStyle name="_적격 _집행갑지 _hs 보령우회_제2회기성내역서(1차+2차공사)_병천하수 견적060412" xfId="2782" xr:uid="{00000000-0005-0000-0000-0000790E0000}"/>
    <cellStyle name="_적격 _집행갑지 _hs 보령우회_제2회기성내역서(1차+2차공사)_산북하수견적서" xfId="2783" xr:uid="{00000000-0005-0000-0000-00007A0E0000}"/>
    <cellStyle name="_적격 _집행갑지 _hs 보령우회_제2회기성내역서(1차+2차공사)_제7회기성내역서(1차+2차공사)~ing" xfId="2784" xr:uid="{00000000-0005-0000-0000-00007B0E0000}"/>
    <cellStyle name="_적격 _집행갑지 _hs 보령우회_제2회기성내역서(1차+2차공사)_제7회기성내역서(1차+2차공사)~ing_병천하수 견적060412" xfId="2785" xr:uid="{00000000-0005-0000-0000-00007C0E0000}"/>
    <cellStyle name="_적격 _집행갑지 _hs 보령우회_제2회기성내역서(1차+2차공사)_제7회기성내역서(1차+2차공사)~ing_산북하수견적서" xfId="2786" xr:uid="{00000000-0005-0000-0000-00007D0E0000}"/>
    <cellStyle name="_적격 _집행갑지 _hs 보령우회_제2회기성내역서(1차+2차공사)_제7회기성내역서(1차+2차공사)~ing_통일하수내역서" xfId="2787" xr:uid="{00000000-0005-0000-0000-00007E0E0000}"/>
    <cellStyle name="_적격 _집행갑지 _hs 보령우회_제2회기성내역서(1차+2차공사)_통일하수내역서" xfId="2788" xr:uid="{00000000-0005-0000-0000-00007F0E0000}"/>
    <cellStyle name="_적격 _집행갑지 _hs 보령우회_통일하수내역서" xfId="2789" xr:uid="{00000000-0005-0000-0000-0000800E0000}"/>
    <cellStyle name="_적격 _집행갑지 _hs 중앙선 8(선산토건)" xfId="2790" xr:uid="{00000000-0005-0000-0000-0000810E0000}"/>
    <cellStyle name="_적격 _집행갑지 _hs 중앙선 8(선산토건)_병천하수 견적060412" xfId="2791" xr:uid="{00000000-0005-0000-0000-0000820E0000}"/>
    <cellStyle name="_적격 _집행갑지 _hs 중앙선 8(선산토건)_사본 - 기성내역서(대경엔텍)" xfId="2792" xr:uid="{00000000-0005-0000-0000-0000830E0000}"/>
    <cellStyle name="_적격 _집행갑지 _hs 중앙선 8(선산토건)_사본 - 기성내역서(대경엔텍)_병천하수 견적060412" xfId="2793" xr:uid="{00000000-0005-0000-0000-0000840E0000}"/>
    <cellStyle name="_적격 _집행갑지 _hs 중앙선 8(선산토건)_사본 - 기성내역서(대경엔텍)_산북하수견적서" xfId="2794" xr:uid="{00000000-0005-0000-0000-0000850E0000}"/>
    <cellStyle name="_적격 _집행갑지 _hs 중앙선 8(선산토건)_사본 - 기성내역서(대경엔텍)_통일하수내역서" xfId="2795" xr:uid="{00000000-0005-0000-0000-0000860E0000}"/>
    <cellStyle name="_적격 _집행갑지 _hs 중앙선 8(선산토건)_산북하수견적서" xfId="2796" xr:uid="{00000000-0005-0000-0000-0000870E0000}"/>
    <cellStyle name="_적격 _집행갑지 _hs 중앙선 8(선산토건)_제1회설계변경내역서(11.15~)update" xfId="2797" xr:uid="{00000000-0005-0000-0000-0000880E0000}"/>
    <cellStyle name="_적격 _집행갑지 _hs 중앙선 8(선산토건)_제2회기성내역서(1차+2차공사)" xfId="2798" xr:uid="{00000000-0005-0000-0000-0000890E0000}"/>
    <cellStyle name="_적격 _집행갑지 _hs 중앙선 8(선산토건)_제2회기성내역서(1차+2차공사)_병천하수 견적060412" xfId="2799" xr:uid="{00000000-0005-0000-0000-00008A0E0000}"/>
    <cellStyle name="_적격 _집행갑지 _hs 중앙선 8(선산토건)_제2회기성내역서(1차+2차공사)_산북하수견적서" xfId="2800" xr:uid="{00000000-0005-0000-0000-00008B0E0000}"/>
    <cellStyle name="_적격 _집행갑지 _hs 중앙선 8(선산토건)_제2회기성내역서(1차+2차공사)_제7회기성내역서(1차+2차공사)~ing" xfId="2801" xr:uid="{00000000-0005-0000-0000-00008C0E0000}"/>
    <cellStyle name="_적격 _집행갑지 _hs 중앙선 8(선산토건)_제2회기성내역서(1차+2차공사)_제7회기성내역서(1차+2차공사)~ing_병천하수 견적060412" xfId="2802" xr:uid="{00000000-0005-0000-0000-00008D0E0000}"/>
    <cellStyle name="_적격 _집행갑지 _hs 중앙선 8(선산토건)_제2회기성내역서(1차+2차공사)_제7회기성내역서(1차+2차공사)~ing_산북하수견적서" xfId="2803" xr:uid="{00000000-0005-0000-0000-00008E0E0000}"/>
    <cellStyle name="_적격 _집행갑지 _hs 중앙선 8(선산토건)_제2회기성내역서(1차+2차공사)_제7회기성내역서(1차+2차공사)~ing_통일하수내역서" xfId="2804" xr:uid="{00000000-0005-0000-0000-00008F0E0000}"/>
    <cellStyle name="_적격 _집행갑지 _hs 중앙선 8(선산토건)_제2회기성내역서(1차+2차공사)_통일하수내역서" xfId="2805" xr:uid="{00000000-0005-0000-0000-0000900E0000}"/>
    <cellStyle name="_적격 _집행갑지 _hs 중앙선 8(선산토건)_통일하수내역서" xfId="2806" xr:uid="{00000000-0005-0000-0000-0000910E0000}"/>
    <cellStyle name="_적격 _집행갑지 _kcc 안산2단계" xfId="2807" xr:uid="{00000000-0005-0000-0000-0000920E0000}"/>
    <cellStyle name="_적격 _집행갑지 _kcc 안산2단계_병천하수 견적060412" xfId="2808" xr:uid="{00000000-0005-0000-0000-0000930E0000}"/>
    <cellStyle name="_적격 _집행갑지 _kcc 안산2단계_사본 - 기성내역서(대경엔텍)" xfId="2809" xr:uid="{00000000-0005-0000-0000-0000940E0000}"/>
    <cellStyle name="_적격 _집행갑지 _kcc 안산2단계_사본 - 기성내역서(대경엔텍)_병천하수 견적060412" xfId="2810" xr:uid="{00000000-0005-0000-0000-0000950E0000}"/>
    <cellStyle name="_적격 _집행갑지 _kcc 안산2단계_사본 - 기성내역서(대경엔텍)_산북하수견적서" xfId="2811" xr:uid="{00000000-0005-0000-0000-0000960E0000}"/>
    <cellStyle name="_적격 _집행갑지 _kcc 안산2단계_사본 - 기성내역서(대경엔텍)_통일하수내역서" xfId="2812" xr:uid="{00000000-0005-0000-0000-0000970E0000}"/>
    <cellStyle name="_적격 _집행갑지 _kcc 안산2단계_산북하수견적서" xfId="2813" xr:uid="{00000000-0005-0000-0000-0000980E0000}"/>
    <cellStyle name="_적격 _집행갑지 _kcc 안산2단계_제1회설계변경내역서(11.15~)update" xfId="2814" xr:uid="{00000000-0005-0000-0000-0000990E0000}"/>
    <cellStyle name="_적격 _집행갑지 _kcc 안산2단계_제2회기성내역서(1차+2차공사)" xfId="2815" xr:uid="{00000000-0005-0000-0000-00009A0E0000}"/>
    <cellStyle name="_적격 _집행갑지 _kcc 안산2단계_제2회기성내역서(1차+2차공사)_병천하수 견적060412" xfId="2816" xr:uid="{00000000-0005-0000-0000-00009B0E0000}"/>
    <cellStyle name="_적격 _집행갑지 _kcc 안산2단계_제2회기성내역서(1차+2차공사)_산북하수견적서" xfId="2817" xr:uid="{00000000-0005-0000-0000-00009C0E0000}"/>
    <cellStyle name="_적격 _집행갑지 _kcc 안산2단계_제2회기성내역서(1차+2차공사)_제7회기성내역서(1차+2차공사)~ing" xfId="2818" xr:uid="{00000000-0005-0000-0000-00009D0E0000}"/>
    <cellStyle name="_적격 _집행갑지 _kcc 안산2단계_제2회기성내역서(1차+2차공사)_제7회기성내역서(1차+2차공사)~ing_병천하수 견적060412" xfId="2819" xr:uid="{00000000-0005-0000-0000-00009E0E0000}"/>
    <cellStyle name="_적격 _집행갑지 _kcc 안산2단계_제2회기성내역서(1차+2차공사)_제7회기성내역서(1차+2차공사)~ing_산북하수견적서" xfId="2820" xr:uid="{00000000-0005-0000-0000-00009F0E0000}"/>
    <cellStyle name="_적격 _집행갑지 _kcc 안산2단계_제2회기성내역서(1차+2차공사)_제7회기성내역서(1차+2차공사)~ing_통일하수내역서" xfId="2821" xr:uid="{00000000-0005-0000-0000-0000A00E0000}"/>
    <cellStyle name="_적격 _집행갑지 _kcc 안산2단계_제2회기성내역서(1차+2차공사)_통일하수내역서" xfId="2822" xr:uid="{00000000-0005-0000-0000-0000A10E0000}"/>
    <cellStyle name="_적격 _집행갑지 _kcc 안산2단계_통일하수내역서" xfId="2823" xr:uid="{00000000-0005-0000-0000-0000A20E0000}"/>
    <cellStyle name="_적격 _집행갑지 _kcc 합덕 신례원 1" xfId="2824" xr:uid="{00000000-0005-0000-0000-0000A30E0000}"/>
    <cellStyle name="_적격 _집행갑지 _kcc 합덕 신례원 1_병천하수 견적060412" xfId="2825" xr:uid="{00000000-0005-0000-0000-0000A40E0000}"/>
    <cellStyle name="_적격 _집행갑지 _kcc 합덕 신례원 1_사본 - 기성내역서(대경엔텍)" xfId="2826" xr:uid="{00000000-0005-0000-0000-0000A50E0000}"/>
    <cellStyle name="_적격 _집행갑지 _kcc 합덕 신례원 1_사본 - 기성내역서(대경엔텍)_병천하수 견적060412" xfId="2827" xr:uid="{00000000-0005-0000-0000-0000A60E0000}"/>
    <cellStyle name="_적격 _집행갑지 _kcc 합덕 신례원 1_사본 - 기성내역서(대경엔텍)_산북하수견적서" xfId="2828" xr:uid="{00000000-0005-0000-0000-0000A70E0000}"/>
    <cellStyle name="_적격 _집행갑지 _kcc 합덕 신례원 1_사본 - 기성내역서(대경엔텍)_통일하수내역서" xfId="2829" xr:uid="{00000000-0005-0000-0000-0000A80E0000}"/>
    <cellStyle name="_적격 _집행갑지 _kcc 합덕 신례원 1_산북하수견적서" xfId="2830" xr:uid="{00000000-0005-0000-0000-0000A90E0000}"/>
    <cellStyle name="_적격 _집행갑지 _kcc 합덕 신례원 1_제1회설계변경내역서(11.15~)update" xfId="2831" xr:uid="{00000000-0005-0000-0000-0000AA0E0000}"/>
    <cellStyle name="_적격 _집행갑지 _kcc 합덕 신례원 1_제2회기성내역서(1차+2차공사)" xfId="2832" xr:uid="{00000000-0005-0000-0000-0000AB0E0000}"/>
    <cellStyle name="_적격 _집행갑지 _kcc 합덕 신례원 1_제2회기성내역서(1차+2차공사)_병천하수 견적060412" xfId="2833" xr:uid="{00000000-0005-0000-0000-0000AC0E0000}"/>
    <cellStyle name="_적격 _집행갑지 _kcc 합덕 신례원 1_제2회기성내역서(1차+2차공사)_산북하수견적서" xfId="2834" xr:uid="{00000000-0005-0000-0000-0000AD0E0000}"/>
    <cellStyle name="_적격 _집행갑지 _kcc 합덕 신례원 1_제2회기성내역서(1차+2차공사)_제7회기성내역서(1차+2차공사)~ing" xfId="2835" xr:uid="{00000000-0005-0000-0000-0000AE0E0000}"/>
    <cellStyle name="_적격 _집행갑지 _kcc 합덕 신례원 1_제2회기성내역서(1차+2차공사)_제7회기성내역서(1차+2차공사)~ing_병천하수 견적060412" xfId="2836" xr:uid="{00000000-0005-0000-0000-0000AF0E0000}"/>
    <cellStyle name="_적격 _집행갑지 _kcc 합덕 신례원 1_제2회기성내역서(1차+2차공사)_제7회기성내역서(1차+2차공사)~ing_산북하수견적서" xfId="2837" xr:uid="{00000000-0005-0000-0000-0000B00E0000}"/>
    <cellStyle name="_적격 _집행갑지 _kcc 합덕 신례원 1_제2회기성내역서(1차+2차공사)_제7회기성내역서(1차+2차공사)~ing_통일하수내역서" xfId="2838" xr:uid="{00000000-0005-0000-0000-0000B10E0000}"/>
    <cellStyle name="_적격 _집행갑지 _kcc 합덕 신례원 1_제2회기성내역서(1차+2차공사)_통일하수내역서" xfId="2839" xr:uid="{00000000-0005-0000-0000-0000B20E0000}"/>
    <cellStyle name="_적격 _집행갑지 _kcc 합덕 신례원 1_통일하수내역서" xfId="2840" xr:uid="{00000000-0005-0000-0000-0000B30E0000}"/>
    <cellStyle name="_적격 _집행갑지 _kn 구룡포~대보간 1" xfId="2841" xr:uid="{00000000-0005-0000-0000-0000B40E0000}"/>
    <cellStyle name="_적격 _집행갑지 _kn 구룡포~대보간 1_병천하수 견적060412" xfId="2842" xr:uid="{00000000-0005-0000-0000-0000B50E0000}"/>
    <cellStyle name="_적격 _집행갑지 _kn 구룡포~대보간 1_사본 - 기성내역서(대경엔텍)" xfId="2843" xr:uid="{00000000-0005-0000-0000-0000B60E0000}"/>
    <cellStyle name="_적격 _집행갑지 _kn 구룡포~대보간 1_사본 - 기성내역서(대경엔텍)_병천하수 견적060412" xfId="2844" xr:uid="{00000000-0005-0000-0000-0000B70E0000}"/>
    <cellStyle name="_적격 _집행갑지 _kn 구룡포~대보간 1_사본 - 기성내역서(대경엔텍)_산북하수견적서" xfId="2845" xr:uid="{00000000-0005-0000-0000-0000B80E0000}"/>
    <cellStyle name="_적격 _집행갑지 _kn 구룡포~대보간 1_사본 - 기성내역서(대경엔텍)_통일하수내역서" xfId="2846" xr:uid="{00000000-0005-0000-0000-0000B90E0000}"/>
    <cellStyle name="_적격 _집행갑지 _kn 구룡포~대보간 1_산북하수견적서" xfId="2847" xr:uid="{00000000-0005-0000-0000-0000BA0E0000}"/>
    <cellStyle name="_적격 _집행갑지 _kn 구룡포~대보간 1_제1회설계변경내역서(11.15~)update" xfId="2848" xr:uid="{00000000-0005-0000-0000-0000BB0E0000}"/>
    <cellStyle name="_적격 _집행갑지 _kn 구룡포~대보간 1_제2회기성내역서(1차+2차공사)" xfId="2849" xr:uid="{00000000-0005-0000-0000-0000BC0E0000}"/>
    <cellStyle name="_적격 _집행갑지 _kn 구룡포~대보간 1_제2회기성내역서(1차+2차공사)_병천하수 견적060412" xfId="2850" xr:uid="{00000000-0005-0000-0000-0000BD0E0000}"/>
    <cellStyle name="_적격 _집행갑지 _kn 구룡포~대보간 1_제2회기성내역서(1차+2차공사)_산북하수견적서" xfId="2851" xr:uid="{00000000-0005-0000-0000-0000BE0E0000}"/>
    <cellStyle name="_적격 _집행갑지 _kn 구룡포~대보간 1_제2회기성내역서(1차+2차공사)_제7회기성내역서(1차+2차공사)~ing" xfId="2852" xr:uid="{00000000-0005-0000-0000-0000BF0E0000}"/>
    <cellStyle name="_적격 _집행갑지 _kn 구룡포~대보간 1_제2회기성내역서(1차+2차공사)_제7회기성내역서(1차+2차공사)~ing_병천하수 견적060412" xfId="2853" xr:uid="{00000000-0005-0000-0000-0000C00E0000}"/>
    <cellStyle name="_적격 _집행갑지 _kn 구룡포~대보간 1_제2회기성내역서(1차+2차공사)_제7회기성내역서(1차+2차공사)~ing_산북하수견적서" xfId="2854" xr:uid="{00000000-0005-0000-0000-0000C10E0000}"/>
    <cellStyle name="_적격 _집행갑지 _kn 구룡포~대보간 1_제2회기성내역서(1차+2차공사)_제7회기성내역서(1차+2차공사)~ing_통일하수내역서" xfId="2855" xr:uid="{00000000-0005-0000-0000-0000C20E0000}"/>
    <cellStyle name="_적격 _집행갑지 _kn 구룡포~대보간 1_제2회기성내역서(1차+2차공사)_통일하수내역서" xfId="2856" xr:uid="{00000000-0005-0000-0000-0000C30E0000}"/>
    <cellStyle name="_적격 _집행갑지 _kn 구룡포~대보간 1_통일하수내역서" xfId="2857" xr:uid="{00000000-0005-0000-0000-0000C40E0000}"/>
    <cellStyle name="_적격 _집행갑지 _ss 굴포천" xfId="2858" xr:uid="{00000000-0005-0000-0000-0000C50E0000}"/>
    <cellStyle name="_적격 _집행갑지 _ss 굴포천_병천하수 견적060412" xfId="2859" xr:uid="{00000000-0005-0000-0000-0000C60E0000}"/>
    <cellStyle name="_적격 _집행갑지 _ss 굴포천_사본 - 기성내역서(대경엔텍)" xfId="2860" xr:uid="{00000000-0005-0000-0000-0000C70E0000}"/>
    <cellStyle name="_적격 _집행갑지 _ss 굴포천_사본 - 기성내역서(대경엔텍)_병천하수 견적060412" xfId="2861" xr:uid="{00000000-0005-0000-0000-0000C80E0000}"/>
    <cellStyle name="_적격 _집행갑지 _ss 굴포천_사본 - 기성내역서(대경엔텍)_산북하수견적서" xfId="2862" xr:uid="{00000000-0005-0000-0000-0000C90E0000}"/>
    <cellStyle name="_적격 _집행갑지 _ss 굴포천_사본 - 기성내역서(대경엔텍)_통일하수내역서" xfId="2863" xr:uid="{00000000-0005-0000-0000-0000CA0E0000}"/>
    <cellStyle name="_적격 _집행갑지 _ss 굴포천_산북하수견적서" xfId="2864" xr:uid="{00000000-0005-0000-0000-0000CB0E0000}"/>
    <cellStyle name="_적격 _집행갑지 _ss 굴포천_제1회설계변경내역서(11.15~)update" xfId="2865" xr:uid="{00000000-0005-0000-0000-0000CC0E0000}"/>
    <cellStyle name="_적격 _집행갑지 _ss 굴포천_제2회기성내역서(1차+2차공사)" xfId="2866" xr:uid="{00000000-0005-0000-0000-0000CD0E0000}"/>
    <cellStyle name="_적격 _집행갑지 _ss 굴포천_제2회기성내역서(1차+2차공사)_병천하수 견적060412" xfId="2867" xr:uid="{00000000-0005-0000-0000-0000CE0E0000}"/>
    <cellStyle name="_적격 _집행갑지 _ss 굴포천_제2회기성내역서(1차+2차공사)_산북하수견적서" xfId="2868" xr:uid="{00000000-0005-0000-0000-0000CF0E0000}"/>
    <cellStyle name="_적격 _집행갑지 _ss 굴포천_제2회기성내역서(1차+2차공사)_제7회기성내역서(1차+2차공사)~ing" xfId="2869" xr:uid="{00000000-0005-0000-0000-0000D00E0000}"/>
    <cellStyle name="_적격 _집행갑지 _ss 굴포천_제2회기성내역서(1차+2차공사)_제7회기성내역서(1차+2차공사)~ing_병천하수 견적060412" xfId="2870" xr:uid="{00000000-0005-0000-0000-0000D10E0000}"/>
    <cellStyle name="_적격 _집행갑지 _ss 굴포천_제2회기성내역서(1차+2차공사)_제7회기성내역서(1차+2차공사)~ing_산북하수견적서" xfId="2871" xr:uid="{00000000-0005-0000-0000-0000D20E0000}"/>
    <cellStyle name="_적격 _집행갑지 _ss 굴포천_제2회기성내역서(1차+2차공사)_제7회기성내역서(1차+2차공사)~ing_통일하수내역서" xfId="2872" xr:uid="{00000000-0005-0000-0000-0000D30E0000}"/>
    <cellStyle name="_적격 _집행갑지 _ss 굴포천_제2회기성내역서(1차+2차공사)_통일하수내역서" xfId="2873" xr:uid="{00000000-0005-0000-0000-0000D40E0000}"/>
    <cellStyle name="_적격 _집행갑지 _ss 굴포천_통일하수내역서" xfId="2874" xr:uid="{00000000-0005-0000-0000-0000D50E0000}"/>
    <cellStyle name="_적격 _집행갑지 _경기북부2차도급내역(분류체계)" xfId="768" xr:uid="{00000000-0005-0000-0000-0000D60E0000}"/>
    <cellStyle name="_적격 _집행갑지 _경기북부2차도급내역(분류체계)_12월 자금청구-창원반송" xfId="769" xr:uid="{00000000-0005-0000-0000-0000D70E0000}"/>
    <cellStyle name="_적격 _집행갑지 _경기북부2차도급내역(분류체계)_Book1" xfId="770" xr:uid="{00000000-0005-0000-0000-0000D80E0000}"/>
    <cellStyle name="_적격 _집행갑지 _도급내역서(1차계약분)" xfId="771" xr:uid="{00000000-0005-0000-0000-0000D90E0000}"/>
    <cellStyle name="_적격 _집행갑지 _도급내역서(1차계약분)_12월 자금청구-창원반송" xfId="772" xr:uid="{00000000-0005-0000-0000-0000DA0E0000}"/>
    <cellStyle name="_적격 _집행갑지 _도급내역서(1차계약분)_Book1" xfId="773" xr:uid="{00000000-0005-0000-0000-0000DB0E0000}"/>
    <cellStyle name="_적격 _집행갑지 _병천하수 견적060412" xfId="2875" xr:uid="{00000000-0005-0000-0000-0000DC0E0000}"/>
    <cellStyle name="_적격 _집행갑지 _사본 - 기성내역서(대경엔텍)" xfId="2876" xr:uid="{00000000-0005-0000-0000-0000DD0E0000}"/>
    <cellStyle name="_적격 _집행갑지 _사본 - 기성내역서(대경엔텍)_병천하수 견적060412" xfId="2877" xr:uid="{00000000-0005-0000-0000-0000DE0E0000}"/>
    <cellStyle name="_적격 _집행갑지 _사본 - 기성내역서(대경엔텍)_산북하수견적서" xfId="2878" xr:uid="{00000000-0005-0000-0000-0000DF0E0000}"/>
    <cellStyle name="_적격 _집행갑지 _사본 - 기성내역서(대경엔텍)_통일하수내역서" xfId="2879" xr:uid="{00000000-0005-0000-0000-0000E00E0000}"/>
    <cellStyle name="_적격 _집행갑지 _산북하수견적서" xfId="2880" xr:uid="{00000000-0005-0000-0000-0000E10E0000}"/>
    <cellStyle name="_적격 _집행갑지 _안동투찰" xfId="2881" xr:uid="{00000000-0005-0000-0000-0000E20E0000}"/>
    <cellStyle name="_적격 _집행갑지 _안동투찰_병천하수 견적060412" xfId="2882" xr:uid="{00000000-0005-0000-0000-0000E30E0000}"/>
    <cellStyle name="_적격 _집행갑지 _안동투찰_사본 - 기성내역서(대경엔텍)" xfId="2883" xr:uid="{00000000-0005-0000-0000-0000E40E0000}"/>
    <cellStyle name="_적격 _집행갑지 _안동투찰_사본 - 기성내역서(대경엔텍)_병천하수 견적060412" xfId="2884" xr:uid="{00000000-0005-0000-0000-0000E50E0000}"/>
    <cellStyle name="_적격 _집행갑지 _안동투찰_사본 - 기성내역서(대경엔텍)_산북하수견적서" xfId="2885" xr:uid="{00000000-0005-0000-0000-0000E60E0000}"/>
    <cellStyle name="_적격 _집행갑지 _안동투찰_사본 - 기성내역서(대경엔텍)_통일하수내역서" xfId="2886" xr:uid="{00000000-0005-0000-0000-0000E70E0000}"/>
    <cellStyle name="_적격 _집행갑지 _안동투찰_산북하수견적서" xfId="2887" xr:uid="{00000000-0005-0000-0000-0000E80E0000}"/>
    <cellStyle name="_적격 _집행갑지 _안동투찰_제1회설계변경내역서(11.15~)update" xfId="2888" xr:uid="{00000000-0005-0000-0000-0000E90E0000}"/>
    <cellStyle name="_적격 _집행갑지 _안동투찰_제2회기성내역서(1차+2차공사)" xfId="2889" xr:uid="{00000000-0005-0000-0000-0000EA0E0000}"/>
    <cellStyle name="_적격 _집행갑지 _안동투찰_제2회기성내역서(1차+2차공사)_병천하수 견적060412" xfId="2890" xr:uid="{00000000-0005-0000-0000-0000EB0E0000}"/>
    <cellStyle name="_적격 _집행갑지 _안동투찰_제2회기성내역서(1차+2차공사)_산북하수견적서" xfId="2891" xr:uid="{00000000-0005-0000-0000-0000EC0E0000}"/>
    <cellStyle name="_적격 _집행갑지 _안동투찰_제2회기성내역서(1차+2차공사)_제7회기성내역서(1차+2차공사)~ing" xfId="2892" xr:uid="{00000000-0005-0000-0000-0000ED0E0000}"/>
    <cellStyle name="_적격 _집행갑지 _안동투찰_제2회기성내역서(1차+2차공사)_제7회기성내역서(1차+2차공사)~ing_병천하수 견적060412" xfId="2893" xr:uid="{00000000-0005-0000-0000-0000EE0E0000}"/>
    <cellStyle name="_적격 _집행갑지 _안동투찰_제2회기성내역서(1차+2차공사)_제7회기성내역서(1차+2차공사)~ing_산북하수견적서" xfId="2894" xr:uid="{00000000-0005-0000-0000-0000EF0E0000}"/>
    <cellStyle name="_적격 _집행갑지 _안동투찰_제2회기성내역서(1차+2차공사)_제7회기성내역서(1차+2차공사)~ing_통일하수내역서" xfId="2895" xr:uid="{00000000-0005-0000-0000-0000F00E0000}"/>
    <cellStyle name="_적격 _집행갑지 _안동투찰_제2회기성내역서(1차+2차공사)_통일하수내역서" xfId="2896" xr:uid="{00000000-0005-0000-0000-0000F10E0000}"/>
    <cellStyle name="_적격 _집행갑지 _안동투찰_통일하수내역서" xfId="2897" xr:uid="{00000000-0005-0000-0000-0000F20E0000}"/>
    <cellStyle name="_적격 _집행갑지 _제1회설계변경내역서(11.15~)update" xfId="2898" xr:uid="{00000000-0005-0000-0000-0000F30E0000}"/>
    <cellStyle name="_적격 _집행갑지 _제2회기성내역서(1차+2차공사)" xfId="2899" xr:uid="{00000000-0005-0000-0000-0000F40E0000}"/>
    <cellStyle name="_적격 _집행갑지 _제2회기성내역서(1차+2차공사)_병천하수 견적060412" xfId="2900" xr:uid="{00000000-0005-0000-0000-0000F50E0000}"/>
    <cellStyle name="_적격 _집행갑지 _제2회기성내역서(1차+2차공사)_산북하수견적서" xfId="2901" xr:uid="{00000000-0005-0000-0000-0000F60E0000}"/>
    <cellStyle name="_적격 _집행갑지 _제2회기성내역서(1차+2차공사)_제7회기성내역서(1차+2차공사)~ing" xfId="2902" xr:uid="{00000000-0005-0000-0000-0000F70E0000}"/>
    <cellStyle name="_적격 _집행갑지 _제2회기성내역서(1차+2차공사)_제7회기성내역서(1차+2차공사)~ing_병천하수 견적060412" xfId="2903" xr:uid="{00000000-0005-0000-0000-0000F80E0000}"/>
    <cellStyle name="_적격 _집행갑지 _제2회기성내역서(1차+2차공사)_제7회기성내역서(1차+2차공사)~ing_산북하수견적서" xfId="2904" xr:uid="{00000000-0005-0000-0000-0000F90E0000}"/>
    <cellStyle name="_적격 _집행갑지 _제2회기성내역서(1차+2차공사)_제7회기성내역서(1차+2차공사)~ing_통일하수내역서" xfId="2905" xr:uid="{00000000-0005-0000-0000-0000FA0E0000}"/>
    <cellStyle name="_적격 _집행갑지 _제2회기성내역서(1차+2차공사)_통일하수내역서" xfId="2906" xr:uid="{00000000-0005-0000-0000-0000FB0E0000}"/>
    <cellStyle name="_적격 _집행갑지 _통리투찰" xfId="2907" xr:uid="{00000000-0005-0000-0000-0000FC0E0000}"/>
    <cellStyle name="_적격 _집행갑지 _통리투찰_병천하수 견적060412" xfId="2908" xr:uid="{00000000-0005-0000-0000-0000FD0E0000}"/>
    <cellStyle name="_적격 _집행갑지 _통리투찰_사본 - 기성내역서(대경엔텍)" xfId="2909" xr:uid="{00000000-0005-0000-0000-0000FE0E0000}"/>
    <cellStyle name="_적격 _집행갑지 _통리투찰_사본 - 기성내역서(대경엔텍)_병천하수 견적060412" xfId="2910" xr:uid="{00000000-0005-0000-0000-0000FF0E0000}"/>
    <cellStyle name="_적격 _집행갑지 _통리투찰_사본 - 기성내역서(대경엔텍)_산북하수견적서" xfId="2911" xr:uid="{00000000-0005-0000-0000-0000000F0000}"/>
    <cellStyle name="_적격 _집행갑지 _통리투찰_사본 - 기성내역서(대경엔텍)_통일하수내역서" xfId="2912" xr:uid="{00000000-0005-0000-0000-0000010F0000}"/>
    <cellStyle name="_적격 _집행갑지 _통리투찰_산북하수견적서" xfId="2913" xr:uid="{00000000-0005-0000-0000-0000020F0000}"/>
    <cellStyle name="_적격 _집행갑지 _통리투찰_제1회설계변경내역서(11.15~)update" xfId="2914" xr:uid="{00000000-0005-0000-0000-0000030F0000}"/>
    <cellStyle name="_적격 _집행갑지 _통리투찰_제2회기성내역서(1차+2차공사)" xfId="2915" xr:uid="{00000000-0005-0000-0000-0000040F0000}"/>
    <cellStyle name="_적격 _집행갑지 _통리투찰_제2회기성내역서(1차+2차공사)_병천하수 견적060412" xfId="2916" xr:uid="{00000000-0005-0000-0000-0000050F0000}"/>
    <cellStyle name="_적격 _집행갑지 _통리투찰_제2회기성내역서(1차+2차공사)_산북하수견적서" xfId="2917" xr:uid="{00000000-0005-0000-0000-0000060F0000}"/>
    <cellStyle name="_적격 _집행갑지 _통리투찰_제2회기성내역서(1차+2차공사)_제7회기성내역서(1차+2차공사)~ing" xfId="2918" xr:uid="{00000000-0005-0000-0000-0000070F0000}"/>
    <cellStyle name="_적격 _집행갑지 _통리투찰_제2회기성내역서(1차+2차공사)_제7회기성내역서(1차+2차공사)~ing_병천하수 견적060412" xfId="2919" xr:uid="{00000000-0005-0000-0000-0000080F0000}"/>
    <cellStyle name="_적격 _집행갑지 _통리투찰_제2회기성내역서(1차+2차공사)_제7회기성내역서(1차+2차공사)~ing_산북하수견적서" xfId="2920" xr:uid="{00000000-0005-0000-0000-0000090F0000}"/>
    <cellStyle name="_적격 _집행갑지 _통리투찰_제2회기성내역서(1차+2차공사)_제7회기성내역서(1차+2차공사)~ing_통일하수내역서" xfId="2921" xr:uid="{00000000-0005-0000-0000-00000A0F0000}"/>
    <cellStyle name="_적격 _집행갑지 _통리투찰_제2회기성내역서(1차+2차공사)_통일하수내역서" xfId="2922" xr:uid="{00000000-0005-0000-0000-00000B0F0000}"/>
    <cellStyle name="_적격 _집행갑지 _통리투찰_통일하수내역서" xfId="2923" xr:uid="{00000000-0005-0000-0000-00000C0F0000}"/>
    <cellStyle name="_적격 _집행갑지 _통일하수내역서" xfId="2924" xr:uid="{00000000-0005-0000-0000-00000D0F0000}"/>
    <cellStyle name="_적격 _통리투찰" xfId="2925" xr:uid="{00000000-0005-0000-0000-00000E0F0000}"/>
    <cellStyle name="_적격 _통리투찰_병천하수 견적060412" xfId="2926" xr:uid="{00000000-0005-0000-0000-00000F0F0000}"/>
    <cellStyle name="_적격 _통리투찰_사본 - 기성내역서(대경엔텍)" xfId="2927" xr:uid="{00000000-0005-0000-0000-0000100F0000}"/>
    <cellStyle name="_적격 _통리투찰_사본 - 기성내역서(대경엔텍)_병천하수 견적060412" xfId="2928" xr:uid="{00000000-0005-0000-0000-0000110F0000}"/>
    <cellStyle name="_적격 _통리투찰_사본 - 기성내역서(대경엔텍)_산북하수견적서" xfId="2929" xr:uid="{00000000-0005-0000-0000-0000120F0000}"/>
    <cellStyle name="_적격 _통리투찰_사본 - 기성내역서(대경엔텍)_통일하수내역서" xfId="2930" xr:uid="{00000000-0005-0000-0000-0000130F0000}"/>
    <cellStyle name="_적격 _통리투찰_산북하수견적서" xfId="2931" xr:uid="{00000000-0005-0000-0000-0000140F0000}"/>
    <cellStyle name="_적격 _통리투찰_제1회설계변경내역서(11.15~)update" xfId="2932" xr:uid="{00000000-0005-0000-0000-0000150F0000}"/>
    <cellStyle name="_적격 _통리투찰_제2회기성내역서(1차+2차공사)" xfId="2933" xr:uid="{00000000-0005-0000-0000-0000160F0000}"/>
    <cellStyle name="_적격 _통리투찰_제2회기성내역서(1차+2차공사)_병천하수 견적060412" xfId="2934" xr:uid="{00000000-0005-0000-0000-0000170F0000}"/>
    <cellStyle name="_적격 _통리투찰_제2회기성내역서(1차+2차공사)_산북하수견적서" xfId="2935" xr:uid="{00000000-0005-0000-0000-0000180F0000}"/>
    <cellStyle name="_적격 _통리투찰_제2회기성내역서(1차+2차공사)_제7회기성내역서(1차+2차공사)~ing" xfId="2936" xr:uid="{00000000-0005-0000-0000-0000190F0000}"/>
    <cellStyle name="_적격 _통리투찰_제2회기성내역서(1차+2차공사)_제7회기성내역서(1차+2차공사)~ing_병천하수 견적060412" xfId="2937" xr:uid="{00000000-0005-0000-0000-00001A0F0000}"/>
    <cellStyle name="_적격 _통리투찰_제2회기성내역서(1차+2차공사)_제7회기성내역서(1차+2차공사)~ing_산북하수견적서" xfId="2938" xr:uid="{00000000-0005-0000-0000-00001B0F0000}"/>
    <cellStyle name="_적격 _통리투찰_제2회기성내역서(1차+2차공사)_제7회기성내역서(1차+2차공사)~ing_통일하수내역서" xfId="2939" xr:uid="{00000000-0005-0000-0000-00001C0F0000}"/>
    <cellStyle name="_적격 _통리투찰_제2회기성내역서(1차+2차공사)_통일하수내역서" xfId="2940" xr:uid="{00000000-0005-0000-0000-00001D0F0000}"/>
    <cellStyle name="_적격 _통리투찰_통일하수내역서" xfId="2941" xr:uid="{00000000-0005-0000-0000-00001E0F0000}"/>
    <cellStyle name="_적격 _통일하수내역서" xfId="2942" xr:uid="{00000000-0005-0000-0000-00001F0F0000}"/>
    <cellStyle name="_적격(화산) " xfId="774" xr:uid="{00000000-0005-0000-0000-0000200F0000}"/>
    <cellStyle name="_적격(화산) _12월 자금청구-창원반송" xfId="775" xr:uid="{00000000-0005-0000-0000-0000210F0000}"/>
    <cellStyle name="_적격(화산) _17공구" xfId="2943" xr:uid="{00000000-0005-0000-0000-0000220F0000}"/>
    <cellStyle name="_적격(화산) _17공구_병천하수 견적060412" xfId="2944" xr:uid="{00000000-0005-0000-0000-0000230F0000}"/>
    <cellStyle name="_적격(화산) _17공구_사본 - 기성내역서(대경엔텍)" xfId="2945" xr:uid="{00000000-0005-0000-0000-0000240F0000}"/>
    <cellStyle name="_적격(화산) _17공구_사본 - 기성내역서(대경엔텍)_병천하수 견적060412" xfId="2946" xr:uid="{00000000-0005-0000-0000-0000250F0000}"/>
    <cellStyle name="_적격(화산) _17공구_사본 - 기성내역서(대경엔텍)_산북하수견적서" xfId="2947" xr:uid="{00000000-0005-0000-0000-0000260F0000}"/>
    <cellStyle name="_적격(화산) _17공구_사본 - 기성내역서(대경엔텍)_통일하수내역서" xfId="2948" xr:uid="{00000000-0005-0000-0000-0000270F0000}"/>
    <cellStyle name="_적격(화산) _17공구_산북하수견적서" xfId="2949" xr:uid="{00000000-0005-0000-0000-0000280F0000}"/>
    <cellStyle name="_적격(화산) _17공구_제1회설계변경내역서(11.15~)update" xfId="2950" xr:uid="{00000000-0005-0000-0000-0000290F0000}"/>
    <cellStyle name="_적격(화산) _17공구_제2회기성내역서(1차+2차공사)" xfId="2951" xr:uid="{00000000-0005-0000-0000-00002A0F0000}"/>
    <cellStyle name="_적격(화산) _17공구_제2회기성내역서(1차+2차공사)_병천하수 견적060412" xfId="2952" xr:uid="{00000000-0005-0000-0000-00002B0F0000}"/>
    <cellStyle name="_적격(화산) _17공구_제2회기성내역서(1차+2차공사)_산북하수견적서" xfId="2953" xr:uid="{00000000-0005-0000-0000-00002C0F0000}"/>
    <cellStyle name="_적격(화산) _17공구_제2회기성내역서(1차+2차공사)_제7회기성내역서(1차+2차공사)~ing" xfId="2954" xr:uid="{00000000-0005-0000-0000-00002D0F0000}"/>
    <cellStyle name="_적격(화산) _17공구_제2회기성내역서(1차+2차공사)_제7회기성내역서(1차+2차공사)~ing_병천하수 견적060412" xfId="2955" xr:uid="{00000000-0005-0000-0000-00002E0F0000}"/>
    <cellStyle name="_적격(화산) _17공구_제2회기성내역서(1차+2차공사)_제7회기성내역서(1차+2차공사)~ing_산북하수견적서" xfId="2956" xr:uid="{00000000-0005-0000-0000-00002F0F0000}"/>
    <cellStyle name="_적격(화산) _17공구_제2회기성내역서(1차+2차공사)_제7회기성내역서(1차+2차공사)~ing_통일하수내역서" xfId="2957" xr:uid="{00000000-0005-0000-0000-0000300F0000}"/>
    <cellStyle name="_적격(화산) _17공구_제2회기성내역서(1차+2차공사)_통일하수내역서" xfId="2958" xr:uid="{00000000-0005-0000-0000-0000310F0000}"/>
    <cellStyle name="_적격(화산) _17공구_통일하수내역서" xfId="2959" xr:uid="{00000000-0005-0000-0000-0000320F0000}"/>
    <cellStyle name="_적격(화산) _Book1" xfId="776" xr:uid="{00000000-0005-0000-0000-0000330F0000}"/>
    <cellStyle name="_적격(화산) _hs 보령우회" xfId="2960" xr:uid="{00000000-0005-0000-0000-0000340F0000}"/>
    <cellStyle name="_적격(화산) _hs 보령우회_병천하수 견적060412" xfId="2961" xr:uid="{00000000-0005-0000-0000-0000350F0000}"/>
    <cellStyle name="_적격(화산) _hs 보령우회_사본 - 기성내역서(대경엔텍)" xfId="2962" xr:uid="{00000000-0005-0000-0000-0000360F0000}"/>
    <cellStyle name="_적격(화산) _hs 보령우회_사본 - 기성내역서(대경엔텍)_병천하수 견적060412" xfId="2963" xr:uid="{00000000-0005-0000-0000-0000370F0000}"/>
    <cellStyle name="_적격(화산) _hs 보령우회_사본 - 기성내역서(대경엔텍)_산북하수견적서" xfId="2964" xr:uid="{00000000-0005-0000-0000-0000380F0000}"/>
    <cellStyle name="_적격(화산) _hs 보령우회_사본 - 기성내역서(대경엔텍)_통일하수내역서" xfId="2965" xr:uid="{00000000-0005-0000-0000-0000390F0000}"/>
    <cellStyle name="_적격(화산) _hs 보령우회_산북하수견적서" xfId="2966" xr:uid="{00000000-0005-0000-0000-00003A0F0000}"/>
    <cellStyle name="_적격(화산) _hs 보령우회_제1회설계변경내역서(11.15~)update" xfId="2967" xr:uid="{00000000-0005-0000-0000-00003B0F0000}"/>
    <cellStyle name="_적격(화산) _hs 보령우회_제2회기성내역서(1차+2차공사)" xfId="2968" xr:uid="{00000000-0005-0000-0000-00003C0F0000}"/>
    <cellStyle name="_적격(화산) _hs 보령우회_제2회기성내역서(1차+2차공사)_병천하수 견적060412" xfId="2969" xr:uid="{00000000-0005-0000-0000-00003D0F0000}"/>
    <cellStyle name="_적격(화산) _hs 보령우회_제2회기성내역서(1차+2차공사)_산북하수견적서" xfId="2970" xr:uid="{00000000-0005-0000-0000-00003E0F0000}"/>
    <cellStyle name="_적격(화산) _hs 보령우회_제2회기성내역서(1차+2차공사)_제7회기성내역서(1차+2차공사)~ing" xfId="2971" xr:uid="{00000000-0005-0000-0000-00003F0F0000}"/>
    <cellStyle name="_적격(화산) _hs 보령우회_제2회기성내역서(1차+2차공사)_제7회기성내역서(1차+2차공사)~ing_병천하수 견적060412" xfId="2972" xr:uid="{00000000-0005-0000-0000-0000400F0000}"/>
    <cellStyle name="_적격(화산) _hs 보령우회_제2회기성내역서(1차+2차공사)_제7회기성내역서(1차+2차공사)~ing_산북하수견적서" xfId="2973" xr:uid="{00000000-0005-0000-0000-0000410F0000}"/>
    <cellStyle name="_적격(화산) _hs 보령우회_제2회기성내역서(1차+2차공사)_제7회기성내역서(1차+2차공사)~ing_통일하수내역서" xfId="2974" xr:uid="{00000000-0005-0000-0000-0000420F0000}"/>
    <cellStyle name="_적격(화산) _hs 보령우회_제2회기성내역서(1차+2차공사)_통일하수내역서" xfId="2975" xr:uid="{00000000-0005-0000-0000-0000430F0000}"/>
    <cellStyle name="_적격(화산) _hs 보령우회_통일하수내역서" xfId="2976" xr:uid="{00000000-0005-0000-0000-0000440F0000}"/>
    <cellStyle name="_적격(화산) _hs 중앙선 8(선산토건)" xfId="2977" xr:uid="{00000000-0005-0000-0000-0000450F0000}"/>
    <cellStyle name="_적격(화산) _hs 중앙선 8(선산토건)_병천하수 견적060412" xfId="2978" xr:uid="{00000000-0005-0000-0000-0000460F0000}"/>
    <cellStyle name="_적격(화산) _hs 중앙선 8(선산토건)_사본 - 기성내역서(대경엔텍)" xfId="2979" xr:uid="{00000000-0005-0000-0000-0000470F0000}"/>
    <cellStyle name="_적격(화산) _hs 중앙선 8(선산토건)_사본 - 기성내역서(대경엔텍)_병천하수 견적060412" xfId="2980" xr:uid="{00000000-0005-0000-0000-0000480F0000}"/>
    <cellStyle name="_적격(화산) _hs 중앙선 8(선산토건)_사본 - 기성내역서(대경엔텍)_산북하수견적서" xfId="2981" xr:uid="{00000000-0005-0000-0000-0000490F0000}"/>
    <cellStyle name="_적격(화산) _hs 중앙선 8(선산토건)_사본 - 기성내역서(대경엔텍)_통일하수내역서" xfId="2982" xr:uid="{00000000-0005-0000-0000-00004A0F0000}"/>
    <cellStyle name="_적격(화산) _hs 중앙선 8(선산토건)_산북하수견적서" xfId="2983" xr:uid="{00000000-0005-0000-0000-00004B0F0000}"/>
    <cellStyle name="_적격(화산) _hs 중앙선 8(선산토건)_제1회설계변경내역서(11.15~)update" xfId="2984" xr:uid="{00000000-0005-0000-0000-00004C0F0000}"/>
    <cellStyle name="_적격(화산) _hs 중앙선 8(선산토건)_제2회기성내역서(1차+2차공사)" xfId="2985" xr:uid="{00000000-0005-0000-0000-00004D0F0000}"/>
    <cellStyle name="_적격(화산) _hs 중앙선 8(선산토건)_제2회기성내역서(1차+2차공사)_병천하수 견적060412" xfId="2986" xr:uid="{00000000-0005-0000-0000-00004E0F0000}"/>
    <cellStyle name="_적격(화산) _hs 중앙선 8(선산토건)_제2회기성내역서(1차+2차공사)_산북하수견적서" xfId="2987" xr:uid="{00000000-0005-0000-0000-00004F0F0000}"/>
    <cellStyle name="_적격(화산) _hs 중앙선 8(선산토건)_제2회기성내역서(1차+2차공사)_제7회기성내역서(1차+2차공사)~ing" xfId="2988" xr:uid="{00000000-0005-0000-0000-0000500F0000}"/>
    <cellStyle name="_적격(화산) _hs 중앙선 8(선산토건)_제2회기성내역서(1차+2차공사)_제7회기성내역서(1차+2차공사)~ing_병천하수 견적060412" xfId="2989" xr:uid="{00000000-0005-0000-0000-0000510F0000}"/>
    <cellStyle name="_적격(화산) _hs 중앙선 8(선산토건)_제2회기성내역서(1차+2차공사)_제7회기성내역서(1차+2차공사)~ing_산북하수견적서" xfId="2990" xr:uid="{00000000-0005-0000-0000-0000520F0000}"/>
    <cellStyle name="_적격(화산) _hs 중앙선 8(선산토건)_제2회기성내역서(1차+2차공사)_제7회기성내역서(1차+2차공사)~ing_통일하수내역서" xfId="2991" xr:uid="{00000000-0005-0000-0000-0000530F0000}"/>
    <cellStyle name="_적격(화산) _hs 중앙선 8(선산토건)_제2회기성내역서(1차+2차공사)_통일하수내역서" xfId="2992" xr:uid="{00000000-0005-0000-0000-0000540F0000}"/>
    <cellStyle name="_적격(화산) _hs 중앙선 8(선산토건)_통일하수내역서" xfId="2993" xr:uid="{00000000-0005-0000-0000-0000550F0000}"/>
    <cellStyle name="_적격(화산) _kcc 안산2단계" xfId="2994" xr:uid="{00000000-0005-0000-0000-0000560F0000}"/>
    <cellStyle name="_적격(화산) _kcc 안산2단계_병천하수 견적060412" xfId="2995" xr:uid="{00000000-0005-0000-0000-0000570F0000}"/>
    <cellStyle name="_적격(화산) _kcc 안산2단계_사본 - 기성내역서(대경엔텍)" xfId="2996" xr:uid="{00000000-0005-0000-0000-0000580F0000}"/>
    <cellStyle name="_적격(화산) _kcc 안산2단계_사본 - 기성내역서(대경엔텍)_병천하수 견적060412" xfId="2997" xr:uid="{00000000-0005-0000-0000-0000590F0000}"/>
    <cellStyle name="_적격(화산) _kcc 안산2단계_사본 - 기성내역서(대경엔텍)_산북하수견적서" xfId="2998" xr:uid="{00000000-0005-0000-0000-00005A0F0000}"/>
    <cellStyle name="_적격(화산) _kcc 안산2단계_사본 - 기성내역서(대경엔텍)_통일하수내역서" xfId="2999" xr:uid="{00000000-0005-0000-0000-00005B0F0000}"/>
    <cellStyle name="_적격(화산) _kcc 안산2단계_산북하수견적서" xfId="3000" xr:uid="{00000000-0005-0000-0000-00005C0F0000}"/>
    <cellStyle name="_적격(화산) _kcc 안산2단계_제1회설계변경내역서(11.15~)update" xfId="3001" xr:uid="{00000000-0005-0000-0000-00005D0F0000}"/>
    <cellStyle name="_적격(화산) _kcc 안산2단계_제2회기성내역서(1차+2차공사)" xfId="3002" xr:uid="{00000000-0005-0000-0000-00005E0F0000}"/>
    <cellStyle name="_적격(화산) _kcc 안산2단계_제2회기성내역서(1차+2차공사)_병천하수 견적060412" xfId="3003" xr:uid="{00000000-0005-0000-0000-00005F0F0000}"/>
    <cellStyle name="_적격(화산) _kcc 안산2단계_제2회기성내역서(1차+2차공사)_산북하수견적서" xfId="3004" xr:uid="{00000000-0005-0000-0000-0000600F0000}"/>
    <cellStyle name="_적격(화산) _kcc 안산2단계_제2회기성내역서(1차+2차공사)_제7회기성내역서(1차+2차공사)~ing" xfId="3005" xr:uid="{00000000-0005-0000-0000-0000610F0000}"/>
    <cellStyle name="_적격(화산) _kcc 안산2단계_제2회기성내역서(1차+2차공사)_제7회기성내역서(1차+2차공사)~ing_병천하수 견적060412" xfId="3006" xr:uid="{00000000-0005-0000-0000-0000620F0000}"/>
    <cellStyle name="_적격(화산) _kcc 안산2단계_제2회기성내역서(1차+2차공사)_제7회기성내역서(1차+2차공사)~ing_산북하수견적서" xfId="3007" xr:uid="{00000000-0005-0000-0000-0000630F0000}"/>
    <cellStyle name="_적격(화산) _kcc 안산2단계_제2회기성내역서(1차+2차공사)_제7회기성내역서(1차+2차공사)~ing_통일하수내역서" xfId="3008" xr:uid="{00000000-0005-0000-0000-0000640F0000}"/>
    <cellStyle name="_적격(화산) _kcc 안산2단계_제2회기성내역서(1차+2차공사)_통일하수내역서" xfId="3009" xr:uid="{00000000-0005-0000-0000-0000650F0000}"/>
    <cellStyle name="_적격(화산) _kcc 안산2단계_통일하수내역서" xfId="3010" xr:uid="{00000000-0005-0000-0000-0000660F0000}"/>
    <cellStyle name="_적격(화산) _kcc 합덕 신례원 1" xfId="3011" xr:uid="{00000000-0005-0000-0000-0000670F0000}"/>
    <cellStyle name="_적격(화산) _kcc 합덕 신례원 1_병천하수 견적060412" xfId="3012" xr:uid="{00000000-0005-0000-0000-0000680F0000}"/>
    <cellStyle name="_적격(화산) _kcc 합덕 신례원 1_사본 - 기성내역서(대경엔텍)" xfId="3013" xr:uid="{00000000-0005-0000-0000-0000690F0000}"/>
    <cellStyle name="_적격(화산) _kcc 합덕 신례원 1_사본 - 기성내역서(대경엔텍)_병천하수 견적060412" xfId="3014" xr:uid="{00000000-0005-0000-0000-00006A0F0000}"/>
    <cellStyle name="_적격(화산) _kcc 합덕 신례원 1_사본 - 기성내역서(대경엔텍)_산북하수견적서" xfId="3015" xr:uid="{00000000-0005-0000-0000-00006B0F0000}"/>
    <cellStyle name="_적격(화산) _kcc 합덕 신례원 1_사본 - 기성내역서(대경엔텍)_통일하수내역서" xfId="3016" xr:uid="{00000000-0005-0000-0000-00006C0F0000}"/>
    <cellStyle name="_적격(화산) _kcc 합덕 신례원 1_산북하수견적서" xfId="3017" xr:uid="{00000000-0005-0000-0000-00006D0F0000}"/>
    <cellStyle name="_적격(화산) _kcc 합덕 신례원 1_제1회설계변경내역서(11.15~)update" xfId="3018" xr:uid="{00000000-0005-0000-0000-00006E0F0000}"/>
    <cellStyle name="_적격(화산) _kcc 합덕 신례원 1_제2회기성내역서(1차+2차공사)" xfId="3019" xr:uid="{00000000-0005-0000-0000-00006F0F0000}"/>
    <cellStyle name="_적격(화산) _kcc 합덕 신례원 1_제2회기성내역서(1차+2차공사)_병천하수 견적060412" xfId="3020" xr:uid="{00000000-0005-0000-0000-0000700F0000}"/>
    <cellStyle name="_적격(화산) _kcc 합덕 신례원 1_제2회기성내역서(1차+2차공사)_산북하수견적서" xfId="3021" xr:uid="{00000000-0005-0000-0000-0000710F0000}"/>
    <cellStyle name="_적격(화산) _kcc 합덕 신례원 1_제2회기성내역서(1차+2차공사)_제7회기성내역서(1차+2차공사)~ing" xfId="3022" xr:uid="{00000000-0005-0000-0000-0000720F0000}"/>
    <cellStyle name="_적격(화산) _kcc 합덕 신례원 1_제2회기성내역서(1차+2차공사)_제7회기성내역서(1차+2차공사)~ing_병천하수 견적060412" xfId="3023" xr:uid="{00000000-0005-0000-0000-0000730F0000}"/>
    <cellStyle name="_적격(화산) _kcc 합덕 신례원 1_제2회기성내역서(1차+2차공사)_제7회기성내역서(1차+2차공사)~ing_산북하수견적서" xfId="3024" xr:uid="{00000000-0005-0000-0000-0000740F0000}"/>
    <cellStyle name="_적격(화산) _kcc 합덕 신례원 1_제2회기성내역서(1차+2차공사)_제7회기성내역서(1차+2차공사)~ing_통일하수내역서" xfId="3025" xr:uid="{00000000-0005-0000-0000-0000750F0000}"/>
    <cellStyle name="_적격(화산) _kcc 합덕 신례원 1_제2회기성내역서(1차+2차공사)_통일하수내역서" xfId="3026" xr:uid="{00000000-0005-0000-0000-0000760F0000}"/>
    <cellStyle name="_적격(화산) _kcc 합덕 신례원 1_통일하수내역서" xfId="3027" xr:uid="{00000000-0005-0000-0000-0000770F0000}"/>
    <cellStyle name="_적격(화산) _kn 구룡포~대보간 1" xfId="3028" xr:uid="{00000000-0005-0000-0000-0000780F0000}"/>
    <cellStyle name="_적격(화산) _kn 구룡포~대보간 1_병천하수 견적060412" xfId="3029" xr:uid="{00000000-0005-0000-0000-0000790F0000}"/>
    <cellStyle name="_적격(화산) _kn 구룡포~대보간 1_사본 - 기성내역서(대경엔텍)" xfId="3030" xr:uid="{00000000-0005-0000-0000-00007A0F0000}"/>
    <cellStyle name="_적격(화산) _kn 구룡포~대보간 1_사본 - 기성내역서(대경엔텍)_병천하수 견적060412" xfId="3031" xr:uid="{00000000-0005-0000-0000-00007B0F0000}"/>
    <cellStyle name="_적격(화산) _kn 구룡포~대보간 1_사본 - 기성내역서(대경엔텍)_산북하수견적서" xfId="3032" xr:uid="{00000000-0005-0000-0000-00007C0F0000}"/>
    <cellStyle name="_적격(화산) _kn 구룡포~대보간 1_사본 - 기성내역서(대경엔텍)_통일하수내역서" xfId="3033" xr:uid="{00000000-0005-0000-0000-00007D0F0000}"/>
    <cellStyle name="_적격(화산) _kn 구룡포~대보간 1_산북하수견적서" xfId="3034" xr:uid="{00000000-0005-0000-0000-00007E0F0000}"/>
    <cellStyle name="_적격(화산) _kn 구룡포~대보간 1_제1회설계변경내역서(11.15~)update" xfId="3035" xr:uid="{00000000-0005-0000-0000-00007F0F0000}"/>
    <cellStyle name="_적격(화산) _kn 구룡포~대보간 1_제2회기성내역서(1차+2차공사)" xfId="3036" xr:uid="{00000000-0005-0000-0000-0000800F0000}"/>
    <cellStyle name="_적격(화산) _kn 구룡포~대보간 1_제2회기성내역서(1차+2차공사)_병천하수 견적060412" xfId="3037" xr:uid="{00000000-0005-0000-0000-0000810F0000}"/>
    <cellStyle name="_적격(화산) _kn 구룡포~대보간 1_제2회기성내역서(1차+2차공사)_산북하수견적서" xfId="3038" xr:uid="{00000000-0005-0000-0000-0000820F0000}"/>
    <cellStyle name="_적격(화산) _kn 구룡포~대보간 1_제2회기성내역서(1차+2차공사)_제7회기성내역서(1차+2차공사)~ing" xfId="3039" xr:uid="{00000000-0005-0000-0000-0000830F0000}"/>
    <cellStyle name="_적격(화산) _kn 구룡포~대보간 1_제2회기성내역서(1차+2차공사)_제7회기성내역서(1차+2차공사)~ing_병천하수 견적060412" xfId="3040" xr:uid="{00000000-0005-0000-0000-0000840F0000}"/>
    <cellStyle name="_적격(화산) _kn 구룡포~대보간 1_제2회기성내역서(1차+2차공사)_제7회기성내역서(1차+2차공사)~ing_산북하수견적서" xfId="3041" xr:uid="{00000000-0005-0000-0000-0000850F0000}"/>
    <cellStyle name="_적격(화산) _kn 구룡포~대보간 1_제2회기성내역서(1차+2차공사)_제7회기성내역서(1차+2차공사)~ing_통일하수내역서" xfId="3042" xr:uid="{00000000-0005-0000-0000-0000860F0000}"/>
    <cellStyle name="_적격(화산) _kn 구룡포~대보간 1_제2회기성내역서(1차+2차공사)_통일하수내역서" xfId="3043" xr:uid="{00000000-0005-0000-0000-0000870F0000}"/>
    <cellStyle name="_적격(화산) _kn 구룡포~대보간 1_통일하수내역서" xfId="3044" xr:uid="{00000000-0005-0000-0000-0000880F0000}"/>
    <cellStyle name="_적격(화산) _ss 굴포천" xfId="3045" xr:uid="{00000000-0005-0000-0000-0000890F0000}"/>
    <cellStyle name="_적격(화산) _ss 굴포천_병천하수 견적060412" xfId="3046" xr:uid="{00000000-0005-0000-0000-00008A0F0000}"/>
    <cellStyle name="_적격(화산) _ss 굴포천_사본 - 기성내역서(대경엔텍)" xfId="3047" xr:uid="{00000000-0005-0000-0000-00008B0F0000}"/>
    <cellStyle name="_적격(화산) _ss 굴포천_사본 - 기성내역서(대경엔텍)_병천하수 견적060412" xfId="3048" xr:uid="{00000000-0005-0000-0000-00008C0F0000}"/>
    <cellStyle name="_적격(화산) _ss 굴포천_사본 - 기성내역서(대경엔텍)_산북하수견적서" xfId="3049" xr:uid="{00000000-0005-0000-0000-00008D0F0000}"/>
    <cellStyle name="_적격(화산) _ss 굴포천_사본 - 기성내역서(대경엔텍)_통일하수내역서" xfId="3050" xr:uid="{00000000-0005-0000-0000-00008E0F0000}"/>
    <cellStyle name="_적격(화산) _ss 굴포천_산북하수견적서" xfId="3051" xr:uid="{00000000-0005-0000-0000-00008F0F0000}"/>
    <cellStyle name="_적격(화산) _ss 굴포천_제1회설계변경내역서(11.15~)update" xfId="3052" xr:uid="{00000000-0005-0000-0000-0000900F0000}"/>
    <cellStyle name="_적격(화산) _ss 굴포천_제2회기성내역서(1차+2차공사)" xfId="3053" xr:uid="{00000000-0005-0000-0000-0000910F0000}"/>
    <cellStyle name="_적격(화산) _ss 굴포천_제2회기성내역서(1차+2차공사)_병천하수 견적060412" xfId="3054" xr:uid="{00000000-0005-0000-0000-0000920F0000}"/>
    <cellStyle name="_적격(화산) _ss 굴포천_제2회기성내역서(1차+2차공사)_산북하수견적서" xfId="3055" xr:uid="{00000000-0005-0000-0000-0000930F0000}"/>
    <cellStyle name="_적격(화산) _ss 굴포천_제2회기성내역서(1차+2차공사)_제7회기성내역서(1차+2차공사)~ing" xfId="3056" xr:uid="{00000000-0005-0000-0000-0000940F0000}"/>
    <cellStyle name="_적격(화산) _ss 굴포천_제2회기성내역서(1차+2차공사)_제7회기성내역서(1차+2차공사)~ing_병천하수 견적060412" xfId="3057" xr:uid="{00000000-0005-0000-0000-0000950F0000}"/>
    <cellStyle name="_적격(화산) _ss 굴포천_제2회기성내역서(1차+2차공사)_제7회기성내역서(1차+2차공사)~ing_산북하수견적서" xfId="3058" xr:uid="{00000000-0005-0000-0000-0000960F0000}"/>
    <cellStyle name="_적격(화산) _ss 굴포천_제2회기성내역서(1차+2차공사)_제7회기성내역서(1차+2차공사)~ing_통일하수내역서" xfId="3059" xr:uid="{00000000-0005-0000-0000-0000970F0000}"/>
    <cellStyle name="_적격(화산) _ss 굴포천_제2회기성내역서(1차+2차공사)_통일하수내역서" xfId="3060" xr:uid="{00000000-0005-0000-0000-0000980F0000}"/>
    <cellStyle name="_적격(화산) _ss 굴포천_통일하수내역서" xfId="3061" xr:uid="{00000000-0005-0000-0000-0000990F0000}"/>
    <cellStyle name="_적격(화산) _경기북부2차도급내역(분류체계)" xfId="777" xr:uid="{00000000-0005-0000-0000-00009A0F0000}"/>
    <cellStyle name="_적격(화산) _경기북부2차도급내역(분류체계)_12월 자금청구-창원반송" xfId="778" xr:uid="{00000000-0005-0000-0000-00009B0F0000}"/>
    <cellStyle name="_적격(화산) _경기북부2차도급내역(분류체계)_Book1" xfId="779" xr:uid="{00000000-0005-0000-0000-00009C0F0000}"/>
    <cellStyle name="_적격(화산) _도급내역서(1차계약분)" xfId="780" xr:uid="{00000000-0005-0000-0000-00009D0F0000}"/>
    <cellStyle name="_적격(화산) _도급내역서(1차계약분)_12월 자금청구-창원반송" xfId="781" xr:uid="{00000000-0005-0000-0000-00009E0F0000}"/>
    <cellStyle name="_적격(화산) _도급내역서(1차계약분)_Book1" xfId="782" xr:uid="{00000000-0005-0000-0000-00009F0F0000}"/>
    <cellStyle name="_적격(화산) _병천하수 견적060412" xfId="3062" xr:uid="{00000000-0005-0000-0000-0000A00F0000}"/>
    <cellStyle name="_적격(화산) _사본 - 기성내역서(대경엔텍)" xfId="3063" xr:uid="{00000000-0005-0000-0000-0000A10F0000}"/>
    <cellStyle name="_적격(화산) _사본 - 기성내역서(대경엔텍)_병천하수 견적060412" xfId="3064" xr:uid="{00000000-0005-0000-0000-0000A20F0000}"/>
    <cellStyle name="_적격(화산) _사본 - 기성내역서(대경엔텍)_산북하수견적서" xfId="3065" xr:uid="{00000000-0005-0000-0000-0000A30F0000}"/>
    <cellStyle name="_적격(화산) _사본 - 기성내역서(대경엔텍)_통일하수내역서" xfId="3066" xr:uid="{00000000-0005-0000-0000-0000A40F0000}"/>
    <cellStyle name="_적격(화산) _산북하수견적서" xfId="3067" xr:uid="{00000000-0005-0000-0000-0000A50F0000}"/>
    <cellStyle name="_적격(화산) _안동투찰" xfId="3068" xr:uid="{00000000-0005-0000-0000-0000A60F0000}"/>
    <cellStyle name="_적격(화산) _안동투찰_병천하수 견적060412" xfId="3069" xr:uid="{00000000-0005-0000-0000-0000A70F0000}"/>
    <cellStyle name="_적격(화산) _안동투찰_사본 - 기성내역서(대경엔텍)" xfId="3070" xr:uid="{00000000-0005-0000-0000-0000A80F0000}"/>
    <cellStyle name="_적격(화산) _안동투찰_사본 - 기성내역서(대경엔텍)_병천하수 견적060412" xfId="3071" xr:uid="{00000000-0005-0000-0000-0000A90F0000}"/>
    <cellStyle name="_적격(화산) _안동투찰_사본 - 기성내역서(대경엔텍)_산북하수견적서" xfId="3072" xr:uid="{00000000-0005-0000-0000-0000AA0F0000}"/>
    <cellStyle name="_적격(화산) _안동투찰_사본 - 기성내역서(대경엔텍)_통일하수내역서" xfId="3073" xr:uid="{00000000-0005-0000-0000-0000AB0F0000}"/>
    <cellStyle name="_적격(화산) _안동투찰_산북하수견적서" xfId="3074" xr:uid="{00000000-0005-0000-0000-0000AC0F0000}"/>
    <cellStyle name="_적격(화산) _안동투찰_제1회설계변경내역서(11.15~)update" xfId="3075" xr:uid="{00000000-0005-0000-0000-0000AD0F0000}"/>
    <cellStyle name="_적격(화산) _안동투찰_제2회기성내역서(1차+2차공사)" xfId="3076" xr:uid="{00000000-0005-0000-0000-0000AE0F0000}"/>
    <cellStyle name="_적격(화산) _안동투찰_제2회기성내역서(1차+2차공사)_병천하수 견적060412" xfId="3077" xr:uid="{00000000-0005-0000-0000-0000AF0F0000}"/>
    <cellStyle name="_적격(화산) _안동투찰_제2회기성내역서(1차+2차공사)_산북하수견적서" xfId="3078" xr:uid="{00000000-0005-0000-0000-0000B00F0000}"/>
    <cellStyle name="_적격(화산) _안동투찰_제2회기성내역서(1차+2차공사)_제7회기성내역서(1차+2차공사)~ing" xfId="3079" xr:uid="{00000000-0005-0000-0000-0000B10F0000}"/>
    <cellStyle name="_적격(화산) _안동투찰_제2회기성내역서(1차+2차공사)_제7회기성내역서(1차+2차공사)~ing_병천하수 견적060412" xfId="3080" xr:uid="{00000000-0005-0000-0000-0000B20F0000}"/>
    <cellStyle name="_적격(화산) _안동투찰_제2회기성내역서(1차+2차공사)_제7회기성내역서(1차+2차공사)~ing_산북하수견적서" xfId="3081" xr:uid="{00000000-0005-0000-0000-0000B30F0000}"/>
    <cellStyle name="_적격(화산) _안동투찰_제2회기성내역서(1차+2차공사)_제7회기성내역서(1차+2차공사)~ing_통일하수내역서" xfId="3082" xr:uid="{00000000-0005-0000-0000-0000B40F0000}"/>
    <cellStyle name="_적격(화산) _안동투찰_제2회기성내역서(1차+2차공사)_통일하수내역서" xfId="3083" xr:uid="{00000000-0005-0000-0000-0000B50F0000}"/>
    <cellStyle name="_적격(화산) _안동투찰_통일하수내역서" xfId="3084" xr:uid="{00000000-0005-0000-0000-0000B60F0000}"/>
    <cellStyle name="_적격(화산) _제1회설계변경내역서(11.15~)update" xfId="3085" xr:uid="{00000000-0005-0000-0000-0000B70F0000}"/>
    <cellStyle name="_적격(화산) _제2회기성내역서(1차+2차공사)" xfId="3086" xr:uid="{00000000-0005-0000-0000-0000B80F0000}"/>
    <cellStyle name="_적격(화산) _제2회기성내역서(1차+2차공사)_병천하수 견적060412" xfId="3087" xr:uid="{00000000-0005-0000-0000-0000B90F0000}"/>
    <cellStyle name="_적격(화산) _제2회기성내역서(1차+2차공사)_산북하수견적서" xfId="3088" xr:uid="{00000000-0005-0000-0000-0000BA0F0000}"/>
    <cellStyle name="_적격(화산) _제2회기성내역서(1차+2차공사)_제7회기성내역서(1차+2차공사)~ing" xfId="3089" xr:uid="{00000000-0005-0000-0000-0000BB0F0000}"/>
    <cellStyle name="_적격(화산) _제2회기성내역서(1차+2차공사)_제7회기성내역서(1차+2차공사)~ing_병천하수 견적060412" xfId="3090" xr:uid="{00000000-0005-0000-0000-0000BC0F0000}"/>
    <cellStyle name="_적격(화산) _제2회기성내역서(1차+2차공사)_제7회기성내역서(1차+2차공사)~ing_산북하수견적서" xfId="3091" xr:uid="{00000000-0005-0000-0000-0000BD0F0000}"/>
    <cellStyle name="_적격(화산) _제2회기성내역서(1차+2차공사)_제7회기성내역서(1차+2차공사)~ing_통일하수내역서" xfId="3092" xr:uid="{00000000-0005-0000-0000-0000BE0F0000}"/>
    <cellStyle name="_적격(화산) _제2회기성내역서(1차+2차공사)_통일하수내역서" xfId="3093" xr:uid="{00000000-0005-0000-0000-0000BF0F0000}"/>
    <cellStyle name="_적격(화산) _통리투찰" xfId="3094" xr:uid="{00000000-0005-0000-0000-0000C00F0000}"/>
    <cellStyle name="_적격(화산) _통리투찰_병천하수 견적060412" xfId="3095" xr:uid="{00000000-0005-0000-0000-0000C10F0000}"/>
    <cellStyle name="_적격(화산) _통리투찰_사본 - 기성내역서(대경엔텍)" xfId="3096" xr:uid="{00000000-0005-0000-0000-0000C20F0000}"/>
    <cellStyle name="_적격(화산) _통리투찰_사본 - 기성내역서(대경엔텍)_병천하수 견적060412" xfId="3097" xr:uid="{00000000-0005-0000-0000-0000C30F0000}"/>
    <cellStyle name="_적격(화산) _통리투찰_사본 - 기성내역서(대경엔텍)_산북하수견적서" xfId="3098" xr:uid="{00000000-0005-0000-0000-0000C40F0000}"/>
    <cellStyle name="_적격(화산) _통리투찰_사본 - 기성내역서(대경엔텍)_통일하수내역서" xfId="3099" xr:uid="{00000000-0005-0000-0000-0000C50F0000}"/>
    <cellStyle name="_적격(화산) _통리투찰_산북하수견적서" xfId="3100" xr:uid="{00000000-0005-0000-0000-0000C60F0000}"/>
    <cellStyle name="_적격(화산) _통리투찰_제1회설계변경내역서(11.15~)update" xfId="3101" xr:uid="{00000000-0005-0000-0000-0000C70F0000}"/>
    <cellStyle name="_적격(화산) _통리투찰_제2회기성내역서(1차+2차공사)" xfId="3102" xr:uid="{00000000-0005-0000-0000-0000C80F0000}"/>
    <cellStyle name="_적격(화산) _통리투찰_제2회기성내역서(1차+2차공사)_병천하수 견적060412" xfId="3103" xr:uid="{00000000-0005-0000-0000-0000C90F0000}"/>
    <cellStyle name="_적격(화산) _통리투찰_제2회기성내역서(1차+2차공사)_산북하수견적서" xfId="3104" xr:uid="{00000000-0005-0000-0000-0000CA0F0000}"/>
    <cellStyle name="_적격(화산) _통리투찰_제2회기성내역서(1차+2차공사)_제7회기성내역서(1차+2차공사)~ing" xfId="3105" xr:uid="{00000000-0005-0000-0000-0000CB0F0000}"/>
    <cellStyle name="_적격(화산) _통리투찰_제2회기성내역서(1차+2차공사)_제7회기성내역서(1차+2차공사)~ing_병천하수 견적060412" xfId="3106" xr:uid="{00000000-0005-0000-0000-0000CC0F0000}"/>
    <cellStyle name="_적격(화산) _통리투찰_제2회기성내역서(1차+2차공사)_제7회기성내역서(1차+2차공사)~ing_산북하수견적서" xfId="3107" xr:uid="{00000000-0005-0000-0000-0000CD0F0000}"/>
    <cellStyle name="_적격(화산) _통리투찰_제2회기성내역서(1차+2차공사)_제7회기성내역서(1차+2차공사)~ing_통일하수내역서" xfId="3108" xr:uid="{00000000-0005-0000-0000-0000CE0F0000}"/>
    <cellStyle name="_적격(화산) _통리투찰_제2회기성내역서(1차+2차공사)_통일하수내역서" xfId="3109" xr:uid="{00000000-0005-0000-0000-0000CF0F0000}"/>
    <cellStyle name="_적격(화산) _통리투찰_통일하수내역서" xfId="3110" xr:uid="{00000000-0005-0000-0000-0000D00F0000}"/>
    <cellStyle name="_적격(화산) _통일하수내역서" xfId="3111" xr:uid="{00000000-0005-0000-0000-0000D10F0000}"/>
    <cellStyle name="_전기공사 내역(근로복지공단)-88-051208" xfId="5536" xr:uid="{00000000-0005-0000-0000-0000D20F0000}"/>
    <cellStyle name="_전기공사 내역(근로복지공단)-88-051208 2" xfId="7658" xr:uid="{00000000-0005-0000-0000-0000D30F0000}"/>
    <cellStyle name="_전기-광양3단계(옥곡가압장)" xfId="783" xr:uid="{00000000-0005-0000-0000-0000D40F0000}"/>
    <cellStyle name="_전기내역서-광동댐" xfId="784" xr:uid="{00000000-0005-0000-0000-0000D50F0000}"/>
    <cellStyle name="_전기및계장-영천댐(03.9.8신설및철거나눔)" xfId="785" xr:uid="{00000000-0005-0000-0000-0000D60F0000}"/>
    <cellStyle name="_전기및계장-영천댐(03.9.8신설및철거나눔) (version 1)" xfId="786" xr:uid="{00000000-0005-0000-0000-0000D70F0000}"/>
    <cellStyle name="_전기및계장-영천댐취수능력(2003.4.8전기및계장)" xfId="787" xr:uid="{00000000-0005-0000-0000-0000D80F0000}"/>
    <cellStyle name="_전기방식" xfId="788" xr:uid="{00000000-0005-0000-0000-0000D90F0000}"/>
    <cellStyle name="_전기방식_수량산출서(2003.4.1)" xfId="789" xr:uid="{00000000-0005-0000-0000-0000DA0F0000}"/>
    <cellStyle name="_전기-영천댐취수능력(2003.2.10) (version 1)" xfId="790" xr:uid="{00000000-0005-0000-0000-0000DB0F0000}"/>
    <cellStyle name="_전기-영천댐취수능력(2003.2.10) (version 1)_수량산출서(2003.4.1)" xfId="791" xr:uid="{00000000-0005-0000-0000-0000DC0F0000}"/>
    <cellStyle name="_접근불능지역(최종)" xfId="5537" xr:uid="{00000000-0005-0000-0000-0000DD0F0000}"/>
    <cellStyle name="_접근불능지역(최종) 2" xfId="7659" xr:uid="{00000000-0005-0000-0000-0000DE0F0000}"/>
    <cellStyle name="_정사사진제작을위한수치지도제작(1000)" xfId="5538" xr:uid="{00000000-0005-0000-0000-0000DF0F0000}"/>
    <cellStyle name="_정사영상제작_소프트웨어" xfId="5539" xr:uid="{00000000-0005-0000-0000-0000E00F0000}"/>
    <cellStyle name="_정사영상제작_소프트웨어 2" xfId="7660" xr:uid="{00000000-0005-0000-0000-0000E10F0000}"/>
    <cellStyle name="_정왕호수공원 도시계획시설결정 및 공원조성계획 수립용역" xfId="1421" xr:uid="{00000000-0005-0000-0000-0000E20F0000}"/>
    <cellStyle name="_정왕호수공원 도시계획시설결정 및 공원조성계획 수립용역(사전재해)" xfId="5540" xr:uid="{00000000-0005-0000-0000-0000E30F0000}"/>
    <cellStyle name="_정읍수도서비스센터(최종수정)" xfId="792" xr:uid="{00000000-0005-0000-0000-0000E40F0000}"/>
    <cellStyle name="_정읍시내역서_최종" xfId="5541" xr:uid="{00000000-0005-0000-0000-0000E50F0000}"/>
    <cellStyle name="_정읍시내역서_최종 2" xfId="7661" xr:uid="{00000000-0005-0000-0000-0000E60F0000}"/>
    <cellStyle name="_제1보급창(총괄)" xfId="5542" xr:uid="{00000000-0005-0000-0000-0000E70F0000}"/>
    <cellStyle name="_제1보급창(총괄) 2" xfId="7662" xr:uid="{00000000-0005-0000-0000-0000E80F0000}"/>
    <cellStyle name="_제1보급창SW유지보수(총괄)" xfId="5543" xr:uid="{00000000-0005-0000-0000-0000E90F0000}"/>
    <cellStyle name="_제1보급창SW유지보수(총괄) 2" xfId="7663" xr:uid="{00000000-0005-0000-0000-0000EA0F0000}"/>
    <cellStyle name="_제목" xfId="5544" xr:uid="{00000000-0005-0000-0000-0000EB0F0000}"/>
    <cellStyle name="_제목_내역서" xfId="5545" xr:uid="{00000000-0005-0000-0000-0000EC0F0000}"/>
    <cellStyle name="_제안견적서" xfId="5546" xr:uid="{00000000-0005-0000-0000-0000ED0F0000}"/>
    <cellStyle name="_제안견적서 2" xfId="7664" xr:uid="{00000000-0005-0000-0000-0000EE0F0000}"/>
    <cellStyle name="_제주시_운용소프트웨어개발" xfId="5547" xr:uid="{00000000-0005-0000-0000-0000EF0F0000}"/>
    <cellStyle name="_조달청_계약내역(기성1차)" xfId="5548" xr:uid="{00000000-0005-0000-0000-0000F00F0000}"/>
    <cellStyle name="_조달청_계약내역(기성1차) 2" xfId="7665" xr:uid="{00000000-0005-0000-0000-0000F10F0000}"/>
    <cellStyle name="_조만강하천기본계획변경" xfId="5549" xr:uid="{00000000-0005-0000-0000-0000F20F0000}"/>
    <cellStyle name="_조만강하천기본계획변경 2" xfId="7666" xr:uid="{00000000-0005-0000-0000-0000F30F0000}"/>
    <cellStyle name="_종합통제보안 견적(선도_KTN_토공)_20060206" xfId="5550" xr:uid="{00000000-0005-0000-0000-0000F40F0000}"/>
    <cellStyle name="_종합통제보안 견적(선도_KTN_토공)_20060206 2" xfId="7667" xr:uid="{00000000-0005-0000-0000-0000F50F0000}"/>
    <cellStyle name="_주공_실행예산산출_040903_협상 (2)" xfId="6888" xr:uid="{00000000-0005-0000-0000-0000F60F0000}"/>
    <cellStyle name="_주공_실행예산산출_040903_협상 (2) 2" xfId="7668" xr:uid="{00000000-0005-0000-0000-0000F70F0000}"/>
    <cellStyle name="_주민복지센터건립기본및실시설계용역" xfId="5551" xr:uid="{00000000-0005-0000-0000-0000F80F0000}"/>
    <cellStyle name="_증평-도안면농어촌생활용수개발사업실시설계내역(1)" xfId="5552" xr:uid="{00000000-0005-0000-0000-0000F90F0000}"/>
    <cellStyle name="_지장천항측(수정,신규포함)" xfId="1422" xr:uid="{00000000-0005-0000-0000-0000FA0F0000}"/>
    <cellStyle name="_지정과제1분기실적(확정990408)" xfId="3112" xr:uid="{00000000-0005-0000-0000-0000FB0F0000}"/>
    <cellStyle name="_지정과제1분기실적(확정990408) 2" xfId="7669" xr:uid="{00000000-0005-0000-0000-0000FC0F0000}"/>
    <cellStyle name="_지정과제1분기실적(확정990408)_091110 안성천권역(중하류) 설계내역서" xfId="7670" xr:uid="{00000000-0005-0000-0000-0000FD0F0000}"/>
    <cellStyle name="_지정과제1분기실적(확정990408)_1" xfId="3113" xr:uid="{00000000-0005-0000-0000-0000FE0F0000}"/>
    <cellStyle name="_지정과제1분기실적(확정990408)_1 2" xfId="7671" xr:uid="{00000000-0005-0000-0000-0000FF0F0000}"/>
    <cellStyle name="_지정과제1분기실적(확정990408)_100120 안성천권역(중하류) 2차분내역서" xfId="6889" xr:uid="{00000000-0005-0000-0000-000000100000}"/>
    <cellStyle name="_지정과제1분기실적(확정990408)_100120 안성천권역(중하류) 2차분내역서 2" xfId="7672" xr:uid="{00000000-0005-0000-0000-000001100000}"/>
    <cellStyle name="_지정과제1분기실적(확정990408)_논산천 권역 하천기본계획 설계예산서" xfId="7673" xr:uid="{00000000-0005-0000-0000-000002100000}"/>
    <cellStyle name="_지정과제1분기실적(확정990408)_사본 - 황강중류권역 하천기본계획 예산서(황강 미포함)-2차분_ rev2" xfId="6890" xr:uid="{00000000-0005-0000-0000-000003100000}"/>
    <cellStyle name="_지정과제1분기실적(확정990408)_소양강 상류권역 하천기본계획(변경) 및 하천시설관리대장작성_Lidar측량" xfId="7674" xr:uid="{00000000-0005-0000-0000-000004100000}"/>
    <cellStyle name="_지정과제1분기실적(확정990408)_안양천 하천기본계획 예산서_보완중" xfId="7675" xr:uid="{00000000-0005-0000-0000-000005100000}"/>
    <cellStyle name="_지정과제1분기실적(확정990408)_안양천권역 하천기본계획 설계예산서" xfId="7676" xr:uid="{00000000-0005-0000-0000-000006100000}"/>
    <cellStyle name="_지정과제1분기실적(확정990408)_한강하류 하천기본계획 설계예산서(지형측량)" xfId="7677" xr:uid="{00000000-0005-0000-0000-000007100000}"/>
    <cellStyle name="_지정과제1분기실적(확정990408)_한강하류내역서2" xfId="7678" xr:uid="{00000000-0005-0000-0000-000008100000}"/>
    <cellStyle name="_지정과제1분기실적(확정990408)_한탄강 하천기본계획 예산서_최종2" xfId="7679" xr:uid="{00000000-0005-0000-0000-000009100000}"/>
    <cellStyle name="_지정과제1분기실적(확정990408)_한탄강권역 하천기본계획 설계예산서(지형측량)" xfId="7680" xr:uid="{00000000-0005-0000-0000-00000A100000}"/>
    <cellStyle name="_지정과제2차심의list" xfId="3114" xr:uid="{00000000-0005-0000-0000-00000B100000}"/>
    <cellStyle name="_지정과제2차심의list 2" xfId="7681" xr:uid="{00000000-0005-0000-0000-00000C100000}"/>
    <cellStyle name="_지정과제2차심의list_1" xfId="3115" xr:uid="{00000000-0005-0000-0000-00000D100000}"/>
    <cellStyle name="_지정과제2차심의list_1 2" xfId="7682" xr:uid="{00000000-0005-0000-0000-00000E100000}"/>
    <cellStyle name="_지정과제2차심의list_2" xfId="3116" xr:uid="{00000000-0005-0000-0000-00000F100000}"/>
    <cellStyle name="_지정과제2차심의list_2 2" xfId="7683" xr:uid="{00000000-0005-0000-0000-000010100000}"/>
    <cellStyle name="_지정과제2차심의list_2_091110 안성천권역(중하류) 설계내역서" xfId="7684" xr:uid="{00000000-0005-0000-0000-000011100000}"/>
    <cellStyle name="_지정과제2차심의list_2_100120 안성천권역(중하류) 2차분내역서" xfId="6891" xr:uid="{00000000-0005-0000-0000-000012100000}"/>
    <cellStyle name="_지정과제2차심의list_2_100120 안성천권역(중하류) 2차분내역서 2" xfId="7685" xr:uid="{00000000-0005-0000-0000-000013100000}"/>
    <cellStyle name="_지정과제2차심의list_2_논산천 권역 하천기본계획 설계예산서" xfId="7686" xr:uid="{00000000-0005-0000-0000-000014100000}"/>
    <cellStyle name="_지정과제2차심의list_2_사본 - 황강중류권역 하천기본계획 예산서(황강 미포함)-2차분_ rev2" xfId="6892" xr:uid="{00000000-0005-0000-0000-000015100000}"/>
    <cellStyle name="_지정과제2차심의list_2_소양강 상류권역 하천기본계획(변경) 및 하천시설관리대장작성_Lidar측량" xfId="7687" xr:uid="{00000000-0005-0000-0000-000016100000}"/>
    <cellStyle name="_지정과제2차심의list_2_안양천 하천기본계획 예산서_보완중" xfId="7688" xr:uid="{00000000-0005-0000-0000-000017100000}"/>
    <cellStyle name="_지정과제2차심의list_2_안양천권역 하천기본계획 설계예산서" xfId="7689" xr:uid="{00000000-0005-0000-0000-000018100000}"/>
    <cellStyle name="_지정과제2차심의list_2_한강하류 하천기본계획 설계예산서(지형측량)" xfId="7690" xr:uid="{00000000-0005-0000-0000-000019100000}"/>
    <cellStyle name="_지정과제2차심의list_2_한강하류내역서2" xfId="7691" xr:uid="{00000000-0005-0000-0000-00001A100000}"/>
    <cellStyle name="_지정과제2차심의list_2_한탄강 하천기본계획 예산서_최종2" xfId="7692" xr:uid="{00000000-0005-0000-0000-00001B100000}"/>
    <cellStyle name="_지정과제2차심의list_2_한탄강권역 하천기본계획 설계예산서(지형측량)" xfId="7693" xr:uid="{00000000-0005-0000-0000-00001C100000}"/>
    <cellStyle name="_지정과제2차심의결과" xfId="3117" xr:uid="{00000000-0005-0000-0000-00001D100000}"/>
    <cellStyle name="_지정과제2차심의결과 2" xfId="7694" xr:uid="{00000000-0005-0000-0000-00001E100000}"/>
    <cellStyle name="_지정과제2차심의결과(금액조정후최종)" xfId="3118" xr:uid="{00000000-0005-0000-0000-00001F100000}"/>
    <cellStyle name="_지정과제2차심의결과(금액조정후최종) 2" xfId="7695" xr:uid="{00000000-0005-0000-0000-000020100000}"/>
    <cellStyle name="_지정과제2차심의결과(금액조정후최종)_091110 안성천권역(중하류) 설계내역서" xfId="7696" xr:uid="{00000000-0005-0000-0000-000021100000}"/>
    <cellStyle name="_지정과제2차심의결과(금액조정후최종)_1" xfId="3119" xr:uid="{00000000-0005-0000-0000-000022100000}"/>
    <cellStyle name="_지정과제2차심의결과(금액조정후최종)_1 2" xfId="7697" xr:uid="{00000000-0005-0000-0000-000023100000}"/>
    <cellStyle name="_지정과제2차심의결과(금액조정후최종)_1_dimon" xfId="3120" xr:uid="{00000000-0005-0000-0000-000024100000}"/>
    <cellStyle name="_지정과제2차심의결과(금액조정후최종)_1_dimon 2" xfId="7698" xr:uid="{00000000-0005-0000-0000-000025100000}"/>
    <cellStyle name="_지정과제2차심의결과(금액조정후최종)_1_경영개선실적보고(전주공장)" xfId="3121" xr:uid="{00000000-0005-0000-0000-000026100000}"/>
    <cellStyle name="_지정과제2차심의결과(금액조정후최종)_1_경영개선실적보고(전주공장) 2" xfId="7699" xr:uid="{00000000-0005-0000-0000-000027100000}"/>
    <cellStyle name="_지정과제2차심의결과(금액조정후최종)_1_별첨1_2" xfId="3122" xr:uid="{00000000-0005-0000-0000-000028100000}"/>
    <cellStyle name="_지정과제2차심의결과(금액조정후최종)_1_별첨1_2 2" xfId="7700" xr:uid="{00000000-0005-0000-0000-000029100000}"/>
    <cellStyle name="_지정과제2차심의결과(금액조정후최종)_1_별첨1_2_091110 안성천권역(중하류) 설계내역서" xfId="7701" xr:uid="{00000000-0005-0000-0000-00002A100000}"/>
    <cellStyle name="_지정과제2차심의결과(금액조정후최종)_1_별첨1_2_100120 안성천권역(중하류) 2차분내역서" xfId="6893" xr:uid="{00000000-0005-0000-0000-00002B100000}"/>
    <cellStyle name="_지정과제2차심의결과(금액조정후최종)_1_별첨1_2_100120 안성천권역(중하류) 2차분내역서 2" xfId="7702" xr:uid="{00000000-0005-0000-0000-00002C100000}"/>
    <cellStyle name="_지정과제2차심의결과(금액조정후최종)_1_별첨1_2_논산천 권역 하천기본계획 설계예산서" xfId="7703" xr:uid="{00000000-0005-0000-0000-00002D100000}"/>
    <cellStyle name="_지정과제2차심의결과(금액조정후최종)_1_별첨1_2_사본 - 황강중류권역 하천기본계획 예산서(황강 미포함)-2차분_ rev2" xfId="6894" xr:uid="{00000000-0005-0000-0000-00002E100000}"/>
    <cellStyle name="_지정과제2차심의결과(금액조정후최종)_1_별첨1_2_소양강 상류권역 하천기본계획(변경) 및 하천시설관리대장작성_Lidar측량" xfId="7704" xr:uid="{00000000-0005-0000-0000-00002F100000}"/>
    <cellStyle name="_지정과제2차심의결과(금액조정후최종)_1_별첨1_2_안양천 하천기본계획 예산서_보완중" xfId="7705" xr:uid="{00000000-0005-0000-0000-000030100000}"/>
    <cellStyle name="_지정과제2차심의결과(금액조정후최종)_1_별첨1_2_안양천권역 하천기본계획 설계예산서" xfId="7706" xr:uid="{00000000-0005-0000-0000-000031100000}"/>
    <cellStyle name="_지정과제2차심의결과(금액조정후최종)_1_별첨1_2_한강하류 하천기본계획 설계예산서(지형측량)" xfId="7707" xr:uid="{00000000-0005-0000-0000-000032100000}"/>
    <cellStyle name="_지정과제2차심의결과(금액조정후최종)_1_별첨1_2_한강하류내역서2" xfId="7708" xr:uid="{00000000-0005-0000-0000-000033100000}"/>
    <cellStyle name="_지정과제2차심의결과(금액조정후최종)_1_별첨1_2_한탄강 하천기본계획 예산서_최종2" xfId="7709" xr:uid="{00000000-0005-0000-0000-000034100000}"/>
    <cellStyle name="_지정과제2차심의결과(금액조정후최종)_1_별첨1_2_한탄강권역 하천기본계획 설계예산서(지형측량)" xfId="7710" xr:uid="{00000000-0005-0000-0000-000035100000}"/>
    <cellStyle name="_지정과제2차심의결과(금액조정후최종)_1_제안과제집계표(공장전체)" xfId="3123" xr:uid="{00000000-0005-0000-0000-000036100000}"/>
    <cellStyle name="_지정과제2차심의결과(금액조정후최종)_1_제안과제집계표(공장전체) 2" xfId="7711" xr:uid="{00000000-0005-0000-0000-000037100000}"/>
    <cellStyle name="_지정과제2차심의결과(금액조정후최종)_100120 안성천권역(중하류) 2차분내역서" xfId="6895" xr:uid="{00000000-0005-0000-0000-000038100000}"/>
    <cellStyle name="_지정과제2차심의결과(금액조정후최종)_100120 안성천권역(중하류) 2차분내역서 2" xfId="7712" xr:uid="{00000000-0005-0000-0000-000039100000}"/>
    <cellStyle name="_지정과제2차심의결과(금액조정후최종)_dimon" xfId="3124" xr:uid="{00000000-0005-0000-0000-00003A100000}"/>
    <cellStyle name="_지정과제2차심의결과(금액조정후최종)_dimon 2" xfId="7713" xr:uid="{00000000-0005-0000-0000-00003B100000}"/>
    <cellStyle name="_지정과제2차심의결과(금액조정후최종)_경영개선실적보고(전주공장)" xfId="3125" xr:uid="{00000000-0005-0000-0000-00003C100000}"/>
    <cellStyle name="_지정과제2차심의결과(금액조정후최종)_경영개선실적보고(전주공장) 2" xfId="7714" xr:uid="{00000000-0005-0000-0000-00003D100000}"/>
    <cellStyle name="_지정과제2차심의결과(금액조정후최종)_경영개선실적보고(전주공장)_091110 안성천권역(중하류) 설계내역서" xfId="7715" xr:uid="{00000000-0005-0000-0000-00003E100000}"/>
    <cellStyle name="_지정과제2차심의결과(금액조정후최종)_경영개선실적보고(전주공장)_100120 안성천권역(중하류) 2차분내역서" xfId="6896" xr:uid="{00000000-0005-0000-0000-00003F100000}"/>
    <cellStyle name="_지정과제2차심의결과(금액조정후최종)_경영개선실적보고(전주공장)_100120 안성천권역(중하류) 2차분내역서 2" xfId="7716" xr:uid="{00000000-0005-0000-0000-000040100000}"/>
    <cellStyle name="_지정과제2차심의결과(금액조정후최종)_경영개선실적보고(전주공장)_논산천 권역 하천기본계획 설계예산서" xfId="7717" xr:uid="{00000000-0005-0000-0000-000041100000}"/>
    <cellStyle name="_지정과제2차심의결과(금액조정후최종)_경영개선실적보고(전주공장)_사본 - 황강중류권역 하천기본계획 예산서(황강 미포함)-2차분_ rev2" xfId="6897" xr:uid="{00000000-0005-0000-0000-000042100000}"/>
    <cellStyle name="_지정과제2차심의결과(금액조정후최종)_경영개선실적보고(전주공장)_소양강 상류권역 하천기본계획(변경) 및 하천시설관리대장작성_Lidar측량" xfId="7718" xr:uid="{00000000-0005-0000-0000-000043100000}"/>
    <cellStyle name="_지정과제2차심의결과(금액조정후최종)_경영개선실적보고(전주공장)_안양천 하천기본계획 예산서_보완중" xfId="7719" xr:uid="{00000000-0005-0000-0000-000044100000}"/>
    <cellStyle name="_지정과제2차심의결과(금액조정후최종)_경영개선실적보고(전주공장)_안양천권역 하천기본계획 설계예산서" xfId="7720" xr:uid="{00000000-0005-0000-0000-000045100000}"/>
    <cellStyle name="_지정과제2차심의결과(금액조정후최종)_경영개선실적보고(전주공장)_한강하류 하천기본계획 설계예산서(지형측량)" xfId="7721" xr:uid="{00000000-0005-0000-0000-000046100000}"/>
    <cellStyle name="_지정과제2차심의결과(금액조정후최종)_경영개선실적보고(전주공장)_한강하류내역서2" xfId="7722" xr:uid="{00000000-0005-0000-0000-000047100000}"/>
    <cellStyle name="_지정과제2차심의결과(금액조정후최종)_경영개선실적보고(전주공장)_한탄강 하천기본계획 예산서_최종2" xfId="7723" xr:uid="{00000000-0005-0000-0000-000048100000}"/>
    <cellStyle name="_지정과제2차심의결과(금액조정후최종)_경영개선실적보고(전주공장)_한탄강권역 하천기본계획 설계예산서(지형측량)" xfId="7724" xr:uid="{00000000-0005-0000-0000-000049100000}"/>
    <cellStyle name="_지정과제2차심의결과(금액조정후최종)_논산천 권역 하천기본계획 설계예산서" xfId="7725" xr:uid="{00000000-0005-0000-0000-00004A100000}"/>
    <cellStyle name="_지정과제2차심의결과(금액조정후최종)_별첨1_2" xfId="3126" xr:uid="{00000000-0005-0000-0000-00004B100000}"/>
    <cellStyle name="_지정과제2차심의결과(금액조정후최종)_별첨1_2 2" xfId="7726" xr:uid="{00000000-0005-0000-0000-00004C100000}"/>
    <cellStyle name="_지정과제2차심의결과(금액조정후최종)_사본 - 황강중류권역 하천기본계획 예산서(황강 미포함)-2차분_ rev2" xfId="6898" xr:uid="{00000000-0005-0000-0000-00004D100000}"/>
    <cellStyle name="_지정과제2차심의결과(금액조정후최종)_소양강 상류권역 하천기본계획(변경) 및 하천시설관리대장작성_Lidar측량" xfId="7727" xr:uid="{00000000-0005-0000-0000-00004E100000}"/>
    <cellStyle name="_지정과제2차심의결과(금액조정후최종)_안양천 하천기본계획 예산서_보완중" xfId="7728" xr:uid="{00000000-0005-0000-0000-00004F100000}"/>
    <cellStyle name="_지정과제2차심의결과(금액조정후최종)_안양천권역 하천기본계획 설계예산서" xfId="7729" xr:uid="{00000000-0005-0000-0000-000050100000}"/>
    <cellStyle name="_지정과제2차심의결과(금액조정후최종)_제안과제집계표(공장전체)" xfId="3127" xr:uid="{00000000-0005-0000-0000-000051100000}"/>
    <cellStyle name="_지정과제2차심의결과(금액조정후최종)_제안과제집계표(공장전체) 2" xfId="7730" xr:uid="{00000000-0005-0000-0000-000052100000}"/>
    <cellStyle name="_지정과제2차심의결과(금액조정후최종)_제안과제집계표(공장전체)_091110 안성천권역(중하류) 설계내역서" xfId="7731" xr:uid="{00000000-0005-0000-0000-000053100000}"/>
    <cellStyle name="_지정과제2차심의결과(금액조정후최종)_제안과제집계표(공장전체)_100120 안성천권역(중하류) 2차분내역서" xfId="6899" xr:uid="{00000000-0005-0000-0000-000054100000}"/>
    <cellStyle name="_지정과제2차심의결과(금액조정후최종)_제안과제집계표(공장전체)_100120 안성천권역(중하류) 2차분내역서 2" xfId="7732" xr:uid="{00000000-0005-0000-0000-000055100000}"/>
    <cellStyle name="_지정과제2차심의결과(금액조정후최종)_제안과제집계표(공장전체)_논산천 권역 하천기본계획 설계예산서" xfId="7733" xr:uid="{00000000-0005-0000-0000-000056100000}"/>
    <cellStyle name="_지정과제2차심의결과(금액조정후최종)_제안과제집계표(공장전체)_사본 - 황강중류권역 하천기본계획 예산서(황강 미포함)-2차분_ rev2" xfId="6900" xr:uid="{00000000-0005-0000-0000-000057100000}"/>
    <cellStyle name="_지정과제2차심의결과(금액조정후최종)_제안과제집계표(공장전체)_소양강 상류권역 하천기본계획(변경) 및 하천시설관리대장작성_Lidar측량" xfId="7734" xr:uid="{00000000-0005-0000-0000-000058100000}"/>
    <cellStyle name="_지정과제2차심의결과(금액조정후최종)_제안과제집계표(공장전체)_안양천 하천기본계획 예산서_보완중" xfId="7735" xr:uid="{00000000-0005-0000-0000-000059100000}"/>
    <cellStyle name="_지정과제2차심의결과(금액조정후최종)_제안과제집계표(공장전체)_안양천권역 하천기본계획 설계예산서" xfId="7736" xr:uid="{00000000-0005-0000-0000-00005A100000}"/>
    <cellStyle name="_지정과제2차심의결과(금액조정후최종)_제안과제집계표(공장전체)_한강하류 하천기본계획 설계예산서(지형측량)" xfId="7737" xr:uid="{00000000-0005-0000-0000-00005B100000}"/>
    <cellStyle name="_지정과제2차심의결과(금액조정후최종)_제안과제집계표(공장전체)_한강하류내역서2" xfId="7738" xr:uid="{00000000-0005-0000-0000-00005C100000}"/>
    <cellStyle name="_지정과제2차심의결과(금액조정후최종)_제안과제집계표(공장전체)_한탄강 하천기본계획 예산서_최종2" xfId="7739" xr:uid="{00000000-0005-0000-0000-00005D100000}"/>
    <cellStyle name="_지정과제2차심의결과(금액조정후최종)_제안과제집계표(공장전체)_한탄강권역 하천기본계획 설계예산서(지형측량)" xfId="7740" xr:uid="{00000000-0005-0000-0000-00005E100000}"/>
    <cellStyle name="_지정과제2차심의결과(금액조정후최종)_한강하류 하천기본계획 설계예산서(지형측량)" xfId="7741" xr:uid="{00000000-0005-0000-0000-00005F100000}"/>
    <cellStyle name="_지정과제2차심의결과(금액조정후최종)_한강하류내역서2" xfId="7742" xr:uid="{00000000-0005-0000-0000-000060100000}"/>
    <cellStyle name="_지정과제2차심의결과(금액조정후최종)_한탄강 하천기본계획 예산서_최종2" xfId="7743" xr:uid="{00000000-0005-0000-0000-000061100000}"/>
    <cellStyle name="_지정과제2차심의결과(금액조정후최종)_한탄강권역 하천기본계획 설계예산서(지형측량)" xfId="7744" xr:uid="{00000000-0005-0000-0000-000062100000}"/>
    <cellStyle name="_지정과제2차심의결과_091110 안성천권역(중하류) 설계내역서" xfId="7745" xr:uid="{00000000-0005-0000-0000-000063100000}"/>
    <cellStyle name="_지정과제2차심의결과_1" xfId="3128" xr:uid="{00000000-0005-0000-0000-000064100000}"/>
    <cellStyle name="_지정과제2차심의결과_1 2" xfId="7746" xr:uid="{00000000-0005-0000-0000-000065100000}"/>
    <cellStyle name="_지정과제2차심의결과_100120 안성천권역(중하류) 2차분내역서" xfId="6901" xr:uid="{00000000-0005-0000-0000-000066100000}"/>
    <cellStyle name="_지정과제2차심의결과_100120 안성천권역(중하류) 2차분내역서 2" xfId="7747" xr:uid="{00000000-0005-0000-0000-000067100000}"/>
    <cellStyle name="_지정과제2차심의결과_논산천 권역 하천기본계획 설계예산서" xfId="7748" xr:uid="{00000000-0005-0000-0000-000068100000}"/>
    <cellStyle name="_지정과제2차심의결과_사본 - 황강중류권역 하천기본계획 예산서(황강 미포함)-2차분_ rev2" xfId="6902" xr:uid="{00000000-0005-0000-0000-000069100000}"/>
    <cellStyle name="_지정과제2차심의결과_소양강 상류권역 하천기본계획(변경) 및 하천시설관리대장작성_Lidar측량" xfId="7749" xr:uid="{00000000-0005-0000-0000-00006A100000}"/>
    <cellStyle name="_지정과제2차심의결과_안양천 하천기본계획 예산서_보완중" xfId="7750" xr:uid="{00000000-0005-0000-0000-00006B100000}"/>
    <cellStyle name="_지정과제2차심의결과_안양천권역 하천기본계획 설계예산서" xfId="7751" xr:uid="{00000000-0005-0000-0000-00006C100000}"/>
    <cellStyle name="_지정과제2차심의결과_한강하류 하천기본계획 설계예산서(지형측량)" xfId="7752" xr:uid="{00000000-0005-0000-0000-00006D100000}"/>
    <cellStyle name="_지정과제2차심의결과_한강하류내역서2" xfId="7753" xr:uid="{00000000-0005-0000-0000-00006E100000}"/>
    <cellStyle name="_지정과제2차심의결과_한탄강 하천기본계획 예산서_최종2" xfId="7754" xr:uid="{00000000-0005-0000-0000-00006F100000}"/>
    <cellStyle name="_지정과제2차심의결과_한탄강권역 하천기본계획 설계예산서(지형측량)" xfId="7755" xr:uid="{00000000-0005-0000-0000-000070100000}"/>
    <cellStyle name="_지질조사비(본댐좌우안)-2" xfId="5553" xr:uid="{00000000-0005-0000-0000-000071100000}"/>
    <cellStyle name="_지질조사비(본댐좌우안)-2 2" xfId="7756" xr:uid="{00000000-0005-0000-0000-000072100000}"/>
    <cellStyle name="_지하시설물(도로77㎞)측량설계10.31(최종)2급 15개" xfId="5554" xr:uid="{00000000-0005-0000-0000-000073100000}"/>
    <cellStyle name="_지하시설물(도로77㎞)측량설계10.31(최종)2급 15개 2" xfId="7757" xr:uid="{00000000-0005-0000-0000-000074100000}"/>
    <cellStyle name="_지하시설물_시스템_설계내역서" xfId="5555" xr:uid="{00000000-0005-0000-0000-000075100000}"/>
    <cellStyle name="_지하시설물_시스템_설계내역서 2" xfId="7758" xr:uid="{00000000-0005-0000-0000-000076100000}"/>
    <cellStyle name="_지하시설물관리현장지원시스템구축 산출내역서_1.0" xfId="5556" xr:uid="{00000000-0005-0000-0000-000077100000}"/>
    <cellStyle name="_지하시설물관리현장지원시스템구축 산출내역서_1.0 2" xfId="7759" xr:uid="{00000000-0005-0000-0000-000078100000}"/>
    <cellStyle name="_지하시설물구축총괄분" xfId="6903" xr:uid="{00000000-0005-0000-0000-000079100000}"/>
    <cellStyle name="_지하시설물구축총괄분 2" xfId="7760" xr:uid="{00000000-0005-0000-0000-00007A100000}"/>
    <cellStyle name="_지하시설물통합관리설계내역서_1.0" xfId="5557" xr:uid="{00000000-0005-0000-0000-00007B100000}"/>
    <cellStyle name="_지하시설물통합관리설계내역서_1.0 2" xfId="7761" xr:uid="{00000000-0005-0000-0000-00007C100000}"/>
    <cellStyle name="_지하시설물통합및굴착복구관리 설계내역서_1.1" xfId="5558" xr:uid="{00000000-0005-0000-0000-00007D100000}"/>
    <cellStyle name="_지하시설물통합및굴착복구관리 설계내역서_1.1 2" xfId="7762" xr:uid="{00000000-0005-0000-0000-00007E100000}"/>
    <cellStyle name="_지하통합 보완개발 예상비용_v1" xfId="6904" xr:uid="{00000000-0005-0000-0000-00007F100000}"/>
    <cellStyle name="_지하통합 보완개발 예상비용_v1 2" xfId="7763" xr:uid="{00000000-0005-0000-0000-000080100000}"/>
    <cellStyle name="_지형측량" xfId="5559" xr:uid="{00000000-0005-0000-0000-000081100000}"/>
    <cellStyle name="_지형현황측량(238120)" xfId="1423" xr:uid="{00000000-0005-0000-0000-000082100000}"/>
    <cellStyle name="_진벌천 하천기본계획 내역서_52" xfId="5560" xr:uid="{00000000-0005-0000-0000-000083100000}"/>
    <cellStyle name="_진안군폐기물처리시설" xfId="7764" xr:uid="{00000000-0005-0000-0000-000084100000}"/>
    <cellStyle name="_진안용담댐인근타당성검토" xfId="7765" xr:uid="{00000000-0005-0000-0000-000085100000}"/>
    <cellStyle name="_진천관말 이토변설치설계" xfId="5561" xr:uid="{00000000-0005-0000-0000-000086100000}"/>
    <cellStyle name="_진천관말 이토변설치설계 2" xfId="7766" xr:uid="{00000000-0005-0000-0000-000087100000}"/>
    <cellStyle name="_진천관말 이토변설치설계_댐직하류 하천정비(환경)사업 기본계획 및 실시설계용역-수공용" xfId="5562" xr:uid="{00000000-0005-0000-0000-000088100000}"/>
    <cellStyle name="_진천관말 이토변설치설계_댐직하류 하천정비(환경)사업 기본계획 및 실시설계용역-수공용 2" xfId="7767" xr:uid="{00000000-0005-0000-0000-000089100000}"/>
    <cellStyle name="_진천관말 이토변설치설계_댐직하류 하천정비(환경)사업 기본계획 및 실시설계용역-수공용_용담댐직하류 하천정비공사 설계예산서(남원작성)-" xfId="5563" xr:uid="{00000000-0005-0000-0000-00008A100000}"/>
    <cellStyle name="_진천관말 이토변설치설계_댐직하류 하천정비(환경)사업 기본계획 및 실시설계용역-수공용_용담댐직하류 하천정비공사 설계예산서(남원작성)- 2" xfId="7768" xr:uid="{00000000-0005-0000-0000-00008B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" xfId="5564" xr:uid="{00000000-0005-0000-0000-00008C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1) 신천금호강 종합개발 기본설계" xfId="5565" xr:uid="{00000000-0005-0000-0000-00008D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5566" xr:uid="{00000000-0005-0000-0000-00008E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5567" xr:uid="{00000000-0005-0000-0000-00008F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신천-금호강)" xfId="5568" xr:uid="{00000000-0005-0000-0000-000090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5569" xr:uid="{00000000-0005-0000-0000-000091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5570" xr:uid="{00000000-0005-0000-0000-000092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전체)" xfId="5571" xr:uid="{00000000-0005-0000-0000-000093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5572" xr:uid="{00000000-0005-0000-0000-000094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5573" xr:uid="{00000000-0005-0000-0000-000095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5574" xr:uid="{00000000-0005-0000-0000-000096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5575" xr:uid="{00000000-0005-0000-0000-000097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심사내역서" xfId="5576" xr:uid="{00000000-0005-0000-0000-000098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769" xr:uid="{00000000-0005-0000-0000-000099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욱수천 하천재해예방사업 내역서" xfId="5577" xr:uid="{00000000-0005-0000-0000-00009A100000}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5578" xr:uid="{00000000-0005-0000-0000-00009B100000}"/>
    <cellStyle name="_진천관말 이토변설치설계_댐직하류 하천정비(환경)사업 기본계획 및 실시설계용역-수공용_용담댐직하류 하천정비공사 설계예산서(남원작성)-_욱수천 하천재해예방사업 내역서" xfId="5579" xr:uid="{00000000-0005-0000-0000-00009C100000}"/>
    <cellStyle name="_진천관말 이토변설치설계_댐직하류 하천정비(환경)사업 기본계획 및 실시설계용역-수공용_용담댐직하류 하천정비공사 설계예산서(남원작성)-_욱수천 하천재해예방사업 내역서_002 욱수천정비공사실시설계 내역서_090113" xfId="5580" xr:uid="{00000000-0005-0000-0000-00009D100000}"/>
    <cellStyle name="_진천관말 이토변설치설계_댐직하류 하천정비(환경)사업 기본계획 및 실시설계용역-수공용_용담댐하류하천환경정비사업설계예산서(건희)" xfId="5581" xr:uid="{00000000-0005-0000-0000-00009E100000}"/>
    <cellStyle name="_진천관말 이토변설치설계_댐직하류 하천정비(환경)사업 기본계획 및 실시설계용역-수공용_용담댐하류하천환경정비사업설계예산서(건희)_1) 신천금호강 종합개발 기본설계" xfId="5582" xr:uid="{00000000-0005-0000-0000-00009F100000}"/>
    <cellStyle name="_진천관말 이토변설치설계_댐직하류 하천정비(환경)사업 기본계획 및 실시설계용역-수공용_용담댐하류하천환경정비사업설계예산서(건희)_2) 신천금호강 종합개발 동영상제작(변경최종)" xfId="5583" xr:uid="{00000000-0005-0000-0000-0000A0100000}"/>
    <cellStyle name="_진천관말 이토변설치설계_댐직하류 하천정비(환경)사업 기본계획 및 실시설계용역-수공용_용담댐하류하천환경정비사업설계예산서(건희)_3) 신천금호강 종합개발 산책로 실시설계(변경최종)" xfId="5584" xr:uid="{00000000-0005-0000-0000-0000A1100000}"/>
    <cellStyle name="_진천관말 이토변설치설계_댐직하류 하천정비(환경)사업 기본계획 및 실시설계용역-수공용_용담댐하류하천환경정비사업설계예산서(건희)_설계내역서(신천-금호강)" xfId="5585" xr:uid="{00000000-0005-0000-0000-0000A2100000}"/>
    <cellStyle name="_진천관말 이토변설치설계_댐직하류 하천정비(환경)사업 기본계획 및 실시설계용역-수공용_용담댐하류하천환경정비사업설계예산서(건희)_설계내역서(신천-금호강)_욱수천 하천재해예방사업 내역서" xfId="5586" xr:uid="{00000000-0005-0000-0000-0000A3100000}"/>
    <cellStyle name="_진천관말 이토변설치설계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5587" xr:uid="{00000000-0005-0000-0000-0000A4100000}"/>
    <cellStyle name="_진천관말 이토변설치설계_댐직하류 하천정비(환경)사업 기본계획 및 실시설계용역-수공용_용담댐하류하천환경정비사업설계예산서(건희)_설계내역서(전체)" xfId="5588" xr:uid="{00000000-0005-0000-0000-0000A5100000}"/>
    <cellStyle name="_진천관말 이토변설치설계_댐직하류 하천정비(환경)사업 기본계획 및 실시설계용역-수공용_용담댐하류하천환경정비사업설계예산서(건희)_설계내역서(전체)_욱수천 하천재해예방사업 내역서" xfId="5589" xr:uid="{00000000-0005-0000-0000-0000A6100000}"/>
    <cellStyle name="_진천관말 이토변설치설계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5590" xr:uid="{00000000-0005-0000-0000-0000A7100000}"/>
    <cellStyle name="_진천관말 이토변설치설계_댐직하류 하천정비(환경)사업 기본계획 및 실시설계용역-수공용_용담댐하류하천환경정비사업설계예산서(건희)_신천금호강 종합개발 기본설계  내역서(수정분)" xfId="5591" xr:uid="{00000000-0005-0000-0000-0000A8100000}"/>
    <cellStyle name="_진천관말 이토변설치설계_댐직하류 하천정비(환경)사업 기본계획 및 실시설계용역-수공용_용담댐하류하천환경정비사업설계예산서(건희)_신천금호강내역서(수정-보오링,사전재해및환경성제외,측량연장조정9(1).95억0726)" xfId="5592" xr:uid="{00000000-0005-0000-0000-0000A9100000}"/>
    <cellStyle name="_진천관말 이토변설치설계_댐직하류 하천정비(환경)사업 기본계획 및 실시설계용역-수공용_용담댐하류하천환경정비사업설계예산서(건희)_심사내역서" xfId="5593" xr:uid="{00000000-0005-0000-0000-0000AA100000}"/>
    <cellStyle name="_진천관말 이토변설치설계_댐직하류 하천정비(환경)사업 기본계획 및 실시설계용역-수공용_용담댐하류하천환경정비사업설계예산서(건희)_용담댐하류하천환경정비사업설계예산서(건희)" xfId="7770" xr:uid="{00000000-0005-0000-0000-0000AB100000}"/>
    <cellStyle name="_진천관말 이토변설치설계_댐직하류 하천정비(환경)사업 기본계획 및 실시설계용역-수공용_용담댐하류하천환경정비사업설계예산서(건희)_욱수천 하천재해예방사업 내역서" xfId="5594" xr:uid="{00000000-0005-0000-0000-0000AC100000}"/>
    <cellStyle name="_진천관말 이토변설치설계_댐직하류 하천정비(환경)사업 기본계획 및 실시설계용역-수공용_용담댐하류하천환경정비사업설계예산서(건희)_욱수천 하천재해예방사업 내역서_002 욱수천정비공사실시설계 내역서_090113" xfId="5595" xr:uid="{00000000-0005-0000-0000-0000AD100000}"/>
    <cellStyle name="_진천관말 이토변설치설계_댐직하류 하천정비(환경)사업 기본계획 및 실시설계용역-수공용_욱수천 하천재해예방사업 내역서" xfId="5596" xr:uid="{00000000-0005-0000-0000-0000AE100000}"/>
    <cellStyle name="_진천관말 이토변설치설계_댐직하류 하천정비(환경)사업 기본계획 및 실시설계용역-수공용_욱수천 하천재해예방사업 내역서_002 욱수천정비공사실시설계 내역서_090113" xfId="5597" xr:uid="{00000000-0005-0000-0000-0000AF100000}"/>
    <cellStyle name="_진천관말 이토변설치설계_용담댐하류하천환경정비사업설계예산서(건희)" xfId="5598" xr:uid="{00000000-0005-0000-0000-0000B0100000}"/>
    <cellStyle name="_진천관말 이토변설치설계_용담댐하류하천환경정비사업설계예산서(건희)_1) 신천금호강 종합개발 기본설계" xfId="5599" xr:uid="{00000000-0005-0000-0000-0000B1100000}"/>
    <cellStyle name="_진천관말 이토변설치설계_용담댐하류하천환경정비사업설계예산서(건희)_2) 신천금호강 종합개발 동영상제작(변경최종)" xfId="5600" xr:uid="{00000000-0005-0000-0000-0000B2100000}"/>
    <cellStyle name="_진천관말 이토변설치설계_용담댐하류하천환경정비사업설계예산서(건희)_3) 신천금호강 종합개발 산책로 실시설계(변경최종)" xfId="5601" xr:uid="{00000000-0005-0000-0000-0000B3100000}"/>
    <cellStyle name="_진천관말 이토변설치설계_용담댐하류하천환경정비사업설계예산서(건희)_설계내역서(신천-금호강)" xfId="5602" xr:uid="{00000000-0005-0000-0000-0000B4100000}"/>
    <cellStyle name="_진천관말 이토변설치설계_용담댐하류하천환경정비사업설계예산서(건희)_설계내역서(신천-금호강)_욱수천 하천재해예방사업 내역서" xfId="5603" xr:uid="{00000000-0005-0000-0000-0000B5100000}"/>
    <cellStyle name="_진천관말 이토변설치설계_용담댐하류하천환경정비사업설계예산서(건희)_설계내역서(신천-금호강)_욱수천 하천재해예방사업 내역서_002 욱수천정비공사실시설계 내역서_090113" xfId="5604" xr:uid="{00000000-0005-0000-0000-0000B6100000}"/>
    <cellStyle name="_진천관말 이토변설치설계_용담댐하류하천환경정비사업설계예산서(건희)_설계내역서(전체)" xfId="5605" xr:uid="{00000000-0005-0000-0000-0000B7100000}"/>
    <cellStyle name="_진천관말 이토변설치설계_용담댐하류하천환경정비사업설계예산서(건희)_설계내역서(전체)_욱수천 하천재해예방사업 내역서" xfId="5606" xr:uid="{00000000-0005-0000-0000-0000B8100000}"/>
    <cellStyle name="_진천관말 이토변설치설계_용담댐하류하천환경정비사업설계예산서(건희)_설계내역서(전체)_욱수천 하천재해예방사업 내역서_002 욱수천정비공사실시설계 내역서_090113" xfId="5607" xr:uid="{00000000-0005-0000-0000-0000B9100000}"/>
    <cellStyle name="_진천관말 이토변설치설계_용담댐하류하천환경정비사업설계예산서(건희)_신천금호강 종합개발 기본설계  내역서(수정분)" xfId="5608" xr:uid="{00000000-0005-0000-0000-0000BA100000}"/>
    <cellStyle name="_진천관말 이토변설치설계_용담댐하류하천환경정비사업설계예산서(건희)_신천금호강내역서(수정-보오링,사전재해및환경성제외,측량연장조정9(1).95억0726)" xfId="5609" xr:uid="{00000000-0005-0000-0000-0000BB100000}"/>
    <cellStyle name="_진천관말 이토변설치설계_용담댐하류하천환경정비사업설계예산서(건희)_심사내역서" xfId="5610" xr:uid="{00000000-0005-0000-0000-0000BC100000}"/>
    <cellStyle name="_진천관말 이토변설치설계_용담댐하류하천환경정비사업설계예산서(건희)_용담댐하류하천환경정비사업설계예산서(건희)" xfId="7771" xr:uid="{00000000-0005-0000-0000-0000BD100000}"/>
    <cellStyle name="_진천관말 이토변설치설계_용담댐하류하천환경정비사업설계예산서(건희)_욱수천 하천재해예방사업 내역서" xfId="5611" xr:uid="{00000000-0005-0000-0000-0000BE100000}"/>
    <cellStyle name="_진천관말 이토변설치설계_용담댐하류하천환경정비사업설계예산서(건희)_욱수천 하천재해예방사업 내역서_002 욱수천정비공사실시설계 내역서_090113" xfId="5612" xr:uid="{00000000-0005-0000-0000-0000BF100000}"/>
    <cellStyle name="_진천관말 이토변설치설계_욱수천 하천재해예방사업 내역서" xfId="5613" xr:uid="{00000000-0005-0000-0000-0000C0100000}"/>
    <cellStyle name="_진천관말 이토변설치설계_욱수천 하천재해예방사업 내역서_002 욱수천정비공사실시설계 내역서_090113" xfId="5614" xr:uid="{00000000-0005-0000-0000-0000C1100000}"/>
    <cellStyle name="_집중관리(981231)" xfId="3129" xr:uid="{00000000-0005-0000-0000-0000C2100000}"/>
    <cellStyle name="_집중관리(981231) 2" xfId="7772" xr:uid="{00000000-0005-0000-0000-0000C3100000}"/>
    <cellStyle name="_집중관리(981231)_1" xfId="3130" xr:uid="{00000000-0005-0000-0000-0000C4100000}"/>
    <cellStyle name="_집중관리(981231)_1 2" xfId="7773" xr:uid="{00000000-0005-0000-0000-0000C5100000}"/>
    <cellStyle name="_집중관리(981231)_1_091110 안성천권역(중하류) 설계내역서" xfId="7774" xr:uid="{00000000-0005-0000-0000-0000C6100000}"/>
    <cellStyle name="_집중관리(981231)_1_100120 안성천권역(중하류) 2차분내역서" xfId="6905" xr:uid="{00000000-0005-0000-0000-0000C7100000}"/>
    <cellStyle name="_집중관리(981231)_1_100120 안성천권역(중하류) 2차분내역서 2" xfId="7775" xr:uid="{00000000-0005-0000-0000-0000C8100000}"/>
    <cellStyle name="_집중관리(981231)_1_논산천 권역 하천기본계획 설계예산서" xfId="7776" xr:uid="{00000000-0005-0000-0000-0000C9100000}"/>
    <cellStyle name="_집중관리(981231)_1_사본 - 황강중류권역 하천기본계획 예산서(황강 미포함)-2차분_ rev2" xfId="6906" xr:uid="{00000000-0005-0000-0000-0000CA100000}"/>
    <cellStyle name="_집중관리(981231)_1_소양강 상류권역 하천기본계획(변경) 및 하천시설관리대장작성_Lidar측량" xfId="7777" xr:uid="{00000000-0005-0000-0000-0000CB100000}"/>
    <cellStyle name="_집중관리(981231)_1_안양천 하천기본계획 예산서_보완중" xfId="7778" xr:uid="{00000000-0005-0000-0000-0000CC100000}"/>
    <cellStyle name="_집중관리(981231)_1_안양천권역 하천기본계획 설계예산서" xfId="7779" xr:uid="{00000000-0005-0000-0000-0000CD100000}"/>
    <cellStyle name="_집중관리(981231)_1_한강하류 하천기본계획 설계예산서(지형측량)" xfId="7780" xr:uid="{00000000-0005-0000-0000-0000CE100000}"/>
    <cellStyle name="_집중관리(981231)_1_한강하류내역서2" xfId="7781" xr:uid="{00000000-0005-0000-0000-0000CF100000}"/>
    <cellStyle name="_집중관리(981231)_1_한탄강 하천기본계획 예산서_최종2" xfId="7782" xr:uid="{00000000-0005-0000-0000-0000D0100000}"/>
    <cellStyle name="_집중관리(981231)_1_한탄강권역 하천기본계획 설계예산서(지형측량)" xfId="7783" xr:uid="{00000000-0005-0000-0000-0000D1100000}"/>
    <cellStyle name="_집중관리(지정과제및 양식)" xfId="3131" xr:uid="{00000000-0005-0000-0000-0000D2100000}"/>
    <cellStyle name="_집중관리(지정과제및 양식) 2" xfId="7784" xr:uid="{00000000-0005-0000-0000-0000D3100000}"/>
    <cellStyle name="_집중관리(지정과제및 양식)_091110 안성천권역(중하류) 설계내역서" xfId="7785" xr:uid="{00000000-0005-0000-0000-0000D4100000}"/>
    <cellStyle name="_집중관리(지정과제및 양식)_1" xfId="3132" xr:uid="{00000000-0005-0000-0000-0000D5100000}"/>
    <cellStyle name="_집중관리(지정과제및 양식)_1 2" xfId="7786" xr:uid="{00000000-0005-0000-0000-0000D6100000}"/>
    <cellStyle name="_집중관리(지정과제및 양식)_100120 안성천권역(중하류) 2차분내역서" xfId="6907" xr:uid="{00000000-0005-0000-0000-0000D7100000}"/>
    <cellStyle name="_집중관리(지정과제및 양식)_100120 안성천권역(중하류) 2차분내역서 2" xfId="7787" xr:uid="{00000000-0005-0000-0000-0000D8100000}"/>
    <cellStyle name="_집중관리(지정과제및 양식)_논산천 권역 하천기본계획 설계예산서" xfId="7788" xr:uid="{00000000-0005-0000-0000-0000D9100000}"/>
    <cellStyle name="_집중관리(지정과제및 양식)_사본 - 황강중류권역 하천기본계획 예산서(황강 미포함)-2차분_ rev2" xfId="6908" xr:uid="{00000000-0005-0000-0000-0000DA100000}"/>
    <cellStyle name="_집중관리(지정과제및 양식)_소양강 상류권역 하천기본계획(변경) 및 하천시설관리대장작성_Lidar측량" xfId="7789" xr:uid="{00000000-0005-0000-0000-0000DB100000}"/>
    <cellStyle name="_집중관리(지정과제및 양식)_안양천 하천기본계획 예산서_보완중" xfId="7790" xr:uid="{00000000-0005-0000-0000-0000DC100000}"/>
    <cellStyle name="_집중관리(지정과제및 양식)_안양천권역 하천기본계획 설계예산서" xfId="7791" xr:uid="{00000000-0005-0000-0000-0000DD100000}"/>
    <cellStyle name="_집중관리(지정과제및 양식)_한강하류 하천기본계획 설계예산서(지형측량)" xfId="7792" xr:uid="{00000000-0005-0000-0000-0000DE100000}"/>
    <cellStyle name="_집중관리(지정과제및 양식)_한강하류내역서2" xfId="7793" xr:uid="{00000000-0005-0000-0000-0000DF100000}"/>
    <cellStyle name="_집중관리(지정과제및 양식)_한탄강 하천기본계획 예산서_최종2" xfId="7794" xr:uid="{00000000-0005-0000-0000-0000E0100000}"/>
    <cellStyle name="_집중관리(지정과제및 양식)_한탄강권역 하천기본계획 설계예산서(지형측량)" xfId="7795" xr:uid="{00000000-0005-0000-0000-0000E1100000}"/>
    <cellStyle name="_집행(1)" xfId="1424" xr:uid="{00000000-0005-0000-0000-0000E2100000}"/>
    <cellStyle name="_집행(1)_간이배수펌프장설치에 따른 타당성용역내역" xfId="1425" xr:uid="{00000000-0005-0000-0000-0000E3100000}"/>
    <cellStyle name="_집행(1)_선정안(삼산)" xfId="1426" xr:uid="{00000000-0005-0000-0000-0000E4100000}"/>
    <cellStyle name="_집행(1)_선정안(삼산)_간이배수펌프장설치에 따른 타당성용역내역" xfId="1427" xr:uid="{00000000-0005-0000-0000-0000E5100000}"/>
    <cellStyle name="_집행(1)_추풍령" xfId="1428" xr:uid="{00000000-0005-0000-0000-0000E6100000}"/>
    <cellStyle name="_집행(1)_추풍령_간이배수펌프장설치에 따른 타당성용역내역" xfId="1429" xr:uid="{00000000-0005-0000-0000-0000E7100000}"/>
    <cellStyle name="_집행(1)_추풍령-1" xfId="1430" xr:uid="{00000000-0005-0000-0000-0000E8100000}"/>
    <cellStyle name="_집행(1)_추풍령-1_간이배수펌프장설치에 따른 타당성용역내역" xfId="1431" xr:uid="{00000000-0005-0000-0000-0000E9100000}"/>
    <cellStyle name="_집행(2)" xfId="1432" xr:uid="{00000000-0005-0000-0000-0000EA100000}"/>
    <cellStyle name="_집행(2)_간이배수펌프장설치에 따른 타당성용역내역" xfId="1433" xr:uid="{00000000-0005-0000-0000-0000EB100000}"/>
    <cellStyle name="_집행(2)_선정안(삼산)" xfId="1434" xr:uid="{00000000-0005-0000-0000-0000EC100000}"/>
    <cellStyle name="_집행(2)_선정안(삼산)_간이배수펌프장설치에 따른 타당성용역내역" xfId="1435" xr:uid="{00000000-0005-0000-0000-0000ED100000}"/>
    <cellStyle name="_집행(2)_추풍령" xfId="1436" xr:uid="{00000000-0005-0000-0000-0000EE100000}"/>
    <cellStyle name="_집행(2)_추풍령_간이배수펌프장설치에 따른 타당성용역내역" xfId="1437" xr:uid="{00000000-0005-0000-0000-0000EF100000}"/>
    <cellStyle name="_집행(2)_추풍령-1" xfId="1438" xr:uid="{00000000-0005-0000-0000-0000F0100000}"/>
    <cellStyle name="_집행(2)_추풍령-1_간이배수펌프장설치에 따른 타당성용역내역" xfId="1439" xr:uid="{00000000-0005-0000-0000-0000F1100000}"/>
    <cellStyle name="_집행갑지 " xfId="793" xr:uid="{00000000-0005-0000-0000-0000F2100000}"/>
    <cellStyle name="_집행갑지 _12월 자금청구-창원반송" xfId="794" xr:uid="{00000000-0005-0000-0000-0000F3100000}"/>
    <cellStyle name="_집행갑지 _17공구" xfId="3133" xr:uid="{00000000-0005-0000-0000-0000F4100000}"/>
    <cellStyle name="_집행갑지 _17공구_병천하수 견적060412" xfId="3134" xr:uid="{00000000-0005-0000-0000-0000F5100000}"/>
    <cellStyle name="_집행갑지 _17공구_사본 - 기성내역서(대경엔텍)" xfId="3135" xr:uid="{00000000-0005-0000-0000-0000F6100000}"/>
    <cellStyle name="_집행갑지 _17공구_사본 - 기성내역서(대경엔텍)_병천하수 견적060412" xfId="3136" xr:uid="{00000000-0005-0000-0000-0000F7100000}"/>
    <cellStyle name="_집행갑지 _17공구_사본 - 기성내역서(대경엔텍)_산북하수견적서" xfId="3137" xr:uid="{00000000-0005-0000-0000-0000F8100000}"/>
    <cellStyle name="_집행갑지 _17공구_사본 - 기성내역서(대경엔텍)_통일하수내역서" xfId="3138" xr:uid="{00000000-0005-0000-0000-0000F9100000}"/>
    <cellStyle name="_집행갑지 _17공구_산북하수견적서" xfId="3139" xr:uid="{00000000-0005-0000-0000-0000FA100000}"/>
    <cellStyle name="_집행갑지 _17공구_제1회설계변경내역서(11.15~)update" xfId="3140" xr:uid="{00000000-0005-0000-0000-0000FB100000}"/>
    <cellStyle name="_집행갑지 _17공구_제2회기성내역서(1차+2차공사)" xfId="3141" xr:uid="{00000000-0005-0000-0000-0000FC100000}"/>
    <cellStyle name="_집행갑지 _17공구_제2회기성내역서(1차+2차공사)_병천하수 견적060412" xfId="3142" xr:uid="{00000000-0005-0000-0000-0000FD100000}"/>
    <cellStyle name="_집행갑지 _17공구_제2회기성내역서(1차+2차공사)_산북하수견적서" xfId="3143" xr:uid="{00000000-0005-0000-0000-0000FE100000}"/>
    <cellStyle name="_집행갑지 _17공구_제2회기성내역서(1차+2차공사)_제7회기성내역서(1차+2차공사)~ing" xfId="3144" xr:uid="{00000000-0005-0000-0000-0000FF100000}"/>
    <cellStyle name="_집행갑지 _17공구_제2회기성내역서(1차+2차공사)_제7회기성내역서(1차+2차공사)~ing_병천하수 견적060412" xfId="3145" xr:uid="{00000000-0005-0000-0000-000000110000}"/>
    <cellStyle name="_집행갑지 _17공구_제2회기성내역서(1차+2차공사)_제7회기성내역서(1차+2차공사)~ing_산북하수견적서" xfId="3146" xr:uid="{00000000-0005-0000-0000-000001110000}"/>
    <cellStyle name="_집행갑지 _17공구_제2회기성내역서(1차+2차공사)_제7회기성내역서(1차+2차공사)~ing_통일하수내역서" xfId="3147" xr:uid="{00000000-0005-0000-0000-000002110000}"/>
    <cellStyle name="_집행갑지 _17공구_제2회기성내역서(1차+2차공사)_통일하수내역서" xfId="3148" xr:uid="{00000000-0005-0000-0000-000003110000}"/>
    <cellStyle name="_집행갑지 _17공구_통일하수내역서" xfId="3149" xr:uid="{00000000-0005-0000-0000-000004110000}"/>
    <cellStyle name="_집행갑지 _Book1" xfId="795" xr:uid="{00000000-0005-0000-0000-000005110000}"/>
    <cellStyle name="_집행갑지 _hs 보령우회" xfId="3150" xr:uid="{00000000-0005-0000-0000-000006110000}"/>
    <cellStyle name="_집행갑지 _hs 보령우회_병천하수 견적060412" xfId="3151" xr:uid="{00000000-0005-0000-0000-000007110000}"/>
    <cellStyle name="_집행갑지 _hs 보령우회_사본 - 기성내역서(대경엔텍)" xfId="3152" xr:uid="{00000000-0005-0000-0000-000008110000}"/>
    <cellStyle name="_집행갑지 _hs 보령우회_사본 - 기성내역서(대경엔텍)_병천하수 견적060412" xfId="3153" xr:uid="{00000000-0005-0000-0000-000009110000}"/>
    <cellStyle name="_집행갑지 _hs 보령우회_사본 - 기성내역서(대경엔텍)_산북하수견적서" xfId="3154" xr:uid="{00000000-0005-0000-0000-00000A110000}"/>
    <cellStyle name="_집행갑지 _hs 보령우회_사본 - 기성내역서(대경엔텍)_통일하수내역서" xfId="3155" xr:uid="{00000000-0005-0000-0000-00000B110000}"/>
    <cellStyle name="_집행갑지 _hs 보령우회_산북하수견적서" xfId="3156" xr:uid="{00000000-0005-0000-0000-00000C110000}"/>
    <cellStyle name="_집행갑지 _hs 보령우회_제1회설계변경내역서(11.15~)update" xfId="3157" xr:uid="{00000000-0005-0000-0000-00000D110000}"/>
    <cellStyle name="_집행갑지 _hs 보령우회_제2회기성내역서(1차+2차공사)" xfId="3158" xr:uid="{00000000-0005-0000-0000-00000E110000}"/>
    <cellStyle name="_집행갑지 _hs 보령우회_제2회기성내역서(1차+2차공사)_병천하수 견적060412" xfId="3159" xr:uid="{00000000-0005-0000-0000-00000F110000}"/>
    <cellStyle name="_집행갑지 _hs 보령우회_제2회기성내역서(1차+2차공사)_산북하수견적서" xfId="3160" xr:uid="{00000000-0005-0000-0000-000010110000}"/>
    <cellStyle name="_집행갑지 _hs 보령우회_제2회기성내역서(1차+2차공사)_제7회기성내역서(1차+2차공사)~ing" xfId="3161" xr:uid="{00000000-0005-0000-0000-000011110000}"/>
    <cellStyle name="_집행갑지 _hs 보령우회_제2회기성내역서(1차+2차공사)_제7회기성내역서(1차+2차공사)~ing_병천하수 견적060412" xfId="3162" xr:uid="{00000000-0005-0000-0000-000012110000}"/>
    <cellStyle name="_집행갑지 _hs 보령우회_제2회기성내역서(1차+2차공사)_제7회기성내역서(1차+2차공사)~ing_산북하수견적서" xfId="3163" xr:uid="{00000000-0005-0000-0000-000013110000}"/>
    <cellStyle name="_집행갑지 _hs 보령우회_제2회기성내역서(1차+2차공사)_제7회기성내역서(1차+2차공사)~ing_통일하수내역서" xfId="3164" xr:uid="{00000000-0005-0000-0000-000014110000}"/>
    <cellStyle name="_집행갑지 _hs 보령우회_제2회기성내역서(1차+2차공사)_통일하수내역서" xfId="3165" xr:uid="{00000000-0005-0000-0000-000015110000}"/>
    <cellStyle name="_집행갑지 _hs 보령우회_통일하수내역서" xfId="3166" xr:uid="{00000000-0005-0000-0000-000016110000}"/>
    <cellStyle name="_집행갑지 _hs 중앙선 8(선산토건)" xfId="3167" xr:uid="{00000000-0005-0000-0000-000017110000}"/>
    <cellStyle name="_집행갑지 _hs 중앙선 8(선산토건)_병천하수 견적060412" xfId="3168" xr:uid="{00000000-0005-0000-0000-000018110000}"/>
    <cellStyle name="_집행갑지 _hs 중앙선 8(선산토건)_사본 - 기성내역서(대경엔텍)" xfId="3169" xr:uid="{00000000-0005-0000-0000-000019110000}"/>
    <cellStyle name="_집행갑지 _hs 중앙선 8(선산토건)_사본 - 기성내역서(대경엔텍)_병천하수 견적060412" xfId="3170" xr:uid="{00000000-0005-0000-0000-00001A110000}"/>
    <cellStyle name="_집행갑지 _hs 중앙선 8(선산토건)_사본 - 기성내역서(대경엔텍)_산북하수견적서" xfId="3171" xr:uid="{00000000-0005-0000-0000-00001B110000}"/>
    <cellStyle name="_집행갑지 _hs 중앙선 8(선산토건)_사본 - 기성내역서(대경엔텍)_통일하수내역서" xfId="3172" xr:uid="{00000000-0005-0000-0000-00001C110000}"/>
    <cellStyle name="_집행갑지 _hs 중앙선 8(선산토건)_산북하수견적서" xfId="3173" xr:uid="{00000000-0005-0000-0000-00001D110000}"/>
    <cellStyle name="_집행갑지 _hs 중앙선 8(선산토건)_제1회설계변경내역서(11.15~)update" xfId="3174" xr:uid="{00000000-0005-0000-0000-00001E110000}"/>
    <cellStyle name="_집행갑지 _hs 중앙선 8(선산토건)_제2회기성내역서(1차+2차공사)" xfId="3175" xr:uid="{00000000-0005-0000-0000-00001F110000}"/>
    <cellStyle name="_집행갑지 _hs 중앙선 8(선산토건)_제2회기성내역서(1차+2차공사)_병천하수 견적060412" xfId="3176" xr:uid="{00000000-0005-0000-0000-000020110000}"/>
    <cellStyle name="_집행갑지 _hs 중앙선 8(선산토건)_제2회기성내역서(1차+2차공사)_산북하수견적서" xfId="3177" xr:uid="{00000000-0005-0000-0000-000021110000}"/>
    <cellStyle name="_집행갑지 _hs 중앙선 8(선산토건)_제2회기성내역서(1차+2차공사)_제7회기성내역서(1차+2차공사)~ing" xfId="3178" xr:uid="{00000000-0005-0000-0000-000022110000}"/>
    <cellStyle name="_집행갑지 _hs 중앙선 8(선산토건)_제2회기성내역서(1차+2차공사)_제7회기성내역서(1차+2차공사)~ing_병천하수 견적060412" xfId="3179" xr:uid="{00000000-0005-0000-0000-000023110000}"/>
    <cellStyle name="_집행갑지 _hs 중앙선 8(선산토건)_제2회기성내역서(1차+2차공사)_제7회기성내역서(1차+2차공사)~ing_산북하수견적서" xfId="3180" xr:uid="{00000000-0005-0000-0000-000024110000}"/>
    <cellStyle name="_집행갑지 _hs 중앙선 8(선산토건)_제2회기성내역서(1차+2차공사)_제7회기성내역서(1차+2차공사)~ing_통일하수내역서" xfId="3181" xr:uid="{00000000-0005-0000-0000-000025110000}"/>
    <cellStyle name="_집행갑지 _hs 중앙선 8(선산토건)_제2회기성내역서(1차+2차공사)_통일하수내역서" xfId="3182" xr:uid="{00000000-0005-0000-0000-000026110000}"/>
    <cellStyle name="_집행갑지 _hs 중앙선 8(선산토건)_통일하수내역서" xfId="3183" xr:uid="{00000000-0005-0000-0000-000027110000}"/>
    <cellStyle name="_집행갑지 _kcc 안산2단계" xfId="3184" xr:uid="{00000000-0005-0000-0000-000028110000}"/>
    <cellStyle name="_집행갑지 _kcc 안산2단계_병천하수 견적060412" xfId="3185" xr:uid="{00000000-0005-0000-0000-000029110000}"/>
    <cellStyle name="_집행갑지 _kcc 안산2단계_사본 - 기성내역서(대경엔텍)" xfId="3186" xr:uid="{00000000-0005-0000-0000-00002A110000}"/>
    <cellStyle name="_집행갑지 _kcc 안산2단계_사본 - 기성내역서(대경엔텍)_병천하수 견적060412" xfId="3187" xr:uid="{00000000-0005-0000-0000-00002B110000}"/>
    <cellStyle name="_집행갑지 _kcc 안산2단계_사본 - 기성내역서(대경엔텍)_산북하수견적서" xfId="3188" xr:uid="{00000000-0005-0000-0000-00002C110000}"/>
    <cellStyle name="_집행갑지 _kcc 안산2단계_사본 - 기성내역서(대경엔텍)_통일하수내역서" xfId="3189" xr:uid="{00000000-0005-0000-0000-00002D110000}"/>
    <cellStyle name="_집행갑지 _kcc 안산2단계_산북하수견적서" xfId="3190" xr:uid="{00000000-0005-0000-0000-00002E110000}"/>
    <cellStyle name="_집행갑지 _kcc 안산2단계_제1회설계변경내역서(11.15~)update" xfId="3191" xr:uid="{00000000-0005-0000-0000-00002F110000}"/>
    <cellStyle name="_집행갑지 _kcc 안산2단계_제2회기성내역서(1차+2차공사)" xfId="3192" xr:uid="{00000000-0005-0000-0000-000030110000}"/>
    <cellStyle name="_집행갑지 _kcc 안산2단계_제2회기성내역서(1차+2차공사)_병천하수 견적060412" xfId="3193" xr:uid="{00000000-0005-0000-0000-000031110000}"/>
    <cellStyle name="_집행갑지 _kcc 안산2단계_제2회기성내역서(1차+2차공사)_산북하수견적서" xfId="3194" xr:uid="{00000000-0005-0000-0000-000032110000}"/>
    <cellStyle name="_집행갑지 _kcc 안산2단계_제2회기성내역서(1차+2차공사)_제7회기성내역서(1차+2차공사)~ing" xfId="3195" xr:uid="{00000000-0005-0000-0000-000033110000}"/>
    <cellStyle name="_집행갑지 _kcc 안산2단계_제2회기성내역서(1차+2차공사)_제7회기성내역서(1차+2차공사)~ing_병천하수 견적060412" xfId="3196" xr:uid="{00000000-0005-0000-0000-000034110000}"/>
    <cellStyle name="_집행갑지 _kcc 안산2단계_제2회기성내역서(1차+2차공사)_제7회기성내역서(1차+2차공사)~ing_산북하수견적서" xfId="3197" xr:uid="{00000000-0005-0000-0000-000035110000}"/>
    <cellStyle name="_집행갑지 _kcc 안산2단계_제2회기성내역서(1차+2차공사)_제7회기성내역서(1차+2차공사)~ing_통일하수내역서" xfId="3198" xr:uid="{00000000-0005-0000-0000-000036110000}"/>
    <cellStyle name="_집행갑지 _kcc 안산2단계_제2회기성내역서(1차+2차공사)_통일하수내역서" xfId="3199" xr:uid="{00000000-0005-0000-0000-000037110000}"/>
    <cellStyle name="_집행갑지 _kcc 안산2단계_통일하수내역서" xfId="3200" xr:uid="{00000000-0005-0000-0000-000038110000}"/>
    <cellStyle name="_집행갑지 _kcc 합덕 신례원 1" xfId="3201" xr:uid="{00000000-0005-0000-0000-000039110000}"/>
    <cellStyle name="_집행갑지 _kcc 합덕 신례원 1_병천하수 견적060412" xfId="3202" xr:uid="{00000000-0005-0000-0000-00003A110000}"/>
    <cellStyle name="_집행갑지 _kcc 합덕 신례원 1_사본 - 기성내역서(대경엔텍)" xfId="3203" xr:uid="{00000000-0005-0000-0000-00003B110000}"/>
    <cellStyle name="_집행갑지 _kcc 합덕 신례원 1_사본 - 기성내역서(대경엔텍)_병천하수 견적060412" xfId="3204" xr:uid="{00000000-0005-0000-0000-00003C110000}"/>
    <cellStyle name="_집행갑지 _kcc 합덕 신례원 1_사본 - 기성내역서(대경엔텍)_산북하수견적서" xfId="3205" xr:uid="{00000000-0005-0000-0000-00003D110000}"/>
    <cellStyle name="_집행갑지 _kcc 합덕 신례원 1_사본 - 기성내역서(대경엔텍)_통일하수내역서" xfId="3206" xr:uid="{00000000-0005-0000-0000-00003E110000}"/>
    <cellStyle name="_집행갑지 _kcc 합덕 신례원 1_산북하수견적서" xfId="3207" xr:uid="{00000000-0005-0000-0000-00003F110000}"/>
    <cellStyle name="_집행갑지 _kcc 합덕 신례원 1_제1회설계변경내역서(11.15~)update" xfId="3208" xr:uid="{00000000-0005-0000-0000-000040110000}"/>
    <cellStyle name="_집행갑지 _kcc 합덕 신례원 1_제2회기성내역서(1차+2차공사)" xfId="3209" xr:uid="{00000000-0005-0000-0000-000041110000}"/>
    <cellStyle name="_집행갑지 _kcc 합덕 신례원 1_제2회기성내역서(1차+2차공사)_병천하수 견적060412" xfId="3210" xr:uid="{00000000-0005-0000-0000-000042110000}"/>
    <cellStyle name="_집행갑지 _kcc 합덕 신례원 1_제2회기성내역서(1차+2차공사)_산북하수견적서" xfId="3211" xr:uid="{00000000-0005-0000-0000-000043110000}"/>
    <cellStyle name="_집행갑지 _kcc 합덕 신례원 1_제2회기성내역서(1차+2차공사)_제7회기성내역서(1차+2차공사)~ing" xfId="3212" xr:uid="{00000000-0005-0000-0000-000044110000}"/>
    <cellStyle name="_집행갑지 _kcc 합덕 신례원 1_제2회기성내역서(1차+2차공사)_제7회기성내역서(1차+2차공사)~ing_병천하수 견적060412" xfId="3213" xr:uid="{00000000-0005-0000-0000-000045110000}"/>
    <cellStyle name="_집행갑지 _kcc 합덕 신례원 1_제2회기성내역서(1차+2차공사)_제7회기성내역서(1차+2차공사)~ing_산북하수견적서" xfId="3214" xr:uid="{00000000-0005-0000-0000-000046110000}"/>
    <cellStyle name="_집행갑지 _kcc 합덕 신례원 1_제2회기성내역서(1차+2차공사)_제7회기성내역서(1차+2차공사)~ing_통일하수내역서" xfId="3215" xr:uid="{00000000-0005-0000-0000-000047110000}"/>
    <cellStyle name="_집행갑지 _kcc 합덕 신례원 1_제2회기성내역서(1차+2차공사)_통일하수내역서" xfId="3216" xr:uid="{00000000-0005-0000-0000-000048110000}"/>
    <cellStyle name="_집행갑지 _kcc 합덕 신례원 1_통일하수내역서" xfId="3217" xr:uid="{00000000-0005-0000-0000-000049110000}"/>
    <cellStyle name="_집행갑지 _kn 구룡포~대보간 1" xfId="3218" xr:uid="{00000000-0005-0000-0000-00004A110000}"/>
    <cellStyle name="_집행갑지 _kn 구룡포~대보간 1_병천하수 견적060412" xfId="3219" xr:uid="{00000000-0005-0000-0000-00004B110000}"/>
    <cellStyle name="_집행갑지 _kn 구룡포~대보간 1_사본 - 기성내역서(대경엔텍)" xfId="3220" xr:uid="{00000000-0005-0000-0000-00004C110000}"/>
    <cellStyle name="_집행갑지 _kn 구룡포~대보간 1_사본 - 기성내역서(대경엔텍)_병천하수 견적060412" xfId="3221" xr:uid="{00000000-0005-0000-0000-00004D110000}"/>
    <cellStyle name="_집행갑지 _kn 구룡포~대보간 1_사본 - 기성내역서(대경엔텍)_산북하수견적서" xfId="3222" xr:uid="{00000000-0005-0000-0000-00004E110000}"/>
    <cellStyle name="_집행갑지 _kn 구룡포~대보간 1_사본 - 기성내역서(대경엔텍)_통일하수내역서" xfId="3223" xr:uid="{00000000-0005-0000-0000-00004F110000}"/>
    <cellStyle name="_집행갑지 _kn 구룡포~대보간 1_산북하수견적서" xfId="3224" xr:uid="{00000000-0005-0000-0000-000050110000}"/>
    <cellStyle name="_집행갑지 _kn 구룡포~대보간 1_제1회설계변경내역서(11.15~)update" xfId="3225" xr:uid="{00000000-0005-0000-0000-000051110000}"/>
    <cellStyle name="_집행갑지 _kn 구룡포~대보간 1_제2회기성내역서(1차+2차공사)" xfId="3226" xr:uid="{00000000-0005-0000-0000-000052110000}"/>
    <cellStyle name="_집행갑지 _kn 구룡포~대보간 1_제2회기성내역서(1차+2차공사)_병천하수 견적060412" xfId="3227" xr:uid="{00000000-0005-0000-0000-000053110000}"/>
    <cellStyle name="_집행갑지 _kn 구룡포~대보간 1_제2회기성내역서(1차+2차공사)_산북하수견적서" xfId="3228" xr:uid="{00000000-0005-0000-0000-000054110000}"/>
    <cellStyle name="_집행갑지 _kn 구룡포~대보간 1_제2회기성내역서(1차+2차공사)_제7회기성내역서(1차+2차공사)~ing" xfId="3229" xr:uid="{00000000-0005-0000-0000-000055110000}"/>
    <cellStyle name="_집행갑지 _kn 구룡포~대보간 1_제2회기성내역서(1차+2차공사)_제7회기성내역서(1차+2차공사)~ing_병천하수 견적060412" xfId="3230" xr:uid="{00000000-0005-0000-0000-000056110000}"/>
    <cellStyle name="_집행갑지 _kn 구룡포~대보간 1_제2회기성내역서(1차+2차공사)_제7회기성내역서(1차+2차공사)~ing_산북하수견적서" xfId="3231" xr:uid="{00000000-0005-0000-0000-000057110000}"/>
    <cellStyle name="_집행갑지 _kn 구룡포~대보간 1_제2회기성내역서(1차+2차공사)_제7회기성내역서(1차+2차공사)~ing_통일하수내역서" xfId="3232" xr:uid="{00000000-0005-0000-0000-000058110000}"/>
    <cellStyle name="_집행갑지 _kn 구룡포~대보간 1_제2회기성내역서(1차+2차공사)_통일하수내역서" xfId="3233" xr:uid="{00000000-0005-0000-0000-000059110000}"/>
    <cellStyle name="_집행갑지 _kn 구룡포~대보간 1_통일하수내역서" xfId="3234" xr:uid="{00000000-0005-0000-0000-00005A110000}"/>
    <cellStyle name="_집행갑지 _ss 굴포천" xfId="3235" xr:uid="{00000000-0005-0000-0000-00005B110000}"/>
    <cellStyle name="_집행갑지 _ss 굴포천_병천하수 견적060412" xfId="3236" xr:uid="{00000000-0005-0000-0000-00005C110000}"/>
    <cellStyle name="_집행갑지 _ss 굴포천_사본 - 기성내역서(대경엔텍)" xfId="3237" xr:uid="{00000000-0005-0000-0000-00005D110000}"/>
    <cellStyle name="_집행갑지 _ss 굴포천_사본 - 기성내역서(대경엔텍)_병천하수 견적060412" xfId="3238" xr:uid="{00000000-0005-0000-0000-00005E110000}"/>
    <cellStyle name="_집행갑지 _ss 굴포천_사본 - 기성내역서(대경엔텍)_산북하수견적서" xfId="3239" xr:uid="{00000000-0005-0000-0000-00005F110000}"/>
    <cellStyle name="_집행갑지 _ss 굴포천_사본 - 기성내역서(대경엔텍)_통일하수내역서" xfId="3240" xr:uid="{00000000-0005-0000-0000-000060110000}"/>
    <cellStyle name="_집행갑지 _ss 굴포천_산북하수견적서" xfId="3241" xr:uid="{00000000-0005-0000-0000-000061110000}"/>
    <cellStyle name="_집행갑지 _ss 굴포천_제1회설계변경내역서(11.15~)update" xfId="3242" xr:uid="{00000000-0005-0000-0000-000062110000}"/>
    <cellStyle name="_집행갑지 _ss 굴포천_제2회기성내역서(1차+2차공사)" xfId="3243" xr:uid="{00000000-0005-0000-0000-000063110000}"/>
    <cellStyle name="_집행갑지 _ss 굴포천_제2회기성내역서(1차+2차공사)_병천하수 견적060412" xfId="3244" xr:uid="{00000000-0005-0000-0000-000064110000}"/>
    <cellStyle name="_집행갑지 _ss 굴포천_제2회기성내역서(1차+2차공사)_산북하수견적서" xfId="3245" xr:uid="{00000000-0005-0000-0000-000065110000}"/>
    <cellStyle name="_집행갑지 _ss 굴포천_제2회기성내역서(1차+2차공사)_제7회기성내역서(1차+2차공사)~ing" xfId="3246" xr:uid="{00000000-0005-0000-0000-000066110000}"/>
    <cellStyle name="_집행갑지 _ss 굴포천_제2회기성내역서(1차+2차공사)_제7회기성내역서(1차+2차공사)~ing_병천하수 견적060412" xfId="3247" xr:uid="{00000000-0005-0000-0000-000067110000}"/>
    <cellStyle name="_집행갑지 _ss 굴포천_제2회기성내역서(1차+2차공사)_제7회기성내역서(1차+2차공사)~ing_산북하수견적서" xfId="3248" xr:uid="{00000000-0005-0000-0000-000068110000}"/>
    <cellStyle name="_집행갑지 _ss 굴포천_제2회기성내역서(1차+2차공사)_제7회기성내역서(1차+2차공사)~ing_통일하수내역서" xfId="3249" xr:uid="{00000000-0005-0000-0000-000069110000}"/>
    <cellStyle name="_집행갑지 _ss 굴포천_제2회기성내역서(1차+2차공사)_통일하수내역서" xfId="3250" xr:uid="{00000000-0005-0000-0000-00006A110000}"/>
    <cellStyle name="_집행갑지 _ss 굴포천_통일하수내역서" xfId="3251" xr:uid="{00000000-0005-0000-0000-00006B110000}"/>
    <cellStyle name="_집행갑지 _경기북부2차도급내역(분류체계)" xfId="796" xr:uid="{00000000-0005-0000-0000-00006C110000}"/>
    <cellStyle name="_집행갑지 _경기북부2차도급내역(분류체계)_12월 자금청구-창원반송" xfId="797" xr:uid="{00000000-0005-0000-0000-00006D110000}"/>
    <cellStyle name="_집행갑지 _경기북부2차도급내역(분류체계)_Book1" xfId="798" xr:uid="{00000000-0005-0000-0000-00006E110000}"/>
    <cellStyle name="_집행갑지 _도급내역서(1차계약분)" xfId="799" xr:uid="{00000000-0005-0000-0000-00006F110000}"/>
    <cellStyle name="_집행갑지 _도급내역서(1차계약분)_12월 자금청구-창원반송" xfId="800" xr:uid="{00000000-0005-0000-0000-000070110000}"/>
    <cellStyle name="_집행갑지 _도급내역서(1차계약분)_Book1" xfId="801" xr:uid="{00000000-0005-0000-0000-000071110000}"/>
    <cellStyle name="_집행갑지 _병천하수 견적060412" xfId="3252" xr:uid="{00000000-0005-0000-0000-000072110000}"/>
    <cellStyle name="_집행갑지 _사본 - 기성내역서(대경엔텍)" xfId="3253" xr:uid="{00000000-0005-0000-0000-000073110000}"/>
    <cellStyle name="_집행갑지 _사본 - 기성내역서(대경엔텍)_병천하수 견적060412" xfId="3254" xr:uid="{00000000-0005-0000-0000-000074110000}"/>
    <cellStyle name="_집행갑지 _사본 - 기성내역서(대경엔텍)_산북하수견적서" xfId="3255" xr:uid="{00000000-0005-0000-0000-000075110000}"/>
    <cellStyle name="_집행갑지 _사본 - 기성내역서(대경엔텍)_통일하수내역서" xfId="3256" xr:uid="{00000000-0005-0000-0000-000076110000}"/>
    <cellStyle name="_집행갑지 _산북하수견적서" xfId="3257" xr:uid="{00000000-0005-0000-0000-000077110000}"/>
    <cellStyle name="_집행갑지 _안동투찰" xfId="3258" xr:uid="{00000000-0005-0000-0000-000078110000}"/>
    <cellStyle name="_집행갑지 _안동투찰_병천하수 견적060412" xfId="3259" xr:uid="{00000000-0005-0000-0000-000079110000}"/>
    <cellStyle name="_집행갑지 _안동투찰_사본 - 기성내역서(대경엔텍)" xfId="3260" xr:uid="{00000000-0005-0000-0000-00007A110000}"/>
    <cellStyle name="_집행갑지 _안동투찰_사본 - 기성내역서(대경엔텍)_병천하수 견적060412" xfId="3261" xr:uid="{00000000-0005-0000-0000-00007B110000}"/>
    <cellStyle name="_집행갑지 _안동투찰_사본 - 기성내역서(대경엔텍)_산북하수견적서" xfId="3262" xr:uid="{00000000-0005-0000-0000-00007C110000}"/>
    <cellStyle name="_집행갑지 _안동투찰_사본 - 기성내역서(대경엔텍)_통일하수내역서" xfId="3263" xr:uid="{00000000-0005-0000-0000-00007D110000}"/>
    <cellStyle name="_집행갑지 _안동투찰_산북하수견적서" xfId="3264" xr:uid="{00000000-0005-0000-0000-00007E110000}"/>
    <cellStyle name="_집행갑지 _안동투찰_제1회설계변경내역서(11.15~)update" xfId="3265" xr:uid="{00000000-0005-0000-0000-00007F110000}"/>
    <cellStyle name="_집행갑지 _안동투찰_제2회기성내역서(1차+2차공사)" xfId="3266" xr:uid="{00000000-0005-0000-0000-000080110000}"/>
    <cellStyle name="_집행갑지 _안동투찰_제2회기성내역서(1차+2차공사)_병천하수 견적060412" xfId="3267" xr:uid="{00000000-0005-0000-0000-000081110000}"/>
    <cellStyle name="_집행갑지 _안동투찰_제2회기성내역서(1차+2차공사)_산북하수견적서" xfId="3268" xr:uid="{00000000-0005-0000-0000-000082110000}"/>
    <cellStyle name="_집행갑지 _안동투찰_제2회기성내역서(1차+2차공사)_제7회기성내역서(1차+2차공사)~ing" xfId="3269" xr:uid="{00000000-0005-0000-0000-000083110000}"/>
    <cellStyle name="_집행갑지 _안동투찰_제2회기성내역서(1차+2차공사)_제7회기성내역서(1차+2차공사)~ing_병천하수 견적060412" xfId="3270" xr:uid="{00000000-0005-0000-0000-000084110000}"/>
    <cellStyle name="_집행갑지 _안동투찰_제2회기성내역서(1차+2차공사)_제7회기성내역서(1차+2차공사)~ing_산북하수견적서" xfId="3271" xr:uid="{00000000-0005-0000-0000-000085110000}"/>
    <cellStyle name="_집행갑지 _안동투찰_제2회기성내역서(1차+2차공사)_제7회기성내역서(1차+2차공사)~ing_통일하수내역서" xfId="3272" xr:uid="{00000000-0005-0000-0000-000086110000}"/>
    <cellStyle name="_집행갑지 _안동투찰_제2회기성내역서(1차+2차공사)_통일하수내역서" xfId="3273" xr:uid="{00000000-0005-0000-0000-000087110000}"/>
    <cellStyle name="_집행갑지 _안동투찰_통일하수내역서" xfId="3274" xr:uid="{00000000-0005-0000-0000-000088110000}"/>
    <cellStyle name="_집행갑지 _제1회설계변경내역서(11.15~)update" xfId="3275" xr:uid="{00000000-0005-0000-0000-000089110000}"/>
    <cellStyle name="_집행갑지 _제2회기성내역서(1차+2차공사)" xfId="3276" xr:uid="{00000000-0005-0000-0000-00008A110000}"/>
    <cellStyle name="_집행갑지 _제2회기성내역서(1차+2차공사)_병천하수 견적060412" xfId="3277" xr:uid="{00000000-0005-0000-0000-00008B110000}"/>
    <cellStyle name="_집행갑지 _제2회기성내역서(1차+2차공사)_산북하수견적서" xfId="3278" xr:uid="{00000000-0005-0000-0000-00008C110000}"/>
    <cellStyle name="_집행갑지 _제2회기성내역서(1차+2차공사)_제7회기성내역서(1차+2차공사)~ing" xfId="3279" xr:uid="{00000000-0005-0000-0000-00008D110000}"/>
    <cellStyle name="_집행갑지 _제2회기성내역서(1차+2차공사)_제7회기성내역서(1차+2차공사)~ing_병천하수 견적060412" xfId="3280" xr:uid="{00000000-0005-0000-0000-00008E110000}"/>
    <cellStyle name="_집행갑지 _제2회기성내역서(1차+2차공사)_제7회기성내역서(1차+2차공사)~ing_산북하수견적서" xfId="3281" xr:uid="{00000000-0005-0000-0000-00008F110000}"/>
    <cellStyle name="_집행갑지 _제2회기성내역서(1차+2차공사)_제7회기성내역서(1차+2차공사)~ing_통일하수내역서" xfId="3282" xr:uid="{00000000-0005-0000-0000-000090110000}"/>
    <cellStyle name="_집행갑지 _제2회기성내역서(1차+2차공사)_통일하수내역서" xfId="3283" xr:uid="{00000000-0005-0000-0000-000091110000}"/>
    <cellStyle name="_집행갑지 _통리투찰" xfId="3284" xr:uid="{00000000-0005-0000-0000-000092110000}"/>
    <cellStyle name="_집행갑지 _통리투찰_병천하수 견적060412" xfId="3285" xr:uid="{00000000-0005-0000-0000-000093110000}"/>
    <cellStyle name="_집행갑지 _통리투찰_사본 - 기성내역서(대경엔텍)" xfId="3286" xr:uid="{00000000-0005-0000-0000-000094110000}"/>
    <cellStyle name="_집행갑지 _통리투찰_사본 - 기성내역서(대경엔텍)_병천하수 견적060412" xfId="3287" xr:uid="{00000000-0005-0000-0000-000095110000}"/>
    <cellStyle name="_집행갑지 _통리투찰_사본 - 기성내역서(대경엔텍)_산북하수견적서" xfId="3288" xr:uid="{00000000-0005-0000-0000-000096110000}"/>
    <cellStyle name="_집행갑지 _통리투찰_사본 - 기성내역서(대경엔텍)_통일하수내역서" xfId="3289" xr:uid="{00000000-0005-0000-0000-000097110000}"/>
    <cellStyle name="_집행갑지 _통리투찰_산북하수견적서" xfId="3290" xr:uid="{00000000-0005-0000-0000-000098110000}"/>
    <cellStyle name="_집행갑지 _통리투찰_제1회설계변경내역서(11.15~)update" xfId="3291" xr:uid="{00000000-0005-0000-0000-000099110000}"/>
    <cellStyle name="_집행갑지 _통리투찰_제2회기성내역서(1차+2차공사)" xfId="3292" xr:uid="{00000000-0005-0000-0000-00009A110000}"/>
    <cellStyle name="_집행갑지 _통리투찰_제2회기성내역서(1차+2차공사)_병천하수 견적060412" xfId="3293" xr:uid="{00000000-0005-0000-0000-00009B110000}"/>
    <cellStyle name="_집행갑지 _통리투찰_제2회기성내역서(1차+2차공사)_산북하수견적서" xfId="3294" xr:uid="{00000000-0005-0000-0000-00009C110000}"/>
    <cellStyle name="_집행갑지 _통리투찰_제2회기성내역서(1차+2차공사)_제7회기성내역서(1차+2차공사)~ing" xfId="3295" xr:uid="{00000000-0005-0000-0000-00009D110000}"/>
    <cellStyle name="_집행갑지 _통리투찰_제2회기성내역서(1차+2차공사)_제7회기성내역서(1차+2차공사)~ing_병천하수 견적060412" xfId="3296" xr:uid="{00000000-0005-0000-0000-00009E110000}"/>
    <cellStyle name="_집행갑지 _통리투찰_제2회기성내역서(1차+2차공사)_제7회기성내역서(1차+2차공사)~ing_산북하수견적서" xfId="3297" xr:uid="{00000000-0005-0000-0000-00009F110000}"/>
    <cellStyle name="_집행갑지 _통리투찰_제2회기성내역서(1차+2차공사)_제7회기성내역서(1차+2차공사)~ing_통일하수내역서" xfId="3298" xr:uid="{00000000-0005-0000-0000-0000A0110000}"/>
    <cellStyle name="_집행갑지 _통리투찰_제2회기성내역서(1차+2차공사)_통일하수내역서" xfId="3299" xr:uid="{00000000-0005-0000-0000-0000A1110000}"/>
    <cellStyle name="_집행갑지 _통리투찰_통일하수내역서" xfId="3300" xr:uid="{00000000-0005-0000-0000-0000A2110000}"/>
    <cellStyle name="_집행갑지 _통일하수내역서" xfId="3301" xr:uid="{00000000-0005-0000-0000-0000A3110000}"/>
    <cellStyle name="_차집수량총괄서" xfId="5615" xr:uid="{00000000-0005-0000-0000-0000A4110000}"/>
    <cellStyle name="_차집수량총괄서 2" xfId="7796" xr:uid="{00000000-0005-0000-0000-0000A5110000}"/>
    <cellStyle name="_차집수량총괄서_댐직하류 하천정비(환경)사업 기본계획 및 실시설계용역-수공용" xfId="5616" xr:uid="{00000000-0005-0000-0000-0000A6110000}"/>
    <cellStyle name="_차집수량총괄서_댐직하류 하천정비(환경)사업 기본계획 및 실시설계용역-수공용 2" xfId="7797" xr:uid="{00000000-0005-0000-0000-0000A7110000}"/>
    <cellStyle name="_차집수량총괄서_댐직하류 하천정비(환경)사업 기본계획 및 실시설계용역-수공용_용담댐직하류 하천정비공사 설계예산서(남원작성)-" xfId="5617" xr:uid="{00000000-0005-0000-0000-0000A8110000}"/>
    <cellStyle name="_차집수량총괄서_댐직하류 하천정비(환경)사업 기본계획 및 실시설계용역-수공용_용담댐직하류 하천정비공사 설계예산서(남원작성)- 2" xfId="7798" xr:uid="{00000000-0005-0000-0000-0000A9110000}"/>
    <cellStyle name="_차집수량총괄서_댐직하류 하천정비(환경)사업 기본계획 및 실시설계용역-수공용_용담댐직하류 하천정비공사 설계예산서(남원작성)-_용담댐하류하천환경정비사업설계예산서(건희)" xfId="5618" xr:uid="{00000000-0005-0000-0000-0000AA110000}"/>
    <cellStyle name="_차집수량총괄서_댐직하류 하천정비(환경)사업 기본계획 및 실시설계용역-수공용_용담댐직하류 하천정비공사 설계예산서(남원작성)-_용담댐하류하천환경정비사업설계예산서(건희)_1) 신천금호강 종합개발 기본설계" xfId="5619" xr:uid="{00000000-0005-0000-0000-0000AB110000}"/>
    <cellStyle name="_차집수량총괄서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5620" xr:uid="{00000000-0005-0000-0000-0000AC110000}"/>
    <cellStyle name="_차집수량총괄서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5621" xr:uid="{00000000-0005-0000-0000-0000AD110000}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신천-금호강)" xfId="5622" xr:uid="{00000000-0005-0000-0000-0000AE110000}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5623" xr:uid="{00000000-0005-0000-0000-0000AF110000}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5624" xr:uid="{00000000-0005-0000-0000-0000B0110000}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전체)" xfId="5625" xr:uid="{00000000-0005-0000-0000-0000B1110000}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5626" xr:uid="{00000000-0005-0000-0000-0000B2110000}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5627" xr:uid="{00000000-0005-0000-0000-0000B3110000}"/>
    <cellStyle name="_차집수량총괄서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5628" xr:uid="{00000000-0005-0000-0000-0000B4110000}"/>
    <cellStyle name="_차집수량총괄서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5629" xr:uid="{00000000-0005-0000-0000-0000B5110000}"/>
    <cellStyle name="_차집수량총괄서_댐직하류 하천정비(환경)사업 기본계획 및 실시설계용역-수공용_용담댐직하류 하천정비공사 설계예산서(남원작성)-_용담댐하류하천환경정비사업설계예산서(건희)_심사내역서" xfId="5630" xr:uid="{00000000-0005-0000-0000-0000B6110000}"/>
    <cellStyle name="_차집수량총괄서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799" xr:uid="{00000000-0005-0000-0000-0000B7110000}"/>
    <cellStyle name="_차집수량총괄서_댐직하류 하천정비(환경)사업 기본계획 및 실시설계용역-수공용_용담댐직하류 하천정비공사 설계예산서(남원작성)-_용담댐하류하천환경정비사업설계예산서(건희)_욱수천 하천재해예방사업 내역서" xfId="5631" xr:uid="{00000000-0005-0000-0000-0000B8110000}"/>
    <cellStyle name="_차집수량총괄서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5632" xr:uid="{00000000-0005-0000-0000-0000B9110000}"/>
    <cellStyle name="_차집수량총괄서_댐직하류 하천정비(환경)사업 기본계획 및 실시설계용역-수공용_용담댐직하류 하천정비공사 설계예산서(남원작성)-_욱수천 하천재해예방사업 내역서" xfId="5633" xr:uid="{00000000-0005-0000-0000-0000BA110000}"/>
    <cellStyle name="_차집수량총괄서_댐직하류 하천정비(환경)사업 기본계획 및 실시설계용역-수공용_용담댐직하류 하천정비공사 설계예산서(남원작성)-_욱수천 하천재해예방사업 내역서_002 욱수천정비공사실시설계 내역서_090113" xfId="5634" xr:uid="{00000000-0005-0000-0000-0000BB110000}"/>
    <cellStyle name="_차집수량총괄서_댐직하류 하천정비(환경)사업 기본계획 및 실시설계용역-수공용_용담댐하류하천환경정비사업설계예산서(건희)" xfId="5635" xr:uid="{00000000-0005-0000-0000-0000BC110000}"/>
    <cellStyle name="_차집수량총괄서_댐직하류 하천정비(환경)사업 기본계획 및 실시설계용역-수공용_용담댐하류하천환경정비사업설계예산서(건희)_1) 신천금호강 종합개발 기본설계" xfId="5636" xr:uid="{00000000-0005-0000-0000-0000BD110000}"/>
    <cellStyle name="_차집수량총괄서_댐직하류 하천정비(환경)사업 기본계획 및 실시설계용역-수공용_용담댐하류하천환경정비사업설계예산서(건희)_2) 신천금호강 종합개발 동영상제작(변경최종)" xfId="5637" xr:uid="{00000000-0005-0000-0000-0000BE110000}"/>
    <cellStyle name="_차집수량총괄서_댐직하류 하천정비(환경)사업 기본계획 및 실시설계용역-수공용_용담댐하류하천환경정비사업설계예산서(건희)_3) 신천금호강 종합개발 산책로 실시설계(변경최종)" xfId="5638" xr:uid="{00000000-0005-0000-0000-0000BF110000}"/>
    <cellStyle name="_차집수량총괄서_댐직하류 하천정비(환경)사업 기본계획 및 실시설계용역-수공용_용담댐하류하천환경정비사업설계예산서(건희)_설계내역서(신천-금호강)" xfId="5639" xr:uid="{00000000-0005-0000-0000-0000C0110000}"/>
    <cellStyle name="_차집수량총괄서_댐직하류 하천정비(환경)사업 기본계획 및 실시설계용역-수공용_용담댐하류하천환경정비사업설계예산서(건희)_설계내역서(신천-금호강)_욱수천 하천재해예방사업 내역서" xfId="5640" xr:uid="{00000000-0005-0000-0000-0000C1110000}"/>
    <cellStyle name="_차집수량총괄서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5641" xr:uid="{00000000-0005-0000-0000-0000C2110000}"/>
    <cellStyle name="_차집수량총괄서_댐직하류 하천정비(환경)사업 기본계획 및 실시설계용역-수공용_용담댐하류하천환경정비사업설계예산서(건희)_설계내역서(전체)" xfId="5642" xr:uid="{00000000-0005-0000-0000-0000C3110000}"/>
    <cellStyle name="_차집수량총괄서_댐직하류 하천정비(환경)사업 기본계획 및 실시설계용역-수공용_용담댐하류하천환경정비사업설계예산서(건희)_설계내역서(전체)_욱수천 하천재해예방사업 내역서" xfId="5643" xr:uid="{00000000-0005-0000-0000-0000C4110000}"/>
    <cellStyle name="_차집수량총괄서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5644" xr:uid="{00000000-0005-0000-0000-0000C5110000}"/>
    <cellStyle name="_차집수량총괄서_댐직하류 하천정비(환경)사업 기본계획 및 실시설계용역-수공용_용담댐하류하천환경정비사업설계예산서(건희)_신천금호강 종합개발 기본설계  내역서(수정분)" xfId="5645" xr:uid="{00000000-0005-0000-0000-0000C6110000}"/>
    <cellStyle name="_차집수량총괄서_댐직하류 하천정비(환경)사업 기본계획 및 실시설계용역-수공용_용담댐하류하천환경정비사업설계예산서(건희)_신천금호강내역서(수정-보오링,사전재해및환경성제외,측량연장조정9(1).95억0726)" xfId="5646" xr:uid="{00000000-0005-0000-0000-0000C7110000}"/>
    <cellStyle name="_차집수량총괄서_댐직하류 하천정비(환경)사업 기본계획 및 실시설계용역-수공용_용담댐하류하천환경정비사업설계예산서(건희)_심사내역서" xfId="5647" xr:uid="{00000000-0005-0000-0000-0000C8110000}"/>
    <cellStyle name="_차집수량총괄서_댐직하류 하천정비(환경)사업 기본계획 및 실시설계용역-수공용_용담댐하류하천환경정비사업설계예산서(건희)_용담댐하류하천환경정비사업설계예산서(건희)" xfId="7800" xr:uid="{00000000-0005-0000-0000-0000C9110000}"/>
    <cellStyle name="_차집수량총괄서_댐직하류 하천정비(환경)사업 기본계획 및 실시설계용역-수공용_용담댐하류하천환경정비사업설계예산서(건희)_욱수천 하천재해예방사업 내역서" xfId="5648" xr:uid="{00000000-0005-0000-0000-0000CA110000}"/>
    <cellStyle name="_차집수량총괄서_댐직하류 하천정비(환경)사업 기본계획 및 실시설계용역-수공용_용담댐하류하천환경정비사업설계예산서(건희)_욱수천 하천재해예방사업 내역서_002 욱수천정비공사실시설계 내역서_090113" xfId="5649" xr:uid="{00000000-0005-0000-0000-0000CB110000}"/>
    <cellStyle name="_차집수량총괄서_댐직하류 하천정비(환경)사업 기본계획 및 실시설계용역-수공용_욱수천 하천재해예방사업 내역서" xfId="5650" xr:uid="{00000000-0005-0000-0000-0000CC110000}"/>
    <cellStyle name="_차집수량총괄서_댐직하류 하천정비(환경)사업 기본계획 및 실시설계용역-수공용_욱수천 하천재해예방사업 내역서_002 욱수천정비공사실시설계 내역서_090113" xfId="5651" xr:uid="{00000000-0005-0000-0000-0000CD110000}"/>
    <cellStyle name="_차집수량총괄서_용담댐하류하천환경정비사업설계예산서(건희)" xfId="5652" xr:uid="{00000000-0005-0000-0000-0000CE110000}"/>
    <cellStyle name="_차집수량총괄서_용담댐하류하천환경정비사업설계예산서(건희)_1) 신천금호강 종합개발 기본설계" xfId="5653" xr:uid="{00000000-0005-0000-0000-0000CF110000}"/>
    <cellStyle name="_차집수량총괄서_용담댐하류하천환경정비사업설계예산서(건희)_2) 신천금호강 종합개발 동영상제작(변경최종)" xfId="5654" xr:uid="{00000000-0005-0000-0000-0000D0110000}"/>
    <cellStyle name="_차집수량총괄서_용담댐하류하천환경정비사업설계예산서(건희)_3) 신천금호강 종합개발 산책로 실시설계(변경최종)" xfId="5655" xr:uid="{00000000-0005-0000-0000-0000D1110000}"/>
    <cellStyle name="_차집수량총괄서_용담댐하류하천환경정비사업설계예산서(건희)_설계내역서(신천-금호강)" xfId="5656" xr:uid="{00000000-0005-0000-0000-0000D2110000}"/>
    <cellStyle name="_차집수량총괄서_용담댐하류하천환경정비사업설계예산서(건희)_설계내역서(신천-금호강)_욱수천 하천재해예방사업 내역서" xfId="5657" xr:uid="{00000000-0005-0000-0000-0000D3110000}"/>
    <cellStyle name="_차집수량총괄서_용담댐하류하천환경정비사업설계예산서(건희)_설계내역서(신천-금호강)_욱수천 하천재해예방사업 내역서_002 욱수천정비공사실시설계 내역서_090113" xfId="5658" xr:uid="{00000000-0005-0000-0000-0000D4110000}"/>
    <cellStyle name="_차집수량총괄서_용담댐하류하천환경정비사업설계예산서(건희)_설계내역서(전체)" xfId="5659" xr:uid="{00000000-0005-0000-0000-0000D5110000}"/>
    <cellStyle name="_차집수량총괄서_용담댐하류하천환경정비사업설계예산서(건희)_설계내역서(전체)_욱수천 하천재해예방사업 내역서" xfId="5660" xr:uid="{00000000-0005-0000-0000-0000D6110000}"/>
    <cellStyle name="_차집수량총괄서_용담댐하류하천환경정비사업설계예산서(건희)_설계내역서(전체)_욱수천 하천재해예방사업 내역서_002 욱수천정비공사실시설계 내역서_090113" xfId="5661" xr:uid="{00000000-0005-0000-0000-0000D7110000}"/>
    <cellStyle name="_차집수량총괄서_용담댐하류하천환경정비사업설계예산서(건희)_신천금호강 종합개발 기본설계  내역서(수정분)" xfId="5662" xr:uid="{00000000-0005-0000-0000-0000D8110000}"/>
    <cellStyle name="_차집수량총괄서_용담댐하류하천환경정비사업설계예산서(건희)_신천금호강내역서(수정-보오링,사전재해및환경성제외,측량연장조정9(1).95억0726)" xfId="5663" xr:uid="{00000000-0005-0000-0000-0000D9110000}"/>
    <cellStyle name="_차집수량총괄서_용담댐하류하천환경정비사업설계예산서(건희)_심사내역서" xfId="5664" xr:uid="{00000000-0005-0000-0000-0000DA110000}"/>
    <cellStyle name="_차집수량총괄서_용담댐하류하천환경정비사업설계예산서(건희)_용담댐하류하천환경정비사업설계예산서(건희)" xfId="7801" xr:uid="{00000000-0005-0000-0000-0000DB110000}"/>
    <cellStyle name="_차집수량총괄서_용담댐하류하천환경정비사업설계예산서(건희)_욱수천 하천재해예방사업 내역서" xfId="5665" xr:uid="{00000000-0005-0000-0000-0000DC110000}"/>
    <cellStyle name="_차집수량총괄서_용담댐하류하천환경정비사업설계예산서(건희)_욱수천 하천재해예방사업 내역서_002 욱수천정비공사실시설계 내역서_090113" xfId="5666" xr:uid="{00000000-0005-0000-0000-0000DD110000}"/>
    <cellStyle name="_차집수량총괄서_욱수천 하천재해예방사업 내역서" xfId="5667" xr:uid="{00000000-0005-0000-0000-0000DE110000}"/>
    <cellStyle name="_차집수량총괄서_욱수천 하천재해예방사업 내역서_002 욱수천정비공사실시설계 내역서_090113" xfId="5668" xr:uid="{00000000-0005-0000-0000-0000DF110000}"/>
    <cellStyle name="_차천외 3개하천 하천기본계획 수립 용역 내역서(20090113)" xfId="5669" xr:uid="{00000000-0005-0000-0000-0000E0110000}"/>
    <cellStyle name="_차천외 3개하천 하천기본계획 수립 용역 내역서(20090113) 2" xfId="7802" xr:uid="{00000000-0005-0000-0000-0000E1110000}"/>
    <cellStyle name="_참고자료" xfId="5670" xr:uid="{00000000-0005-0000-0000-0000E2110000}"/>
    <cellStyle name="_참고자료 2" xfId="7803" xr:uid="{00000000-0005-0000-0000-0000E3110000}"/>
    <cellStyle name="_창원 북면지역 도시개발사업(감계)" xfId="5671" xr:uid="{00000000-0005-0000-0000-0000E4110000}"/>
    <cellStyle name="_창원 북면지역 도시개발사업(동전)" xfId="5672" xr:uid="{00000000-0005-0000-0000-0000E5110000}"/>
    <cellStyle name="_청소년문화시설 조성사업 사전재해 견적서" xfId="802" xr:uid="{00000000-0005-0000-0000-0000E6110000}"/>
    <cellStyle name="_청소년문화시설 조성사업 사전재해 견적서 2" xfId="7804" xr:uid="{00000000-0005-0000-0000-0000E7110000}"/>
    <cellStyle name="_청원군내역서(토목)" xfId="803" xr:uid="{00000000-0005-0000-0000-0000E8110000}"/>
    <cellStyle name="_청주도시기본계획 변경설계서(최종)" xfId="1440" xr:uid="{00000000-0005-0000-0000-0000E9110000}"/>
    <cellStyle name="_총괄단가산출근거표" xfId="5673" xr:uid="{00000000-0005-0000-0000-0000EA110000}"/>
    <cellStyle name="_총괄단가산출근거표 2" xfId="7805" xr:uid="{00000000-0005-0000-0000-0000EB110000}"/>
    <cellStyle name="_총괄최종내역" xfId="5674" xr:uid="{00000000-0005-0000-0000-0000EC110000}"/>
    <cellStyle name="_총괄최종내역 2" xfId="7806" xr:uid="{00000000-0005-0000-0000-0000ED110000}"/>
    <cellStyle name="_최종실적(최종)" xfId="804" xr:uid="{00000000-0005-0000-0000-0000EE110000}"/>
    <cellStyle name="_최종실적(최종)_수량산출서(2003.4.1)" xfId="805" xr:uid="{00000000-0005-0000-0000-0000EF110000}"/>
    <cellStyle name="_최종실적(최종)_영천댐수량산출" xfId="806" xr:uid="{00000000-0005-0000-0000-0000F0110000}"/>
    <cellStyle name="_최종실적(최종)_영천댐수량산출_수량산출서(2003.4.1)" xfId="807" xr:uid="{00000000-0005-0000-0000-0000F1110000}"/>
    <cellStyle name="_최종원가(GIS)" xfId="5675" xr:uid="{00000000-0005-0000-0000-0000F2110000}"/>
    <cellStyle name="_최종원가(GIS) 2" xfId="7807" xr:uid="{00000000-0005-0000-0000-0000F3110000}"/>
    <cellStyle name="_최종원가(기반시설)" xfId="5676" xr:uid="{00000000-0005-0000-0000-0000F4110000}"/>
    <cellStyle name="_최종원가(기반시설) 2" xfId="7808" xr:uid="{00000000-0005-0000-0000-0000F5110000}"/>
    <cellStyle name="_최종원가(방범)" xfId="5677" xr:uid="{00000000-0005-0000-0000-0000F6110000}"/>
    <cellStyle name="_최종원가(방범) 2" xfId="7809" xr:uid="{00000000-0005-0000-0000-0000F7110000}"/>
    <cellStyle name="_최종원가(인테리어)" xfId="5678" xr:uid="{00000000-0005-0000-0000-0000F8110000}"/>
    <cellStyle name="_최종원가(인테리어) 2" xfId="7810" xr:uid="{00000000-0005-0000-0000-0000F9110000}"/>
    <cellStyle name="_최종원가(종합보안)" xfId="5679" xr:uid="{00000000-0005-0000-0000-0000FA110000}"/>
    <cellStyle name="_최종원가(종합보안) 2" xfId="7811" xr:uid="{00000000-0005-0000-0000-0000FB110000}"/>
    <cellStyle name="_충남남부권산근(전체분변경)" xfId="808" xr:uid="{00000000-0005-0000-0000-0000FC110000}"/>
    <cellStyle name="_충주댐초소설치공사(변경설계서,최종)" xfId="5680" xr:uid="{00000000-0005-0000-0000-0000FD110000}"/>
    <cellStyle name="_충주댐초소설치공사(변경설계서,최종) 2" xfId="7812" xr:uid="{00000000-0005-0000-0000-0000FE110000}"/>
    <cellStyle name="_충주댐초소설치공사(변경설계서,최종)_댐직하류 하천정비(환경)사업 기본계획 및 실시설계용역-수공용" xfId="5681" xr:uid="{00000000-0005-0000-0000-0000FF110000}"/>
    <cellStyle name="_충주댐초소설치공사(변경설계서,최종)_댐직하류 하천정비(환경)사업 기본계획 및 실시설계용역-수공용 2" xfId="7813" xr:uid="{00000000-0005-0000-0000-000000120000}"/>
    <cellStyle name="_충주댐초소설치공사(변경설계서,최종)_댐직하류 하천정비(환경)사업 기본계획 및 실시설계용역-수공용_용담댐직하류 하천정비공사 설계예산서(남원작성)-" xfId="5682" xr:uid="{00000000-0005-0000-0000-000001120000}"/>
    <cellStyle name="_충주댐초소설치공사(변경설계서,최종)_댐직하류 하천정비(환경)사업 기본계획 및 실시설계용역-수공용_용담댐직하류 하천정비공사 설계예산서(남원작성)- 2" xfId="7814" xr:uid="{00000000-0005-0000-0000-000002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" xfId="5683" xr:uid="{00000000-0005-0000-0000-000003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1) 신천금호강 종합개발 기본설계" xfId="5684" xr:uid="{00000000-0005-0000-0000-000004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5685" xr:uid="{00000000-0005-0000-0000-000005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5686" xr:uid="{00000000-0005-0000-0000-000006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신천-금호강)" xfId="5687" xr:uid="{00000000-0005-0000-0000-000007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5688" xr:uid="{00000000-0005-0000-0000-000008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5689" xr:uid="{00000000-0005-0000-0000-000009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전체)" xfId="5690" xr:uid="{00000000-0005-0000-0000-00000A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5691" xr:uid="{00000000-0005-0000-0000-00000B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5692" xr:uid="{00000000-0005-0000-0000-00000C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5693" xr:uid="{00000000-0005-0000-0000-00000D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5694" xr:uid="{00000000-0005-0000-0000-00000E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심사내역서" xfId="5695" xr:uid="{00000000-0005-0000-0000-00000F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815" xr:uid="{00000000-0005-0000-0000-000010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욱수천 하천재해예방사업 내역서" xfId="5696" xr:uid="{00000000-0005-0000-0000-000011120000}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5697" xr:uid="{00000000-0005-0000-0000-000012120000}"/>
    <cellStyle name="_충주댐초소설치공사(변경설계서,최종)_댐직하류 하천정비(환경)사업 기본계획 및 실시설계용역-수공용_용담댐직하류 하천정비공사 설계예산서(남원작성)-_욱수천 하천재해예방사업 내역서" xfId="5698" xr:uid="{00000000-0005-0000-0000-000013120000}"/>
    <cellStyle name="_충주댐초소설치공사(변경설계서,최종)_댐직하류 하천정비(환경)사업 기본계획 및 실시설계용역-수공용_용담댐직하류 하천정비공사 설계예산서(남원작성)-_욱수천 하천재해예방사업 내역서_002 욱수천정비공사실시설계 내역서_090113" xfId="5699" xr:uid="{00000000-0005-0000-0000-000014120000}"/>
    <cellStyle name="_충주댐초소설치공사(변경설계서,최종)_댐직하류 하천정비(환경)사업 기본계획 및 실시설계용역-수공용_용담댐하류하천환경정비사업설계예산서(건희)" xfId="5700" xr:uid="{00000000-0005-0000-0000-000015120000}"/>
    <cellStyle name="_충주댐초소설치공사(변경설계서,최종)_댐직하류 하천정비(환경)사업 기본계획 및 실시설계용역-수공용_용담댐하류하천환경정비사업설계예산서(건희)_1) 신천금호강 종합개발 기본설계" xfId="5701" xr:uid="{00000000-0005-0000-0000-000016120000}"/>
    <cellStyle name="_충주댐초소설치공사(변경설계서,최종)_댐직하류 하천정비(환경)사업 기본계획 및 실시설계용역-수공용_용담댐하류하천환경정비사업설계예산서(건희)_2) 신천금호강 종합개발 동영상제작(변경최종)" xfId="5702" xr:uid="{00000000-0005-0000-0000-000017120000}"/>
    <cellStyle name="_충주댐초소설치공사(변경설계서,최종)_댐직하류 하천정비(환경)사업 기본계획 및 실시설계용역-수공용_용담댐하류하천환경정비사업설계예산서(건희)_3) 신천금호강 종합개발 산책로 실시설계(변경최종)" xfId="5703" xr:uid="{00000000-0005-0000-0000-000018120000}"/>
    <cellStyle name="_충주댐초소설치공사(변경설계서,최종)_댐직하류 하천정비(환경)사업 기본계획 및 실시설계용역-수공용_용담댐하류하천환경정비사업설계예산서(건희)_설계내역서(신천-금호강)" xfId="5704" xr:uid="{00000000-0005-0000-0000-000019120000}"/>
    <cellStyle name="_충주댐초소설치공사(변경설계서,최종)_댐직하류 하천정비(환경)사업 기본계획 및 실시설계용역-수공용_용담댐하류하천환경정비사업설계예산서(건희)_설계내역서(신천-금호강)_욱수천 하천재해예방사업 내역서" xfId="5705" xr:uid="{00000000-0005-0000-0000-00001A120000}"/>
    <cellStyle name="_충주댐초소설치공사(변경설계서,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5706" xr:uid="{00000000-0005-0000-0000-00001B120000}"/>
    <cellStyle name="_충주댐초소설치공사(변경설계서,최종)_댐직하류 하천정비(환경)사업 기본계획 및 실시설계용역-수공용_용담댐하류하천환경정비사업설계예산서(건희)_설계내역서(전체)" xfId="5707" xr:uid="{00000000-0005-0000-0000-00001C120000}"/>
    <cellStyle name="_충주댐초소설치공사(변경설계서,최종)_댐직하류 하천정비(환경)사업 기본계획 및 실시설계용역-수공용_용담댐하류하천환경정비사업설계예산서(건희)_설계내역서(전체)_욱수천 하천재해예방사업 내역서" xfId="5708" xr:uid="{00000000-0005-0000-0000-00001D120000}"/>
    <cellStyle name="_충주댐초소설치공사(변경설계서,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5709" xr:uid="{00000000-0005-0000-0000-00001E120000}"/>
    <cellStyle name="_충주댐초소설치공사(변경설계서,최종)_댐직하류 하천정비(환경)사업 기본계획 및 실시설계용역-수공용_용담댐하류하천환경정비사업설계예산서(건희)_신천금호강 종합개발 기본설계  내역서(수정분)" xfId="5710" xr:uid="{00000000-0005-0000-0000-00001F120000}"/>
    <cellStyle name="_충주댐초소설치공사(변경설계서,최종)_댐직하류 하천정비(환경)사업 기본계획 및 실시설계용역-수공용_용담댐하류하천환경정비사업설계예산서(건희)_신천금호강내역서(수정-보오링,사전재해및환경성제외,측량연장조정9(1).95억0726)" xfId="5711" xr:uid="{00000000-0005-0000-0000-000020120000}"/>
    <cellStyle name="_충주댐초소설치공사(변경설계서,최종)_댐직하류 하천정비(환경)사업 기본계획 및 실시설계용역-수공용_용담댐하류하천환경정비사업설계예산서(건희)_심사내역서" xfId="5712" xr:uid="{00000000-0005-0000-0000-000021120000}"/>
    <cellStyle name="_충주댐초소설치공사(변경설계서,최종)_댐직하류 하천정비(환경)사업 기본계획 및 실시설계용역-수공용_용담댐하류하천환경정비사업설계예산서(건희)_용담댐하류하천환경정비사업설계예산서(건희)" xfId="7816" xr:uid="{00000000-0005-0000-0000-000022120000}"/>
    <cellStyle name="_충주댐초소설치공사(변경설계서,최종)_댐직하류 하천정비(환경)사업 기본계획 및 실시설계용역-수공용_용담댐하류하천환경정비사업설계예산서(건희)_욱수천 하천재해예방사업 내역서" xfId="5713" xr:uid="{00000000-0005-0000-0000-000023120000}"/>
    <cellStyle name="_충주댐초소설치공사(변경설계서,최종)_댐직하류 하천정비(환경)사업 기본계획 및 실시설계용역-수공용_용담댐하류하천환경정비사업설계예산서(건희)_욱수천 하천재해예방사업 내역서_002 욱수천정비공사실시설계 내역서_090113" xfId="5714" xr:uid="{00000000-0005-0000-0000-000024120000}"/>
    <cellStyle name="_충주댐초소설치공사(변경설계서,최종)_댐직하류 하천정비(환경)사업 기본계획 및 실시설계용역-수공용_욱수천 하천재해예방사업 내역서" xfId="5715" xr:uid="{00000000-0005-0000-0000-000025120000}"/>
    <cellStyle name="_충주댐초소설치공사(변경설계서,최종)_댐직하류 하천정비(환경)사업 기본계획 및 실시설계용역-수공용_욱수천 하천재해예방사업 내역서_002 욱수천정비공사실시설계 내역서_090113" xfId="5716" xr:uid="{00000000-0005-0000-0000-000026120000}"/>
    <cellStyle name="_충주댐초소설치공사(변경설계서,최종)_용담댐하류하천환경정비사업설계예산서(건희)" xfId="5717" xr:uid="{00000000-0005-0000-0000-000027120000}"/>
    <cellStyle name="_충주댐초소설치공사(변경설계서,최종)_용담댐하류하천환경정비사업설계예산서(건희)_1) 신천금호강 종합개발 기본설계" xfId="5718" xr:uid="{00000000-0005-0000-0000-000028120000}"/>
    <cellStyle name="_충주댐초소설치공사(변경설계서,최종)_용담댐하류하천환경정비사업설계예산서(건희)_2) 신천금호강 종합개발 동영상제작(변경최종)" xfId="5719" xr:uid="{00000000-0005-0000-0000-000029120000}"/>
    <cellStyle name="_충주댐초소설치공사(변경설계서,최종)_용담댐하류하천환경정비사업설계예산서(건희)_3) 신천금호강 종합개발 산책로 실시설계(변경최종)" xfId="5720" xr:uid="{00000000-0005-0000-0000-00002A120000}"/>
    <cellStyle name="_충주댐초소설치공사(변경설계서,최종)_용담댐하류하천환경정비사업설계예산서(건희)_설계내역서(신천-금호강)" xfId="5721" xr:uid="{00000000-0005-0000-0000-00002B120000}"/>
    <cellStyle name="_충주댐초소설치공사(변경설계서,최종)_용담댐하류하천환경정비사업설계예산서(건희)_설계내역서(신천-금호강)_욱수천 하천재해예방사업 내역서" xfId="5722" xr:uid="{00000000-0005-0000-0000-00002C120000}"/>
    <cellStyle name="_충주댐초소설치공사(변경설계서,최종)_용담댐하류하천환경정비사업설계예산서(건희)_설계내역서(신천-금호강)_욱수천 하천재해예방사업 내역서_002 욱수천정비공사실시설계 내역서_090113" xfId="5723" xr:uid="{00000000-0005-0000-0000-00002D120000}"/>
    <cellStyle name="_충주댐초소설치공사(변경설계서,최종)_용담댐하류하천환경정비사업설계예산서(건희)_설계내역서(전체)" xfId="5724" xr:uid="{00000000-0005-0000-0000-00002E120000}"/>
    <cellStyle name="_충주댐초소설치공사(변경설계서,최종)_용담댐하류하천환경정비사업설계예산서(건희)_설계내역서(전체)_욱수천 하천재해예방사업 내역서" xfId="5725" xr:uid="{00000000-0005-0000-0000-00002F120000}"/>
    <cellStyle name="_충주댐초소설치공사(변경설계서,최종)_용담댐하류하천환경정비사업설계예산서(건희)_설계내역서(전체)_욱수천 하천재해예방사업 내역서_002 욱수천정비공사실시설계 내역서_090113" xfId="5726" xr:uid="{00000000-0005-0000-0000-000030120000}"/>
    <cellStyle name="_충주댐초소설치공사(변경설계서,최종)_용담댐하류하천환경정비사업설계예산서(건희)_신천금호강 종합개발 기본설계  내역서(수정분)" xfId="5727" xr:uid="{00000000-0005-0000-0000-000031120000}"/>
    <cellStyle name="_충주댐초소설치공사(변경설계서,최종)_용담댐하류하천환경정비사업설계예산서(건희)_신천금호강내역서(수정-보오링,사전재해및환경성제외,측량연장조정9(1).95억0726)" xfId="5728" xr:uid="{00000000-0005-0000-0000-000032120000}"/>
    <cellStyle name="_충주댐초소설치공사(변경설계서,최종)_용담댐하류하천환경정비사업설계예산서(건희)_심사내역서" xfId="5729" xr:uid="{00000000-0005-0000-0000-000033120000}"/>
    <cellStyle name="_충주댐초소설치공사(변경설계서,최종)_용담댐하류하천환경정비사업설계예산서(건희)_용담댐하류하천환경정비사업설계예산서(건희)" xfId="7817" xr:uid="{00000000-0005-0000-0000-000034120000}"/>
    <cellStyle name="_충주댐초소설치공사(변경설계서,최종)_용담댐하류하천환경정비사업설계예산서(건희)_욱수천 하천재해예방사업 내역서" xfId="5730" xr:uid="{00000000-0005-0000-0000-000035120000}"/>
    <cellStyle name="_충주댐초소설치공사(변경설계서,최종)_용담댐하류하천환경정비사업설계예산서(건희)_욱수천 하천재해예방사업 내역서_002 욱수천정비공사실시설계 내역서_090113" xfId="5731" xr:uid="{00000000-0005-0000-0000-000036120000}"/>
    <cellStyle name="_충주댐초소설치공사(변경설계서,최종)_욱수천 하천재해예방사업 내역서" xfId="5732" xr:uid="{00000000-0005-0000-0000-000037120000}"/>
    <cellStyle name="_충주댐초소설치공사(변경설계서,최종)_욱수천 하천재해예방사업 내역서_002 욱수천정비공사실시설계 내역서_090113" xfId="5733" xr:uid="{00000000-0005-0000-0000-000038120000}"/>
    <cellStyle name="_측량(항측,감계)" xfId="5734" xr:uid="{00000000-0005-0000-0000-000039120000}"/>
    <cellStyle name="_측량(항측,동전)" xfId="5735" xr:uid="{00000000-0005-0000-0000-00003A120000}"/>
    <cellStyle name="_코마스HW(1023)" xfId="5736" xr:uid="{00000000-0005-0000-0000-00003B120000}"/>
    <cellStyle name="_코마스HW(1023) 2" xfId="7818" xr:uid="{00000000-0005-0000-0000-00003C120000}"/>
    <cellStyle name="_터미널현장 토사반입(낙찰적용,시속35)" xfId="1441" xr:uid="{00000000-0005-0000-0000-00003D120000}"/>
    <cellStyle name="_토공계획" xfId="5737" xr:uid="{00000000-0005-0000-0000-00003E120000}"/>
    <cellStyle name="_토공계획_B-1,B-1-1노선변경실정보고" xfId="5738" xr:uid="{00000000-0005-0000-0000-00003F120000}"/>
    <cellStyle name="_토공계획_구조물공사시공계획서" xfId="5739" xr:uid="{00000000-0005-0000-0000-000040120000}"/>
    <cellStyle name="_토공계획_구조물공사시공계획서_B-1,B-1-1노선변경실정보고" xfId="5740" xr:uid="{00000000-0005-0000-0000-000041120000}"/>
    <cellStyle name="_토공계획_토공사시공계획서" xfId="5741" xr:uid="{00000000-0005-0000-0000-000042120000}"/>
    <cellStyle name="_토공계획_토공사시공계획서(포)" xfId="5742" xr:uid="{00000000-0005-0000-0000-000043120000}"/>
    <cellStyle name="_토공계획_토공사시공계획서(포)_B-1,B-1-1노선변경실정보고" xfId="5743" xr:uid="{00000000-0005-0000-0000-000044120000}"/>
    <cellStyle name="_토공계획_토공사시공계획서_B-1,B-1-1노선변경실정보고" xfId="5744" xr:uid="{00000000-0005-0000-0000-000045120000}"/>
    <cellStyle name="_토공시공계획서(효)" xfId="5745" xr:uid="{00000000-0005-0000-0000-000046120000}"/>
    <cellStyle name="_토공시공계획서(효)_B-1,B-1-1노선변경실정보고" xfId="5746" xr:uid="{00000000-0005-0000-0000-000047120000}"/>
    <cellStyle name="_토공시공계획서(효)_구조물공사시공계획서" xfId="5747" xr:uid="{00000000-0005-0000-0000-000048120000}"/>
    <cellStyle name="_토공시공계획서(효)_구조물공사시공계획서_B-1,B-1-1노선변경실정보고" xfId="5748" xr:uid="{00000000-0005-0000-0000-000049120000}"/>
    <cellStyle name="_토공시공계획서(효)_토공사시공계획서" xfId="5749" xr:uid="{00000000-0005-0000-0000-00004A120000}"/>
    <cellStyle name="_토공시공계획서(효)_토공사시공계획서(포)" xfId="5750" xr:uid="{00000000-0005-0000-0000-00004B120000}"/>
    <cellStyle name="_토공시공계획서(효)_토공사시공계획서(포)_B-1,B-1-1노선변경실정보고" xfId="5751" xr:uid="{00000000-0005-0000-0000-00004C120000}"/>
    <cellStyle name="_토공시공계획서(효)_토공사시공계획서_B-1,B-1-1노선변경실정보고" xfId="5752" xr:uid="{00000000-0005-0000-0000-00004D120000}"/>
    <cellStyle name="_토류판 설치작업" xfId="5753" xr:uid="{00000000-0005-0000-0000-00004E120000}"/>
    <cellStyle name="_토류판 설치작업 2" xfId="7819" xr:uid="{00000000-0005-0000-0000-00004F120000}"/>
    <cellStyle name="_토류판 설치작업_댐직하류 하천정비(환경)사업 기본계획 및 실시설계용역-수공용" xfId="5754" xr:uid="{00000000-0005-0000-0000-000050120000}"/>
    <cellStyle name="_토류판 설치작업_댐직하류 하천정비(환경)사업 기본계획 및 실시설계용역-수공용 2" xfId="7820" xr:uid="{00000000-0005-0000-0000-000051120000}"/>
    <cellStyle name="_토류판 설치작업_댐직하류 하천정비(환경)사업 기본계획 및 실시설계용역-수공용_용담댐직하류 하천정비공사 설계예산서(남원작성)-" xfId="5755" xr:uid="{00000000-0005-0000-0000-000052120000}"/>
    <cellStyle name="_토류판 설치작업_댐직하류 하천정비(환경)사업 기본계획 및 실시설계용역-수공용_용담댐직하류 하천정비공사 설계예산서(남원작성)- 2" xfId="7821" xr:uid="{00000000-0005-0000-0000-000053120000}"/>
    <cellStyle name="_토류판 설치작업_댐직하류 하천정비(환경)사업 기본계획 및 실시설계용역-수공용_용담댐직하류 하천정비공사 설계예산서(남원작성)-_용담댐하류하천환경정비사업설계예산서(건희)" xfId="5756" xr:uid="{00000000-0005-0000-0000-000054120000}"/>
    <cellStyle name="_토류판 설치작업_댐직하류 하천정비(환경)사업 기본계획 및 실시설계용역-수공용_용담댐직하류 하천정비공사 설계예산서(남원작성)-_용담댐하류하천환경정비사업설계예산서(건희)_1) 신천금호강 종합개발 기본설계" xfId="5757" xr:uid="{00000000-0005-0000-0000-000055120000}"/>
    <cellStyle name="_토류판 설치작업_댐직하류 하천정비(환경)사업 기본계획 및 실시설계용역-수공용_용담댐직하류 하천정비공사 설계예산서(남원작성)-_용담댐하류하천환경정비사업설계예산서(건희)_2) 신천금호강 종합개발 동영상제작(변경최종)" xfId="5758" xr:uid="{00000000-0005-0000-0000-000056120000}"/>
    <cellStyle name="_토류판 설치작업_댐직하류 하천정비(환경)사업 기본계획 및 실시설계용역-수공용_용담댐직하류 하천정비공사 설계예산서(남원작성)-_용담댐하류하천환경정비사업설계예산서(건희)_3) 신천금호강 종합개발 산책로 실시설계(변경최종)" xfId="5759" xr:uid="{00000000-0005-0000-0000-000057120000}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신천-금호강)" xfId="5760" xr:uid="{00000000-0005-0000-0000-000058120000}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5761" xr:uid="{00000000-0005-0000-0000-000059120000}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5762" xr:uid="{00000000-0005-0000-0000-00005A120000}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전체)" xfId="5763" xr:uid="{00000000-0005-0000-0000-00005B120000}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5764" xr:uid="{00000000-0005-0000-0000-00005C120000}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5765" xr:uid="{00000000-0005-0000-0000-00005D120000}"/>
    <cellStyle name="_토류판 설치작업_댐직하류 하천정비(환경)사업 기본계획 및 실시설계용역-수공용_용담댐직하류 하천정비공사 설계예산서(남원작성)-_용담댐하류하천환경정비사업설계예산서(건희)_신천금호강 종합개발 기본설계  내역서(수정분)" xfId="5766" xr:uid="{00000000-0005-0000-0000-00005E120000}"/>
    <cellStyle name="_토류판 설치작업_댐직하류 하천정비(환경)사업 기본계획 및 실시설계용역-수공용_용담댐직하류 하천정비공사 설계예산서(남원작성)-_용담댐하류하천환경정비사업설계예산서(건희)_신천금호강내역서(수정-보오링,사전재해및환경성제외,측량연장조정9(1).95억0726)" xfId="5767" xr:uid="{00000000-0005-0000-0000-00005F120000}"/>
    <cellStyle name="_토류판 설치작업_댐직하류 하천정비(환경)사업 기본계획 및 실시설계용역-수공용_용담댐직하류 하천정비공사 설계예산서(남원작성)-_용담댐하류하천환경정비사업설계예산서(건희)_심사내역서" xfId="5768" xr:uid="{00000000-0005-0000-0000-000060120000}"/>
    <cellStyle name="_토류판 설치작업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7822" xr:uid="{00000000-0005-0000-0000-000061120000}"/>
    <cellStyle name="_토류판 설치작업_댐직하류 하천정비(환경)사업 기본계획 및 실시설계용역-수공용_용담댐직하류 하천정비공사 설계예산서(남원작성)-_용담댐하류하천환경정비사업설계예산서(건희)_욱수천 하천재해예방사업 내역서" xfId="5769" xr:uid="{00000000-0005-0000-0000-000062120000}"/>
    <cellStyle name="_토류판 설치작업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5770" xr:uid="{00000000-0005-0000-0000-000063120000}"/>
    <cellStyle name="_토류판 설치작업_댐직하류 하천정비(환경)사업 기본계획 및 실시설계용역-수공용_용담댐직하류 하천정비공사 설계예산서(남원작성)-_욱수천 하천재해예방사업 내역서" xfId="5771" xr:uid="{00000000-0005-0000-0000-000064120000}"/>
    <cellStyle name="_토류판 설치작업_댐직하류 하천정비(환경)사업 기본계획 및 실시설계용역-수공용_용담댐직하류 하천정비공사 설계예산서(남원작성)-_욱수천 하천재해예방사업 내역서_002 욱수천정비공사실시설계 내역서_090113" xfId="5772" xr:uid="{00000000-0005-0000-0000-000065120000}"/>
    <cellStyle name="_토류판 설치작업_댐직하류 하천정비(환경)사업 기본계획 및 실시설계용역-수공용_용담댐하류하천환경정비사업설계예산서(건희)" xfId="5773" xr:uid="{00000000-0005-0000-0000-000066120000}"/>
    <cellStyle name="_토류판 설치작업_댐직하류 하천정비(환경)사업 기본계획 및 실시설계용역-수공용_용담댐하류하천환경정비사업설계예산서(건희)_1) 신천금호강 종합개발 기본설계" xfId="5774" xr:uid="{00000000-0005-0000-0000-000067120000}"/>
    <cellStyle name="_토류판 설치작업_댐직하류 하천정비(환경)사업 기본계획 및 실시설계용역-수공용_용담댐하류하천환경정비사업설계예산서(건희)_2) 신천금호강 종합개발 동영상제작(변경최종)" xfId="5775" xr:uid="{00000000-0005-0000-0000-000068120000}"/>
    <cellStyle name="_토류판 설치작업_댐직하류 하천정비(환경)사업 기본계획 및 실시설계용역-수공용_용담댐하류하천환경정비사업설계예산서(건희)_3) 신천금호강 종합개발 산책로 실시설계(변경최종)" xfId="5776" xr:uid="{00000000-0005-0000-0000-000069120000}"/>
    <cellStyle name="_토류판 설치작업_댐직하류 하천정비(환경)사업 기본계획 및 실시설계용역-수공용_용담댐하류하천환경정비사업설계예산서(건희)_설계내역서(신천-금호강)" xfId="5777" xr:uid="{00000000-0005-0000-0000-00006A120000}"/>
    <cellStyle name="_토류판 설치작업_댐직하류 하천정비(환경)사업 기본계획 및 실시설계용역-수공용_용담댐하류하천환경정비사업설계예산서(건희)_설계내역서(신천-금호강)_욱수천 하천재해예방사업 내역서" xfId="5778" xr:uid="{00000000-0005-0000-0000-00006B120000}"/>
    <cellStyle name="_토류판 설치작업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5779" xr:uid="{00000000-0005-0000-0000-00006C120000}"/>
    <cellStyle name="_토류판 설치작업_댐직하류 하천정비(환경)사업 기본계획 및 실시설계용역-수공용_용담댐하류하천환경정비사업설계예산서(건희)_설계내역서(전체)" xfId="5780" xr:uid="{00000000-0005-0000-0000-00006D120000}"/>
    <cellStyle name="_토류판 설치작업_댐직하류 하천정비(환경)사업 기본계획 및 실시설계용역-수공용_용담댐하류하천환경정비사업설계예산서(건희)_설계내역서(전체)_욱수천 하천재해예방사업 내역서" xfId="5781" xr:uid="{00000000-0005-0000-0000-00006E120000}"/>
    <cellStyle name="_토류판 설치작업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5782" xr:uid="{00000000-0005-0000-0000-00006F120000}"/>
    <cellStyle name="_토류판 설치작업_댐직하류 하천정비(환경)사업 기본계획 및 실시설계용역-수공용_용담댐하류하천환경정비사업설계예산서(건희)_신천금호강 종합개발 기본설계  내역서(수정분)" xfId="5783" xr:uid="{00000000-0005-0000-0000-000070120000}"/>
    <cellStyle name="_토류판 설치작업_댐직하류 하천정비(환경)사업 기본계획 및 실시설계용역-수공용_용담댐하류하천환경정비사업설계예산서(건희)_신천금호강내역서(수정-보오링,사전재해및환경성제외,측량연장조정9(1).95억0726)" xfId="5784" xr:uid="{00000000-0005-0000-0000-000071120000}"/>
    <cellStyle name="_토류판 설치작업_댐직하류 하천정비(환경)사업 기본계획 및 실시설계용역-수공용_용담댐하류하천환경정비사업설계예산서(건희)_심사내역서" xfId="5785" xr:uid="{00000000-0005-0000-0000-000072120000}"/>
    <cellStyle name="_토류판 설치작업_댐직하류 하천정비(환경)사업 기본계획 및 실시설계용역-수공용_용담댐하류하천환경정비사업설계예산서(건희)_용담댐하류하천환경정비사업설계예산서(건희)" xfId="7823" xr:uid="{00000000-0005-0000-0000-000073120000}"/>
    <cellStyle name="_토류판 설치작업_댐직하류 하천정비(환경)사업 기본계획 및 실시설계용역-수공용_용담댐하류하천환경정비사업설계예산서(건희)_욱수천 하천재해예방사업 내역서" xfId="5786" xr:uid="{00000000-0005-0000-0000-000074120000}"/>
    <cellStyle name="_토류판 설치작업_댐직하류 하천정비(환경)사업 기본계획 및 실시설계용역-수공용_용담댐하류하천환경정비사업설계예산서(건희)_욱수천 하천재해예방사업 내역서_002 욱수천정비공사실시설계 내역서_090113" xfId="5787" xr:uid="{00000000-0005-0000-0000-000075120000}"/>
    <cellStyle name="_토류판 설치작업_댐직하류 하천정비(환경)사업 기본계획 및 실시설계용역-수공용_욱수천 하천재해예방사업 내역서" xfId="5788" xr:uid="{00000000-0005-0000-0000-000076120000}"/>
    <cellStyle name="_토류판 설치작업_댐직하류 하천정비(환경)사업 기본계획 및 실시설계용역-수공용_욱수천 하천재해예방사업 내역서_002 욱수천정비공사실시설계 내역서_090113" xfId="5789" xr:uid="{00000000-0005-0000-0000-000077120000}"/>
    <cellStyle name="_토류판 설치작업_용담댐하류하천환경정비사업설계예산서(건희)" xfId="5790" xr:uid="{00000000-0005-0000-0000-000078120000}"/>
    <cellStyle name="_토류판 설치작업_용담댐하류하천환경정비사업설계예산서(건희)_1) 신천금호강 종합개발 기본설계" xfId="5791" xr:uid="{00000000-0005-0000-0000-000079120000}"/>
    <cellStyle name="_토류판 설치작업_용담댐하류하천환경정비사업설계예산서(건희)_2) 신천금호강 종합개발 동영상제작(변경최종)" xfId="5792" xr:uid="{00000000-0005-0000-0000-00007A120000}"/>
    <cellStyle name="_토류판 설치작업_용담댐하류하천환경정비사업설계예산서(건희)_3) 신천금호강 종합개발 산책로 실시설계(변경최종)" xfId="5793" xr:uid="{00000000-0005-0000-0000-00007B120000}"/>
    <cellStyle name="_토류판 설치작업_용담댐하류하천환경정비사업설계예산서(건희)_설계내역서(신천-금호강)" xfId="5794" xr:uid="{00000000-0005-0000-0000-00007C120000}"/>
    <cellStyle name="_토류판 설치작업_용담댐하류하천환경정비사업설계예산서(건희)_설계내역서(신천-금호강)_욱수천 하천재해예방사업 내역서" xfId="5795" xr:uid="{00000000-0005-0000-0000-00007D120000}"/>
    <cellStyle name="_토류판 설치작업_용담댐하류하천환경정비사업설계예산서(건희)_설계내역서(신천-금호강)_욱수천 하천재해예방사업 내역서_002 욱수천정비공사실시설계 내역서_090113" xfId="5796" xr:uid="{00000000-0005-0000-0000-00007E120000}"/>
    <cellStyle name="_토류판 설치작업_용담댐하류하천환경정비사업설계예산서(건희)_설계내역서(전체)" xfId="5797" xr:uid="{00000000-0005-0000-0000-00007F120000}"/>
    <cellStyle name="_토류판 설치작업_용담댐하류하천환경정비사업설계예산서(건희)_설계내역서(전체)_욱수천 하천재해예방사업 내역서" xfId="5798" xr:uid="{00000000-0005-0000-0000-000080120000}"/>
    <cellStyle name="_토류판 설치작업_용담댐하류하천환경정비사업설계예산서(건희)_설계내역서(전체)_욱수천 하천재해예방사업 내역서_002 욱수천정비공사실시설계 내역서_090113" xfId="5799" xr:uid="{00000000-0005-0000-0000-000081120000}"/>
    <cellStyle name="_토류판 설치작업_용담댐하류하천환경정비사업설계예산서(건희)_신천금호강 종합개발 기본설계  내역서(수정분)" xfId="5800" xr:uid="{00000000-0005-0000-0000-000082120000}"/>
    <cellStyle name="_토류판 설치작업_용담댐하류하천환경정비사업설계예산서(건희)_신천금호강내역서(수정-보오링,사전재해및환경성제외,측량연장조정9(1).95억0726)" xfId="5801" xr:uid="{00000000-0005-0000-0000-000083120000}"/>
    <cellStyle name="_토류판 설치작업_용담댐하류하천환경정비사업설계예산서(건희)_심사내역서" xfId="5802" xr:uid="{00000000-0005-0000-0000-000084120000}"/>
    <cellStyle name="_토류판 설치작업_용담댐하류하천환경정비사업설계예산서(건희)_용담댐하류하천환경정비사업설계예산서(건희)" xfId="7824" xr:uid="{00000000-0005-0000-0000-000085120000}"/>
    <cellStyle name="_토류판 설치작업_용담댐하류하천환경정비사업설계예산서(건희)_욱수천 하천재해예방사업 내역서" xfId="5803" xr:uid="{00000000-0005-0000-0000-000086120000}"/>
    <cellStyle name="_토류판 설치작업_용담댐하류하천환경정비사업설계예산서(건희)_욱수천 하천재해예방사업 내역서_002 욱수천정비공사실시설계 내역서_090113" xfId="5804" xr:uid="{00000000-0005-0000-0000-000087120000}"/>
    <cellStyle name="_토류판 설치작업_욱수천 하천재해예방사업 내역서" xfId="5805" xr:uid="{00000000-0005-0000-0000-000088120000}"/>
    <cellStyle name="_토류판 설치작업_욱수천 하천재해예방사업 내역서_002 욱수천정비공사실시설계 내역서_090113" xfId="5806" xr:uid="{00000000-0005-0000-0000-000089120000}"/>
    <cellStyle name="_토질부문설계변경내역서" xfId="5807" xr:uid="{00000000-0005-0000-0000-00008A120000}"/>
    <cellStyle name="_토질부문설계변경내역서 2" xfId="7825" xr:uid="{00000000-0005-0000-0000-00008B120000}"/>
    <cellStyle name="_토질조사(감계)" xfId="5808" xr:uid="{00000000-0005-0000-0000-00008C120000}"/>
    <cellStyle name="_토질조사(동전)" xfId="5809" xr:uid="{00000000-0005-0000-0000-00008D120000}"/>
    <cellStyle name="_토질조사내역서(부안)" xfId="5810" xr:uid="{00000000-0005-0000-0000-00008E120000}"/>
    <cellStyle name="_토질조사내역서(부안) 2" xfId="7826" xr:uid="{00000000-0005-0000-0000-00008F120000}"/>
    <cellStyle name="_토질조사비(2007)" xfId="5811" xr:uid="{00000000-0005-0000-0000-000090120000}"/>
    <cellStyle name="_통리투찰" xfId="3302" xr:uid="{00000000-0005-0000-0000-000091120000}"/>
    <cellStyle name="_통리투찰_병천하수 견적060412" xfId="3303" xr:uid="{00000000-0005-0000-0000-000092120000}"/>
    <cellStyle name="_통리투찰_사본 - 기성내역서(대경엔텍)" xfId="3304" xr:uid="{00000000-0005-0000-0000-000093120000}"/>
    <cellStyle name="_통리투찰_사본 - 기성내역서(대경엔텍)_병천하수 견적060412" xfId="3305" xr:uid="{00000000-0005-0000-0000-000094120000}"/>
    <cellStyle name="_통리투찰_사본 - 기성내역서(대경엔텍)_산북하수견적서" xfId="3306" xr:uid="{00000000-0005-0000-0000-000095120000}"/>
    <cellStyle name="_통리투찰_사본 - 기성내역서(대경엔텍)_통일하수내역서" xfId="3307" xr:uid="{00000000-0005-0000-0000-000096120000}"/>
    <cellStyle name="_통리투찰_산북하수견적서" xfId="3308" xr:uid="{00000000-0005-0000-0000-000097120000}"/>
    <cellStyle name="_통리투찰_제1회설계변경내역서(11.15~)update" xfId="3309" xr:uid="{00000000-0005-0000-0000-000098120000}"/>
    <cellStyle name="_통리투찰_제2회기성내역서(1차+2차공사)" xfId="3310" xr:uid="{00000000-0005-0000-0000-000099120000}"/>
    <cellStyle name="_통리투찰_제2회기성내역서(1차+2차공사)_병천하수 견적060412" xfId="3311" xr:uid="{00000000-0005-0000-0000-00009A120000}"/>
    <cellStyle name="_통리투찰_제2회기성내역서(1차+2차공사)_산북하수견적서" xfId="3312" xr:uid="{00000000-0005-0000-0000-00009B120000}"/>
    <cellStyle name="_통리투찰_제2회기성내역서(1차+2차공사)_제7회기성내역서(1차+2차공사)~ing" xfId="3313" xr:uid="{00000000-0005-0000-0000-00009C120000}"/>
    <cellStyle name="_통리투찰_제2회기성내역서(1차+2차공사)_제7회기성내역서(1차+2차공사)~ing_병천하수 견적060412" xfId="3314" xr:uid="{00000000-0005-0000-0000-00009D120000}"/>
    <cellStyle name="_통리투찰_제2회기성내역서(1차+2차공사)_제7회기성내역서(1차+2차공사)~ing_산북하수견적서" xfId="3315" xr:uid="{00000000-0005-0000-0000-00009E120000}"/>
    <cellStyle name="_통리투찰_제2회기성내역서(1차+2차공사)_제7회기성내역서(1차+2차공사)~ing_통일하수내역서" xfId="3316" xr:uid="{00000000-0005-0000-0000-00009F120000}"/>
    <cellStyle name="_통리투찰_제2회기성내역서(1차+2차공사)_통일하수내역서" xfId="3317" xr:uid="{00000000-0005-0000-0000-0000A0120000}"/>
    <cellStyle name="_통리투찰_통일하수내역서" xfId="3318" xr:uid="{00000000-0005-0000-0000-0000A1120000}"/>
    <cellStyle name="_투찰" xfId="3319" xr:uid="{00000000-0005-0000-0000-0000A2120000}"/>
    <cellStyle name="_투찰_kn 구룡포~대보간 1" xfId="3320" xr:uid="{00000000-0005-0000-0000-0000A3120000}"/>
    <cellStyle name="_투찰_kn 구룡포~대보간 1_병천하수 견적060412" xfId="3321" xr:uid="{00000000-0005-0000-0000-0000A4120000}"/>
    <cellStyle name="_투찰_kn 구룡포~대보간 1_사본 - 기성내역서(대경엔텍)" xfId="3322" xr:uid="{00000000-0005-0000-0000-0000A5120000}"/>
    <cellStyle name="_투찰_kn 구룡포~대보간 1_사본 - 기성내역서(대경엔텍)_병천하수 견적060412" xfId="3323" xr:uid="{00000000-0005-0000-0000-0000A6120000}"/>
    <cellStyle name="_투찰_kn 구룡포~대보간 1_사본 - 기성내역서(대경엔텍)_산북하수견적서" xfId="3324" xr:uid="{00000000-0005-0000-0000-0000A7120000}"/>
    <cellStyle name="_투찰_kn 구룡포~대보간 1_사본 - 기성내역서(대경엔텍)_통일하수내역서" xfId="3325" xr:uid="{00000000-0005-0000-0000-0000A8120000}"/>
    <cellStyle name="_투찰_kn 구룡포~대보간 1_산북하수견적서" xfId="3326" xr:uid="{00000000-0005-0000-0000-0000A9120000}"/>
    <cellStyle name="_투찰_kn 구룡포~대보간 1_제1회설계변경내역서(11.15~)update" xfId="3327" xr:uid="{00000000-0005-0000-0000-0000AA120000}"/>
    <cellStyle name="_투찰_kn 구룡포~대보간 1_제2회기성내역서(1차+2차공사)" xfId="3328" xr:uid="{00000000-0005-0000-0000-0000AB120000}"/>
    <cellStyle name="_투찰_kn 구룡포~대보간 1_제2회기성내역서(1차+2차공사)_병천하수 견적060412" xfId="3329" xr:uid="{00000000-0005-0000-0000-0000AC120000}"/>
    <cellStyle name="_투찰_kn 구룡포~대보간 1_제2회기성내역서(1차+2차공사)_산북하수견적서" xfId="3330" xr:uid="{00000000-0005-0000-0000-0000AD120000}"/>
    <cellStyle name="_투찰_kn 구룡포~대보간 1_제2회기성내역서(1차+2차공사)_제7회기성내역서(1차+2차공사)~ing" xfId="3331" xr:uid="{00000000-0005-0000-0000-0000AE120000}"/>
    <cellStyle name="_투찰_kn 구룡포~대보간 1_제2회기성내역서(1차+2차공사)_제7회기성내역서(1차+2차공사)~ing_병천하수 견적060412" xfId="3332" xr:uid="{00000000-0005-0000-0000-0000AF120000}"/>
    <cellStyle name="_투찰_kn 구룡포~대보간 1_제2회기성내역서(1차+2차공사)_제7회기성내역서(1차+2차공사)~ing_산북하수견적서" xfId="3333" xr:uid="{00000000-0005-0000-0000-0000B0120000}"/>
    <cellStyle name="_투찰_kn 구룡포~대보간 1_제2회기성내역서(1차+2차공사)_제7회기성내역서(1차+2차공사)~ing_통일하수내역서" xfId="3334" xr:uid="{00000000-0005-0000-0000-0000B1120000}"/>
    <cellStyle name="_투찰_kn 구룡포~대보간 1_제2회기성내역서(1차+2차공사)_통일하수내역서" xfId="3335" xr:uid="{00000000-0005-0000-0000-0000B2120000}"/>
    <cellStyle name="_투찰_kn 구룡포~대보간 1_통일하수내역서" xfId="3336" xr:uid="{00000000-0005-0000-0000-0000B3120000}"/>
    <cellStyle name="_투찰_병천하수 견적060412" xfId="3337" xr:uid="{00000000-0005-0000-0000-0000B4120000}"/>
    <cellStyle name="_투찰_사본 - 기성내역서(대경엔텍)" xfId="3338" xr:uid="{00000000-0005-0000-0000-0000B5120000}"/>
    <cellStyle name="_투찰_사본 - 기성내역서(대경엔텍)_병천하수 견적060412" xfId="3339" xr:uid="{00000000-0005-0000-0000-0000B6120000}"/>
    <cellStyle name="_투찰_사본 - 기성내역서(대경엔텍)_산북하수견적서" xfId="3340" xr:uid="{00000000-0005-0000-0000-0000B7120000}"/>
    <cellStyle name="_투찰_사본 - 기성내역서(대경엔텍)_통일하수내역서" xfId="3341" xr:uid="{00000000-0005-0000-0000-0000B8120000}"/>
    <cellStyle name="_투찰_산북하수견적서" xfId="3342" xr:uid="{00000000-0005-0000-0000-0000B9120000}"/>
    <cellStyle name="_투찰_안동투찰" xfId="3343" xr:uid="{00000000-0005-0000-0000-0000BA120000}"/>
    <cellStyle name="_투찰_안동투찰_병천하수 견적060412" xfId="3344" xr:uid="{00000000-0005-0000-0000-0000BB120000}"/>
    <cellStyle name="_투찰_안동투찰_사본 - 기성내역서(대경엔텍)" xfId="3345" xr:uid="{00000000-0005-0000-0000-0000BC120000}"/>
    <cellStyle name="_투찰_안동투찰_사본 - 기성내역서(대경엔텍)_병천하수 견적060412" xfId="3346" xr:uid="{00000000-0005-0000-0000-0000BD120000}"/>
    <cellStyle name="_투찰_안동투찰_사본 - 기성내역서(대경엔텍)_산북하수견적서" xfId="3347" xr:uid="{00000000-0005-0000-0000-0000BE120000}"/>
    <cellStyle name="_투찰_안동투찰_사본 - 기성내역서(대경엔텍)_통일하수내역서" xfId="3348" xr:uid="{00000000-0005-0000-0000-0000BF120000}"/>
    <cellStyle name="_투찰_안동투찰_산북하수견적서" xfId="3349" xr:uid="{00000000-0005-0000-0000-0000C0120000}"/>
    <cellStyle name="_투찰_안동투찰_제1회설계변경내역서(11.15~)update" xfId="3350" xr:uid="{00000000-0005-0000-0000-0000C1120000}"/>
    <cellStyle name="_투찰_안동투찰_제2회기성내역서(1차+2차공사)" xfId="3351" xr:uid="{00000000-0005-0000-0000-0000C2120000}"/>
    <cellStyle name="_투찰_안동투찰_제2회기성내역서(1차+2차공사)_병천하수 견적060412" xfId="3352" xr:uid="{00000000-0005-0000-0000-0000C3120000}"/>
    <cellStyle name="_투찰_안동투찰_제2회기성내역서(1차+2차공사)_산북하수견적서" xfId="3353" xr:uid="{00000000-0005-0000-0000-0000C4120000}"/>
    <cellStyle name="_투찰_안동투찰_제2회기성내역서(1차+2차공사)_제7회기성내역서(1차+2차공사)~ing" xfId="3354" xr:uid="{00000000-0005-0000-0000-0000C5120000}"/>
    <cellStyle name="_투찰_안동투찰_제2회기성내역서(1차+2차공사)_제7회기성내역서(1차+2차공사)~ing_병천하수 견적060412" xfId="3355" xr:uid="{00000000-0005-0000-0000-0000C6120000}"/>
    <cellStyle name="_투찰_안동투찰_제2회기성내역서(1차+2차공사)_제7회기성내역서(1차+2차공사)~ing_산북하수견적서" xfId="3356" xr:uid="{00000000-0005-0000-0000-0000C7120000}"/>
    <cellStyle name="_투찰_안동투찰_제2회기성내역서(1차+2차공사)_제7회기성내역서(1차+2차공사)~ing_통일하수내역서" xfId="3357" xr:uid="{00000000-0005-0000-0000-0000C8120000}"/>
    <cellStyle name="_투찰_안동투찰_제2회기성내역서(1차+2차공사)_통일하수내역서" xfId="3358" xr:uid="{00000000-0005-0000-0000-0000C9120000}"/>
    <cellStyle name="_투찰_안동투찰_통일하수내역서" xfId="3359" xr:uid="{00000000-0005-0000-0000-0000CA120000}"/>
    <cellStyle name="_투찰_제1회설계변경내역서(11.15~)update" xfId="3360" xr:uid="{00000000-0005-0000-0000-0000CB120000}"/>
    <cellStyle name="_투찰_제2회기성내역서(1차+2차공사)" xfId="3361" xr:uid="{00000000-0005-0000-0000-0000CC120000}"/>
    <cellStyle name="_투찰_제2회기성내역서(1차+2차공사)_병천하수 견적060412" xfId="3362" xr:uid="{00000000-0005-0000-0000-0000CD120000}"/>
    <cellStyle name="_투찰_제2회기성내역서(1차+2차공사)_산북하수견적서" xfId="3363" xr:uid="{00000000-0005-0000-0000-0000CE120000}"/>
    <cellStyle name="_투찰_제2회기성내역서(1차+2차공사)_제7회기성내역서(1차+2차공사)~ing" xfId="3364" xr:uid="{00000000-0005-0000-0000-0000CF120000}"/>
    <cellStyle name="_투찰_제2회기성내역서(1차+2차공사)_제7회기성내역서(1차+2차공사)~ing_병천하수 견적060412" xfId="3365" xr:uid="{00000000-0005-0000-0000-0000D0120000}"/>
    <cellStyle name="_투찰_제2회기성내역서(1차+2차공사)_제7회기성내역서(1차+2차공사)~ing_산북하수견적서" xfId="3366" xr:uid="{00000000-0005-0000-0000-0000D1120000}"/>
    <cellStyle name="_투찰_제2회기성내역서(1차+2차공사)_제7회기성내역서(1차+2차공사)~ing_통일하수내역서" xfId="3367" xr:uid="{00000000-0005-0000-0000-0000D2120000}"/>
    <cellStyle name="_투찰_제2회기성내역서(1차+2차공사)_통일하수내역서" xfId="3368" xr:uid="{00000000-0005-0000-0000-0000D3120000}"/>
    <cellStyle name="_투찰_통리투찰" xfId="3369" xr:uid="{00000000-0005-0000-0000-0000D4120000}"/>
    <cellStyle name="_투찰_통리투찰_병천하수 견적060412" xfId="3370" xr:uid="{00000000-0005-0000-0000-0000D5120000}"/>
    <cellStyle name="_투찰_통리투찰_사본 - 기성내역서(대경엔텍)" xfId="3371" xr:uid="{00000000-0005-0000-0000-0000D6120000}"/>
    <cellStyle name="_투찰_통리투찰_사본 - 기성내역서(대경엔텍)_병천하수 견적060412" xfId="3372" xr:uid="{00000000-0005-0000-0000-0000D7120000}"/>
    <cellStyle name="_투찰_통리투찰_사본 - 기성내역서(대경엔텍)_산북하수견적서" xfId="3373" xr:uid="{00000000-0005-0000-0000-0000D8120000}"/>
    <cellStyle name="_투찰_통리투찰_사본 - 기성내역서(대경엔텍)_통일하수내역서" xfId="3374" xr:uid="{00000000-0005-0000-0000-0000D9120000}"/>
    <cellStyle name="_투찰_통리투찰_산북하수견적서" xfId="3375" xr:uid="{00000000-0005-0000-0000-0000DA120000}"/>
    <cellStyle name="_투찰_통리투찰_제1회설계변경내역서(11.15~)update" xfId="3376" xr:uid="{00000000-0005-0000-0000-0000DB120000}"/>
    <cellStyle name="_투찰_통리투찰_제2회기성내역서(1차+2차공사)" xfId="3377" xr:uid="{00000000-0005-0000-0000-0000DC120000}"/>
    <cellStyle name="_투찰_통리투찰_제2회기성내역서(1차+2차공사)_병천하수 견적060412" xfId="3378" xr:uid="{00000000-0005-0000-0000-0000DD120000}"/>
    <cellStyle name="_투찰_통리투찰_제2회기성내역서(1차+2차공사)_산북하수견적서" xfId="3379" xr:uid="{00000000-0005-0000-0000-0000DE120000}"/>
    <cellStyle name="_투찰_통리투찰_제2회기성내역서(1차+2차공사)_제7회기성내역서(1차+2차공사)~ing" xfId="3380" xr:uid="{00000000-0005-0000-0000-0000DF120000}"/>
    <cellStyle name="_투찰_통리투찰_제2회기성내역서(1차+2차공사)_제7회기성내역서(1차+2차공사)~ing_병천하수 견적060412" xfId="3381" xr:uid="{00000000-0005-0000-0000-0000E0120000}"/>
    <cellStyle name="_투찰_통리투찰_제2회기성내역서(1차+2차공사)_제7회기성내역서(1차+2차공사)~ing_산북하수견적서" xfId="3382" xr:uid="{00000000-0005-0000-0000-0000E1120000}"/>
    <cellStyle name="_투찰_통리투찰_제2회기성내역서(1차+2차공사)_제7회기성내역서(1차+2차공사)~ing_통일하수내역서" xfId="3383" xr:uid="{00000000-0005-0000-0000-0000E2120000}"/>
    <cellStyle name="_투찰_통리투찰_제2회기성내역서(1차+2차공사)_통일하수내역서" xfId="3384" xr:uid="{00000000-0005-0000-0000-0000E3120000}"/>
    <cellStyle name="_투찰_통리투찰_통일하수내역서" xfId="3385" xr:uid="{00000000-0005-0000-0000-0000E4120000}"/>
    <cellStyle name="_투찰_통일하수내역서" xfId="3386" xr:uid="{00000000-0005-0000-0000-0000E5120000}"/>
    <cellStyle name="_파주 GIS 시스템설계서(도로,상,하수 시스템)_050406" xfId="5812" xr:uid="{00000000-0005-0000-0000-0000E6120000}"/>
    <cellStyle name="_파주 GIS 시스템설계서(도로,상,하수 시스템)_050406 2" xfId="7827" xr:uid="{00000000-0005-0000-0000-0000E7120000}"/>
    <cellStyle name="_파주시_도로 및 상,하수 범용 도입_050314" xfId="5813" xr:uid="{00000000-0005-0000-0000-0000E8120000}"/>
    <cellStyle name="_파주시_도로 및 상,하수 범용 도입_050314 2" xfId="7828" xr:uid="{00000000-0005-0000-0000-0000E9120000}"/>
    <cellStyle name="_평림투찰" xfId="3387" xr:uid="{00000000-0005-0000-0000-0000EA120000}"/>
    <cellStyle name="_평림투찰_kn 구룡포~대보간 1" xfId="3388" xr:uid="{00000000-0005-0000-0000-0000EB120000}"/>
    <cellStyle name="_평림투찰_kn 구룡포~대보간 1_병천하수 견적060412" xfId="3389" xr:uid="{00000000-0005-0000-0000-0000EC120000}"/>
    <cellStyle name="_평림투찰_kn 구룡포~대보간 1_사본 - 기성내역서(대경엔텍)" xfId="3390" xr:uid="{00000000-0005-0000-0000-0000ED120000}"/>
    <cellStyle name="_평림투찰_kn 구룡포~대보간 1_사본 - 기성내역서(대경엔텍)_병천하수 견적060412" xfId="3391" xr:uid="{00000000-0005-0000-0000-0000EE120000}"/>
    <cellStyle name="_평림투찰_kn 구룡포~대보간 1_사본 - 기성내역서(대경엔텍)_산북하수견적서" xfId="3392" xr:uid="{00000000-0005-0000-0000-0000EF120000}"/>
    <cellStyle name="_평림투찰_kn 구룡포~대보간 1_사본 - 기성내역서(대경엔텍)_통일하수내역서" xfId="3393" xr:uid="{00000000-0005-0000-0000-0000F0120000}"/>
    <cellStyle name="_평림투찰_kn 구룡포~대보간 1_산북하수견적서" xfId="3394" xr:uid="{00000000-0005-0000-0000-0000F1120000}"/>
    <cellStyle name="_평림투찰_kn 구룡포~대보간 1_제1회설계변경내역서(11.15~)update" xfId="3395" xr:uid="{00000000-0005-0000-0000-0000F2120000}"/>
    <cellStyle name="_평림투찰_kn 구룡포~대보간 1_제2회기성내역서(1차+2차공사)" xfId="3396" xr:uid="{00000000-0005-0000-0000-0000F3120000}"/>
    <cellStyle name="_평림투찰_kn 구룡포~대보간 1_제2회기성내역서(1차+2차공사)_병천하수 견적060412" xfId="3397" xr:uid="{00000000-0005-0000-0000-0000F4120000}"/>
    <cellStyle name="_평림투찰_kn 구룡포~대보간 1_제2회기성내역서(1차+2차공사)_산북하수견적서" xfId="3398" xr:uid="{00000000-0005-0000-0000-0000F5120000}"/>
    <cellStyle name="_평림투찰_kn 구룡포~대보간 1_제2회기성내역서(1차+2차공사)_제7회기성내역서(1차+2차공사)~ing" xfId="3399" xr:uid="{00000000-0005-0000-0000-0000F6120000}"/>
    <cellStyle name="_평림투찰_kn 구룡포~대보간 1_제2회기성내역서(1차+2차공사)_제7회기성내역서(1차+2차공사)~ing_병천하수 견적060412" xfId="3400" xr:uid="{00000000-0005-0000-0000-0000F7120000}"/>
    <cellStyle name="_평림투찰_kn 구룡포~대보간 1_제2회기성내역서(1차+2차공사)_제7회기성내역서(1차+2차공사)~ing_산북하수견적서" xfId="3401" xr:uid="{00000000-0005-0000-0000-0000F8120000}"/>
    <cellStyle name="_평림투찰_kn 구룡포~대보간 1_제2회기성내역서(1차+2차공사)_제7회기성내역서(1차+2차공사)~ing_통일하수내역서" xfId="3402" xr:uid="{00000000-0005-0000-0000-0000F9120000}"/>
    <cellStyle name="_평림투찰_kn 구룡포~대보간 1_제2회기성내역서(1차+2차공사)_통일하수내역서" xfId="3403" xr:uid="{00000000-0005-0000-0000-0000FA120000}"/>
    <cellStyle name="_평림투찰_kn 구룡포~대보간 1_통일하수내역서" xfId="3404" xr:uid="{00000000-0005-0000-0000-0000FB120000}"/>
    <cellStyle name="_평림투찰_병천하수 견적060412" xfId="3405" xr:uid="{00000000-0005-0000-0000-0000FC120000}"/>
    <cellStyle name="_평림투찰_사본 - 기성내역서(대경엔텍)" xfId="3406" xr:uid="{00000000-0005-0000-0000-0000FD120000}"/>
    <cellStyle name="_평림투찰_사본 - 기성내역서(대경엔텍)_병천하수 견적060412" xfId="3407" xr:uid="{00000000-0005-0000-0000-0000FE120000}"/>
    <cellStyle name="_평림투찰_사본 - 기성내역서(대경엔텍)_산북하수견적서" xfId="3408" xr:uid="{00000000-0005-0000-0000-0000FF120000}"/>
    <cellStyle name="_평림투찰_사본 - 기성내역서(대경엔텍)_통일하수내역서" xfId="3409" xr:uid="{00000000-0005-0000-0000-000000130000}"/>
    <cellStyle name="_평림투찰_산북하수견적서" xfId="3410" xr:uid="{00000000-0005-0000-0000-000001130000}"/>
    <cellStyle name="_평림투찰_안동투찰" xfId="3411" xr:uid="{00000000-0005-0000-0000-000002130000}"/>
    <cellStyle name="_평림투찰_안동투찰_병천하수 견적060412" xfId="3412" xr:uid="{00000000-0005-0000-0000-000003130000}"/>
    <cellStyle name="_평림투찰_안동투찰_사본 - 기성내역서(대경엔텍)" xfId="3413" xr:uid="{00000000-0005-0000-0000-000004130000}"/>
    <cellStyle name="_평림투찰_안동투찰_사본 - 기성내역서(대경엔텍)_병천하수 견적060412" xfId="3414" xr:uid="{00000000-0005-0000-0000-000005130000}"/>
    <cellStyle name="_평림투찰_안동투찰_사본 - 기성내역서(대경엔텍)_산북하수견적서" xfId="3415" xr:uid="{00000000-0005-0000-0000-000006130000}"/>
    <cellStyle name="_평림투찰_안동투찰_사본 - 기성내역서(대경엔텍)_통일하수내역서" xfId="3416" xr:uid="{00000000-0005-0000-0000-000007130000}"/>
    <cellStyle name="_평림투찰_안동투찰_산북하수견적서" xfId="3417" xr:uid="{00000000-0005-0000-0000-000008130000}"/>
    <cellStyle name="_평림투찰_안동투찰_제1회설계변경내역서(11.15~)update" xfId="3418" xr:uid="{00000000-0005-0000-0000-000009130000}"/>
    <cellStyle name="_평림투찰_안동투찰_제2회기성내역서(1차+2차공사)" xfId="3419" xr:uid="{00000000-0005-0000-0000-00000A130000}"/>
    <cellStyle name="_평림투찰_안동투찰_제2회기성내역서(1차+2차공사)_병천하수 견적060412" xfId="3420" xr:uid="{00000000-0005-0000-0000-00000B130000}"/>
    <cellStyle name="_평림투찰_안동투찰_제2회기성내역서(1차+2차공사)_산북하수견적서" xfId="3421" xr:uid="{00000000-0005-0000-0000-00000C130000}"/>
    <cellStyle name="_평림투찰_안동투찰_제2회기성내역서(1차+2차공사)_제7회기성내역서(1차+2차공사)~ing" xfId="3422" xr:uid="{00000000-0005-0000-0000-00000D130000}"/>
    <cellStyle name="_평림투찰_안동투찰_제2회기성내역서(1차+2차공사)_제7회기성내역서(1차+2차공사)~ing_병천하수 견적060412" xfId="3423" xr:uid="{00000000-0005-0000-0000-00000E130000}"/>
    <cellStyle name="_평림투찰_안동투찰_제2회기성내역서(1차+2차공사)_제7회기성내역서(1차+2차공사)~ing_산북하수견적서" xfId="3424" xr:uid="{00000000-0005-0000-0000-00000F130000}"/>
    <cellStyle name="_평림투찰_안동투찰_제2회기성내역서(1차+2차공사)_제7회기성내역서(1차+2차공사)~ing_통일하수내역서" xfId="3425" xr:uid="{00000000-0005-0000-0000-000010130000}"/>
    <cellStyle name="_평림투찰_안동투찰_제2회기성내역서(1차+2차공사)_통일하수내역서" xfId="3426" xr:uid="{00000000-0005-0000-0000-000011130000}"/>
    <cellStyle name="_평림투찰_안동투찰_통일하수내역서" xfId="3427" xr:uid="{00000000-0005-0000-0000-000012130000}"/>
    <cellStyle name="_평림투찰_제1회설계변경내역서(11.15~)update" xfId="3428" xr:uid="{00000000-0005-0000-0000-000013130000}"/>
    <cellStyle name="_평림투찰_제2회기성내역서(1차+2차공사)" xfId="3429" xr:uid="{00000000-0005-0000-0000-000014130000}"/>
    <cellStyle name="_평림투찰_제2회기성내역서(1차+2차공사)_병천하수 견적060412" xfId="3430" xr:uid="{00000000-0005-0000-0000-000015130000}"/>
    <cellStyle name="_평림투찰_제2회기성내역서(1차+2차공사)_산북하수견적서" xfId="3431" xr:uid="{00000000-0005-0000-0000-000016130000}"/>
    <cellStyle name="_평림투찰_제2회기성내역서(1차+2차공사)_제7회기성내역서(1차+2차공사)~ing" xfId="3432" xr:uid="{00000000-0005-0000-0000-000017130000}"/>
    <cellStyle name="_평림투찰_제2회기성내역서(1차+2차공사)_제7회기성내역서(1차+2차공사)~ing_병천하수 견적060412" xfId="3433" xr:uid="{00000000-0005-0000-0000-000018130000}"/>
    <cellStyle name="_평림투찰_제2회기성내역서(1차+2차공사)_제7회기성내역서(1차+2차공사)~ing_산북하수견적서" xfId="3434" xr:uid="{00000000-0005-0000-0000-000019130000}"/>
    <cellStyle name="_평림투찰_제2회기성내역서(1차+2차공사)_제7회기성내역서(1차+2차공사)~ing_통일하수내역서" xfId="3435" xr:uid="{00000000-0005-0000-0000-00001A130000}"/>
    <cellStyle name="_평림투찰_제2회기성내역서(1차+2차공사)_통일하수내역서" xfId="3436" xr:uid="{00000000-0005-0000-0000-00001B130000}"/>
    <cellStyle name="_평림투찰_통리투찰" xfId="3437" xr:uid="{00000000-0005-0000-0000-00001C130000}"/>
    <cellStyle name="_평림투찰_통리투찰_병천하수 견적060412" xfId="3438" xr:uid="{00000000-0005-0000-0000-00001D130000}"/>
    <cellStyle name="_평림투찰_통리투찰_사본 - 기성내역서(대경엔텍)" xfId="3439" xr:uid="{00000000-0005-0000-0000-00001E130000}"/>
    <cellStyle name="_평림투찰_통리투찰_사본 - 기성내역서(대경엔텍)_병천하수 견적060412" xfId="3440" xr:uid="{00000000-0005-0000-0000-00001F130000}"/>
    <cellStyle name="_평림투찰_통리투찰_사본 - 기성내역서(대경엔텍)_산북하수견적서" xfId="3441" xr:uid="{00000000-0005-0000-0000-000020130000}"/>
    <cellStyle name="_평림투찰_통리투찰_사본 - 기성내역서(대경엔텍)_통일하수내역서" xfId="3442" xr:uid="{00000000-0005-0000-0000-000021130000}"/>
    <cellStyle name="_평림투찰_통리투찰_산북하수견적서" xfId="3443" xr:uid="{00000000-0005-0000-0000-000022130000}"/>
    <cellStyle name="_평림투찰_통리투찰_제1회설계변경내역서(11.15~)update" xfId="3444" xr:uid="{00000000-0005-0000-0000-000023130000}"/>
    <cellStyle name="_평림투찰_통리투찰_제2회기성내역서(1차+2차공사)" xfId="3445" xr:uid="{00000000-0005-0000-0000-000024130000}"/>
    <cellStyle name="_평림투찰_통리투찰_제2회기성내역서(1차+2차공사)_병천하수 견적060412" xfId="3446" xr:uid="{00000000-0005-0000-0000-000025130000}"/>
    <cellStyle name="_평림투찰_통리투찰_제2회기성내역서(1차+2차공사)_산북하수견적서" xfId="3447" xr:uid="{00000000-0005-0000-0000-000026130000}"/>
    <cellStyle name="_평림투찰_통리투찰_제2회기성내역서(1차+2차공사)_제7회기성내역서(1차+2차공사)~ing" xfId="3448" xr:uid="{00000000-0005-0000-0000-000027130000}"/>
    <cellStyle name="_평림투찰_통리투찰_제2회기성내역서(1차+2차공사)_제7회기성내역서(1차+2차공사)~ing_병천하수 견적060412" xfId="3449" xr:uid="{00000000-0005-0000-0000-000028130000}"/>
    <cellStyle name="_평림투찰_통리투찰_제2회기성내역서(1차+2차공사)_제7회기성내역서(1차+2차공사)~ing_산북하수견적서" xfId="3450" xr:uid="{00000000-0005-0000-0000-000029130000}"/>
    <cellStyle name="_평림투찰_통리투찰_제2회기성내역서(1차+2차공사)_제7회기성내역서(1차+2차공사)~ing_통일하수내역서" xfId="3451" xr:uid="{00000000-0005-0000-0000-00002A130000}"/>
    <cellStyle name="_평림투찰_통리투찰_제2회기성내역서(1차+2차공사)_통일하수내역서" xfId="3452" xr:uid="{00000000-0005-0000-0000-00002B130000}"/>
    <cellStyle name="_평림투찰_통리투찰_통일하수내역서" xfId="3453" xr:uid="{00000000-0005-0000-0000-00002C130000}"/>
    <cellStyle name="_평림투찰_통일하수내역서" xfId="3454" xr:uid="{00000000-0005-0000-0000-00002D130000}"/>
    <cellStyle name="_포스장비" xfId="6911" xr:uid="{00000000-0005-0000-0000-00002E130000}"/>
    <cellStyle name="_포스장비 2" xfId="7829" xr:uid="{00000000-0005-0000-0000-00002F130000}"/>
    <cellStyle name="_포장공(괴목배수로)" xfId="5814" xr:uid="{00000000-0005-0000-0000-000030130000}"/>
    <cellStyle name="_표본설계" xfId="6912" xr:uid="{00000000-0005-0000-0000-000031130000}"/>
    <cellStyle name="_표본설계 2" xfId="7830" xr:uid="{00000000-0005-0000-0000-000032130000}"/>
    <cellStyle name="_표본설계서" xfId="6913" xr:uid="{00000000-0005-0000-0000-000033130000}"/>
    <cellStyle name="_표본설계서 2" xfId="7831" xr:uid="{00000000-0005-0000-0000-000034130000}"/>
    <cellStyle name="_표시핀설치(ok)" xfId="6914" xr:uid="{00000000-0005-0000-0000-000035130000}"/>
    <cellStyle name="_표시핀설치(ok) 2" xfId="7832" xr:uid="{00000000-0005-0000-0000-000036130000}"/>
    <cellStyle name="_표지 (2)" xfId="5815" xr:uid="{00000000-0005-0000-0000-000037130000}"/>
    <cellStyle name="_표지 (2) 2" xfId="7833" xr:uid="{00000000-0005-0000-0000-000038130000}"/>
    <cellStyle name="_하드웨어사양서" xfId="5816" xr:uid="{00000000-0005-0000-0000-000039130000}"/>
    <cellStyle name="_하드웨어사양서 2" xfId="7834" xr:uid="{00000000-0005-0000-0000-00003A130000}"/>
    <cellStyle name="_하천기본계획 사전환경성검토 내역 샘플" xfId="5817" xr:uid="{00000000-0005-0000-0000-00003B130000}"/>
    <cellStyle name="_하천기본계획 사전환경성검토 내역 샘플 2" xfId="7835" xr:uid="{00000000-0005-0000-0000-00003C130000}"/>
    <cellStyle name="_한전연구견적" xfId="5818" xr:uid="{00000000-0005-0000-0000-00003D130000}"/>
    <cellStyle name="_함안사회복지시설(수정0414)" xfId="5819" xr:uid="{00000000-0005-0000-0000-00003E130000}"/>
    <cellStyle name="_함양보산지구.별도(환경.재해.지구단위.설계)" xfId="5820" xr:uid="{00000000-0005-0000-0000-00003F130000}"/>
    <cellStyle name="_함평1지구0724(L=3.4km)" xfId="809" xr:uid="{00000000-0005-0000-0000-000040130000}"/>
    <cellStyle name="_함평1지구0724(L=3.4km) 2" xfId="7836" xr:uid="{00000000-0005-0000-0000-000041130000}"/>
    <cellStyle name="_합의서" xfId="1442" xr:uid="{00000000-0005-0000-0000-000042130000}"/>
    <cellStyle name="_합의서_간이배수펌프장설치에 따른 타당성용역내역" xfId="1443" xr:uid="{00000000-0005-0000-0000-000043130000}"/>
    <cellStyle name="_합의서_선정안(삼산)" xfId="1444" xr:uid="{00000000-0005-0000-0000-000044130000}"/>
    <cellStyle name="_합의서_선정안(삼산)_간이배수펌프장설치에 따른 타당성용역내역" xfId="1445" xr:uid="{00000000-0005-0000-0000-000045130000}"/>
    <cellStyle name="_합의서_추풍령" xfId="1446" xr:uid="{00000000-0005-0000-0000-000046130000}"/>
    <cellStyle name="_합의서_추풍령_간이배수펌프장설치에 따른 타당성용역내역" xfId="1447" xr:uid="{00000000-0005-0000-0000-000047130000}"/>
    <cellStyle name="_합의서_추풍령-1" xfId="1448" xr:uid="{00000000-0005-0000-0000-000048130000}"/>
    <cellStyle name="_합의서_추풍령-1_간이배수펌프장설치에 따른 타당성용역내역" xfId="1449" xr:uid="{00000000-0005-0000-0000-000049130000}"/>
    <cellStyle name="_합천군제2종지구단위계획수립용역" xfId="5821" xr:uid="{00000000-0005-0000-0000-00004A130000}"/>
    <cellStyle name="_항공사진촬영,DB구축,수치표고자료구축,영상지도제작" xfId="5822" xr:uid="{00000000-0005-0000-0000-00004B130000}"/>
    <cellStyle name="_항공측량용역예산서-최종(지적빼고)1" xfId="5823" xr:uid="{00000000-0005-0000-0000-00004C130000}"/>
    <cellStyle name="_항측(원가)" xfId="1450" xr:uid="{00000000-0005-0000-0000-00004D130000}"/>
    <cellStyle name="_항측(한진재조정,05년04월버젼)" xfId="1451" xr:uid="{00000000-0005-0000-0000-00004E130000}"/>
    <cellStyle name="_항측(한진재조정,05년04월버젼) 2" xfId="7837" xr:uid="{00000000-0005-0000-0000-00004F130000}"/>
    <cellStyle name="_항측내역(5.15최종)" xfId="6915" xr:uid="{00000000-0005-0000-0000-000050130000}"/>
    <cellStyle name="_항측내역(5.15최종) 2" xfId="7838" xr:uid="{00000000-0005-0000-0000-000051130000}"/>
    <cellStyle name="_항측표본설계서" xfId="6916" xr:uid="{00000000-0005-0000-0000-000052130000}"/>
    <cellStyle name="_항측표본설계서 2" xfId="7839" xr:uid="{00000000-0005-0000-0000-000053130000}"/>
    <cellStyle name="_해남하수도정비(최종)" xfId="5824" xr:uid="{00000000-0005-0000-0000-000054130000}"/>
    <cellStyle name="_해남하수도정비(최종) 2" xfId="7840" xr:uid="{00000000-0005-0000-0000-000055130000}"/>
    <cellStyle name="_현대ENG-총괄" xfId="1452" xr:uid="{00000000-0005-0000-0000-000056130000}"/>
    <cellStyle name="_현대ENG-총괄 2" xfId="7841" xr:uid="{00000000-0005-0000-0000-000057130000}"/>
    <cellStyle name="_현장설명" xfId="3455" xr:uid="{00000000-0005-0000-0000-000058130000}"/>
    <cellStyle name="_현풍천 하천정비기본계획(변경) 내역서(0700613 최종)" xfId="5825" xr:uid="{00000000-0005-0000-0000-000059130000}"/>
    <cellStyle name="_현풍천 하천정비기본계획(변경) 내역서(0700613 최종) 2" xfId="7842" xr:uid="{00000000-0005-0000-0000-00005A130000}"/>
    <cellStyle name="_형산강내역서-지오씨엔아이-060221" xfId="5826" xr:uid="{00000000-0005-0000-0000-00005B130000}"/>
    <cellStyle name="_형산강내역서-지오씨엔아이-060221 2" xfId="7843" xr:uid="{00000000-0005-0000-0000-00005C130000}"/>
    <cellStyle name="_홍제초 수목이식(2차)" xfId="5827" xr:uid="{00000000-0005-0000-0000-00005D130000}"/>
    <cellStyle name="_홍제토목" xfId="5828" xr:uid="{00000000-0005-0000-0000-00005E130000}"/>
    <cellStyle name="_화성동탄내역서(0419)" xfId="5829" xr:uid="{00000000-0005-0000-0000-00005F130000}"/>
    <cellStyle name="_화순(정)침전지제어반제조구매설치" xfId="810" xr:uid="{00000000-0005-0000-0000-000060130000}"/>
    <cellStyle name="_확보방안(설계서)" xfId="811" xr:uid="{00000000-0005-0000-0000-000061130000}"/>
    <cellStyle name="_확보방안(설계서) 2" xfId="7844" xr:uid="{00000000-0005-0000-0000-000062130000}"/>
    <cellStyle name="_환경관리내역서(대동천)" xfId="5830" xr:uid="{00000000-0005-0000-0000-000063130000}"/>
    <cellStyle name="_환경관리내역서(대동천) 2" xfId="7845" xr:uid="{00000000-0005-0000-0000-000064130000}"/>
    <cellStyle name="_환경평가(시흥군자지구)" xfId="5831" xr:uid="{00000000-0005-0000-0000-000065130000}"/>
    <cellStyle name="_흥덕지구_초기설계금액" xfId="5832" xr:uid="{00000000-0005-0000-0000-000066130000}"/>
    <cellStyle name="_흥덕지구_초기설계금액 2" xfId="7846" xr:uid="{00000000-0005-0000-0000-000067130000}"/>
    <cellStyle name="``" xfId="812" xr:uid="{00000000-0005-0000-0000-000068130000}"/>
    <cellStyle name="`` 2" xfId="7847" xr:uid="{00000000-0005-0000-0000-000069130000}"/>
    <cellStyle name="´þ" xfId="813" xr:uid="{00000000-0005-0000-0000-00006A130000}"/>
    <cellStyle name="´þ 2" xfId="7848" xr:uid="{00000000-0005-0000-0000-00006B130000}"/>
    <cellStyle name="´þ·¯" xfId="5833" xr:uid="{00000000-0005-0000-0000-00006C130000}"/>
    <cellStyle name="´þ·¯ 2" xfId="7849" xr:uid="{00000000-0005-0000-0000-00006D130000}"/>
    <cellStyle name="’E‰Y [0.00]_laroux" xfId="814" xr:uid="{00000000-0005-0000-0000-00006E130000}"/>
    <cellStyle name="’E‰Y_laroux" xfId="815" xr:uid="{00000000-0005-0000-0000-00006F130000}"/>
    <cellStyle name="¤@?e_TEST-1 " xfId="816" xr:uid="{00000000-0005-0000-0000-000070130000}"/>
    <cellStyle name="+,-,0" xfId="817" xr:uid="{00000000-0005-0000-0000-000071130000}"/>
    <cellStyle name="+,-,0 2" xfId="7850" xr:uid="{00000000-0005-0000-0000-000072130000}"/>
    <cellStyle name="=C:\WINDOWS\SYSTEM32\COMMAND.COM" xfId="5834" xr:uid="{00000000-0005-0000-0000-000073130000}"/>
    <cellStyle name="=C:\WINDOWS\SYSTEM32\COMMAND.COM 2" xfId="7851" xr:uid="{00000000-0005-0000-0000-000074130000}"/>
    <cellStyle name="△ []" xfId="818" xr:uid="{00000000-0005-0000-0000-000075130000}"/>
    <cellStyle name="△ [] 2" xfId="7852" xr:uid="{00000000-0005-0000-0000-000076130000}"/>
    <cellStyle name="△ [0]" xfId="819" xr:uid="{00000000-0005-0000-0000-000077130000}"/>
    <cellStyle name="△ [0] 2" xfId="7853" xr:uid="{00000000-0005-0000-0000-000078130000}"/>
    <cellStyle name="△백분율" xfId="5835" xr:uid="{00000000-0005-0000-0000-000079130000}"/>
    <cellStyle name="△백분율 2" xfId="7854" xr:uid="{00000000-0005-0000-0000-00007A130000}"/>
    <cellStyle name="△콤마" xfId="5836" xr:uid="{00000000-0005-0000-0000-00007B130000}"/>
    <cellStyle name="△콤마 2" xfId="7855" xr:uid="{00000000-0005-0000-0000-00007C130000}"/>
    <cellStyle name="°ia¤¼o " xfId="820" xr:uid="{00000000-0005-0000-0000-00007D130000}"/>
    <cellStyle name="°ia¤¼o  2" xfId="7856" xr:uid="{00000000-0005-0000-0000-00007E130000}"/>
    <cellStyle name="°íá¤¼ò¼ýá¡" xfId="5837" xr:uid="{00000000-0005-0000-0000-00007F130000}"/>
    <cellStyle name="°íá¤¼ò¼ýá¡ 2" xfId="7857" xr:uid="{00000000-0005-0000-0000-000080130000}"/>
    <cellStyle name="°ia¤aa " xfId="821" xr:uid="{00000000-0005-0000-0000-000081130000}"/>
    <cellStyle name="°ia¤aa  2" xfId="7858" xr:uid="{00000000-0005-0000-0000-000082130000}"/>
    <cellStyle name="°íá¤ãâ·â1" xfId="5838" xr:uid="{00000000-0005-0000-0000-000083130000}"/>
    <cellStyle name="°íá¤ãâ·â1 2" xfId="7859" xr:uid="{00000000-0005-0000-0000-000084130000}"/>
    <cellStyle name="°íá¤ãâ·â2" xfId="5839" xr:uid="{00000000-0005-0000-0000-000085130000}"/>
    <cellStyle name="°íá¤ãâ·â2 2" xfId="7860" xr:uid="{00000000-0005-0000-0000-000086130000}"/>
    <cellStyle name="•W_laroux" xfId="5840" xr:uid="{00000000-0005-0000-0000-000087130000}"/>
    <cellStyle name="0" xfId="3456" xr:uid="{00000000-0005-0000-0000-000088130000}"/>
    <cellStyle name="0.0" xfId="822" xr:uid="{00000000-0005-0000-0000-000089130000}"/>
    <cellStyle name="0.0 2" xfId="7861" xr:uid="{00000000-0005-0000-0000-00008A130000}"/>
    <cellStyle name="0.00" xfId="823" xr:uid="{00000000-0005-0000-0000-00008B130000}"/>
    <cellStyle name="0.00 2" xfId="7862" xr:uid="{00000000-0005-0000-0000-00008C130000}"/>
    <cellStyle name="00" xfId="3457" xr:uid="{00000000-0005-0000-0000-00008D130000}"/>
    <cellStyle name="00 2" xfId="6917" xr:uid="{00000000-0005-0000-0000-00008E130000}"/>
    <cellStyle name="¾È°ÇÈ¸°è¹ýÀÎ" xfId="5841" xr:uid="{00000000-0005-0000-0000-00008F130000}"/>
    <cellStyle name="1" xfId="824" xr:uid="{00000000-0005-0000-0000-000090130000}"/>
    <cellStyle name="1 2" xfId="6918" xr:uid="{00000000-0005-0000-0000-000091130000}"/>
    <cellStyle name="1_00-예산서양식100" xfId="3458" xr:uid="{00000000-0005-0000-0000-000092130000}"/>
    <cellStyle name="1_laroux" xfId="825" xr:uid="{00000000-0005-0000-0000-000093130000}"/>
    <cellStyle name="1_laroux_ATC-YOON1" xfId="826" xr:uid="{00000000-0005-0000-0000-000094130000}"/>
    <cellStyle name="1_total" xfId="3459" xr:uid="{00000000-0005-0000-0000-000095130000}"/>
    <cellStyle name="1_total_목동내역" xfId="3460" xr:uid="{00000000-0005-0000-0000-000096130000}"/>
    <cellStyle name="1_total_목동내역_폐기물집계" xfId="3461" xr:uid="{00000000-0005-0000-0000-000097130000}"/>
    <cellStyle name="1_total_현충묘지-예산서(조경)" xfId="3462" xr:uid="{00000000-0005-0000-0000-000098130000}"/>
    <cellStyle name="1_total_현충묘지-예산서(조경)_목동내역" xfId="3463" xr:uid="{00000000-0005-0000-0000-000099130000}"/>
    <cellStyle name="1_total_현충묘지-예산서(조경)_목동내역_폐기물집계" xfId="3464" xr:uid="{00000000-0005-0000-0000-00009A130000}"/>
    <cellStyle name="1_total_현충묘지-예산서(조경)_예산서-엑셀변환양식100" xfId="3465" xr:uid="{00000000-0005-0000-0000-00009B130000}"/>
    <cellStyle name="1_total_현충묘지-예산서(조경)_예산서-엑셀변환양식100_목동내역" xfId="3466" xr:uid="{00000000-0005-0000-0000-00009C130000}"/>
    <cellStyle name="1_total_현충묘지-예산서(조경)_예산서-엑셀변환양식100_목동내역_폐기물집계" xfId="3467" xr:uid="{00000000-0005-0000-0000-00009D130000}"/>
    <cellStyle name="1_tree" xfId="3468" xr:uid="{00000000-0005-0000-0000-00009E130000}"/>
    <cellStyle name="1_tree_목동내역" xfId="3469" xr:uid="{00000000-0005-0000-0000-00009F130000}"/>
    <cellStyle name="1_tree_목동내역_폐기물집계" xfId="3470" xr:uid="{00000000-0005-0000-0000-0000A0130000}"/>
    <cellStyle name="1_tree_수량산출" xfId="3471" xr:uid="{00000000-0005-0000-0000-0000A1130000}"/>
    <cellStyle name="1_tree_수량산출_목동내역" xfId="3472" xr:uid="{00000000-0005-0000-0000-0000A2130000}"/>
    <cellStyle name="1_tree_수량산출_목동내역_폐기물집계" xfId="3473" xr:uid="{00000000-0005-0000-0000-0000A3130000}"/>
    <cellStyle name="1_tree_수량산출_현충묘지-예산서(조경)" xfId="3474" xr:uid="{00000000-0005-0000-0000-0000A4130000}"/>
    <cellStyle name="1_tree_수량산출_현충묘지-예산서(조경)_목동내역" xfId="3475" xr:uid="{00000000-0005-0000-0000-0000A5130000}"/>
    <cellStyle name="1_tree_수량산출_현충묘지-예산서(조경)_목동내역_폐기물집계" xfId="3476" xr:uid="{00000000-0005-0000-0000-0000A6130000}"/>
    <cellStyle name="1_tree_수량산출_현충묘지-예산서(조경)_예산서-엑셀변환양식100" xfId="3477" xr:uid="{00000000-0005-0000-0000-0000A7130000}"/>
    <cellStyle name="1_tree_수량산출_현충묘지-예산서(조경)_예산서-엑셀변환양식100_목동내역" xfId="3478" xr:uid="{00000000-0005-0000-0000-0000A8130000}"/>
    <cellStyle name="1_tree_수량산출_현충묘지-예산서(조경)_예산서-엑셀변환양식100_목동내역_폐기물집계" xfId="3479" xr:uid="{00000000-0005-0000-0000-0000A9130000}"/>
    <cellStyle name="1_tree_현충묘지-예산서(조경)" xfId="3480" xr:uid="{00000000-0005-0000-0000-0000AA130000}"/>
    <cellStyle name="1_tree_현충묘지-예산서(조경)_목동내역" xfId="3481" xr:uid="{00000000-0005-0000-0000-0000AB130000}"/>
    <cellStyle name="1_tree_현충묘지-예산서(조경)_목동내역_폐기물집계" xfId="3482" xr:uid="{00000000-0005-0000-0000-0000AC130000}"/>
    <cellStyle name="1_tree_현충묘지-예산서(조경)_예산서-엑셀변환양식100" xfId="3483" xr:uid="{00000000-0005-0000-0000-0000AD130000}"/>
    <cellStyle name="1_tree_현충묘지-예산서(조경)_예산서-엑셀변환양식100_목동내역" xfId="3484" xr:uid="{00000000-0005-0000-0000-0000AE130000}"/>
    <cellStyle name="1_tree_현충묘지-예산서(조경)_예산서-엑셀변환양식100_목동내역_폐기물집계" xfId="3485" xr:uid="{00000000-0005-0000-0000-0000AF130000}"/>
    <cellStyle name="1_강남폐기물내역" xfId="3486" xr:uid="{00000000-0005-0000-0000-0000B0130000}"/>
    <cellStyle name="1_단가조사표" xfId="827" xr:uid="{00000000-0005-0000-0000-0000B1130000}"/>
    <cellStyle name="1_단가조사표_1011소각" xfId="828" xr:uid="{00000000-0005-0000-0000-0000B2130000}"/>
    <cellStyle name="1_단가조사표_1113교~1" xfId="829" xr:uid="{00000000-0005-0000-0000-0000B3130000}"/>
    <cellStyle name="1_단가조사표_121내역" xfId="830" xr:uid="{00000000-0005-0000-0000-0000B4130000}"/>
    <cellStyle name="1_단가조사표_객토량" xfId="831" xr:uid="{00000000-0005-0000-0000-0000B5130000}"/>
    <cellStyle name="1_단가조사표_교통센~1" xfId="832" xr:uid="{00000000-0005-0000-0000-0000B6130000}"/>
    <cellStyle name="1_단가조사표_교통센터412" xfId="833" xr:uid="{00000000-0005-0000-0000-0000B7130000}"/>
    <cellStyle name="1_단가조사표_교통수" xfId="834" xr:uid="{00000000-0005-0000-0000-0000B8130000}"/>
    <cellStyle name="1_단가조사표_교통수량산출서" xfId="835" xr:uid="{00000000-0005-0000-0000-0000B9130000}"/>
    <cellStyle name="1_단가조사표_구조물대가 (2)" xfId="836" xr:uid="{00000000-0005-0000-0000-0000BA130000}"/>
    <cellStyle name="1_단가조사표_내역서 (2)" xfId="837" xr:uid="{00000000-0005-0000-0000-0000BB130000}"/>
    <cellStyle name="1_단가조사표_대전관저지구" xfId="838" xr:uid="{00000000-0005-0000-0000-0000BC130000}"/>
    <cellStyle name="1_단가조사표_동측지~1" xfId="839" xr:uid="{00000000-0005-0000-0000-0000BD130000}"/>
    <cellStyle name="1_단가조사표_동측지원422" xfId="840" xr:uid="{00000000-0005-0000-0000-0000BE130000}"/>
    <cellStyle name="1_단가조사표_동측지원512" xfId="841" xr:uid="{00000000-0005-0000-0000-0000BF130000}"/>
    <cellStyle name="1_단가조사표_동측지원524" xfId="842" xr:uid="{00000000-0005-0000-0000-0000C0130000}"/>
    <cellStyle name="1_단가조사표_부대422" xfId="843" xr:uid="{00000000-0005-0000-0000-0000C1130000}"/>
    <cellStyle name="1_단가조사표_부대시설" xfId="844" xr:uid="{00000000-0005-0000-0000-0000C2130000}"/>
    <cellStyle name="1_단가조사표_소각수~1" xfId="845" xr:uid="{00000000-0005-0000-0000-0000C3130000}"/>
    <cellStyle name="1_단가조사표_소각수내역서" xfId="846" xr:uid="{00000000-0005-0000-0000-0000C4130000}"/>
    <cellStyle name="1_단가조사표_소각수목2" xfId="847" xr:uid="{00000000-0005-0000-0000-0000C5130000}"/>
    <cellStyle name="1_단가조사표_수량산출서 (2)" xfId="848" xr:uid="{00000000-0005-0000-0000-0000C6130000}"/>
    <cellStyle name="1_단가조사표_엑스포~1" xfId="849" xr:uid="{00000000-0005-0000-0000-0000C7130000}"/>
    <cellStyle name="1_단가조사표_엑스포한빛1" xfId="850" xr:uid="{00000000-0005-0000-0000-0000C8130000}"/>
    <cellStyle name="1_단가조사표_여객터미널331" xfId="851" xr:uid="{00000000-0005-0000-0000-0000C9130000}"/>
    <cellStyle name="1_단가조사표_여객터미널513" xfId="852" xr:uid="{00000000-0005-0000-0000-0000CA130000}"/>
    <cellStyle name="1_단가조사표_여객터미널629" xfId="853" xr:uid="{00000000-0005-0000-0000-0000CB130000}"/>
    <cellStyle name="1_단가조사표_외곽도로616" xfId="854" xr:uid="{00000000-0005-0000-0000-0000CC130000}"/>
    <cellStyle name="1_단가조사표_용인죽전수량" xfId="855" xr:uid="{00000000-0005-0000-0000-0000CD130000}"/>
    <cellStyle name="1_단가조사표_원가계~1" xfId="856" xr:uid="{00000000-0005-0000-0000-0000CE130000}"/>
    <cellStyle name="1_단가조사표_유기질" xfId="857" xr:uid="{00000000-0005-0000-0000-0000CF130000}"/>
    <cellStyle name="1_단가조사표_자재조서 (2)" xfId="858" xr:uid="{00000000-0005-0000-0000-0000D0130000}"/>
    <cellStyle name="1_단가조사표_총괄내역" xfId="859" xr:uid="{00000000-0005-0000-0000-0000D1130000}"/>
    <cellStyle name="1_단가조사표_총괄내역 (2)" xfId="860" xr:uid="{00000000-0005-0000-0000-0000D2130000}"/>
    <cellStyle name="1_단가조사표_터미널도로403" xfId="861" xr:uid="{00000000-0005-0000-0000-0000D3130000}"/>
    <cellStyle name="1_단가조사표_터미널도로429" xfId="862" xr:uid="{00000000-0005-0000-0000-0000D4130000}"/>
    <cellStyle name="1_단가조사표_포장일위" xfId="863" xr:uid="{00000000-0005-0000-0000-0000D5130000}"/>
    <cellStyle name="1_목동내역" xfId="3487" xr:uid="{00000000-0005-0000-0000-0000D6130000}"/>
    <cellStyle name="1_시민계략공사" xfId="5842" xr:uid="{00000000-0005-0000-0000-0000D7130000}"/>
    <cellStyle name="1_시민계략공사 2" xfId="6919" xr:uid="{00000000-0005-0000-0000-0000D8130000}"/>
    <cellStyle name="1_시민계략공사_전기-한남" xfId="5843" xr:uid="{00000000-0005-0000-0000-0000D9130000}"/>
    <cellStyle name="1_폐기물" xfId="3488" xr:uid="{00000000-0005-0000-0000-0000DA130000}"/>
    <cellStyle name="1_폐기물집계" xfId="3489" xr:uid="{00000000-0005-0000-0000-0000DB130000}"/>
    <cellStyle name="1_현충묘지-수량산출서" xfId="3490" xr:uid="{00000000-0005-0000-0000-0000DC130000}"/>
    <cellStyle name="10공/㎥" xfId="5844" xr:uid="{00000000-0005-0000-0000-0000DD130000}"/>
    <cellStyle name="11" xfId="3491" xr:uid="{00000000-0005-0000-0000-0000DE130000}"/>
    <cellStyle name="111" xfId="3492" xr:uid="{00000000-0005-0000-0000-0000DF130000}"/>
    <cellStyle name="¹e" xfId="864" xr:uid="{00000000-0005-0000-0000-0000E0130000}"/>
    <cellStyle name="¹e 2" xfId="6920" xr:uid="{00000000-0005-0000-0000-0000E1130000}"/>
    <cellStyle name="¹eº" xfId="5845" xr:uid="{00000000-0005-0000-0000-0000E2130000}"/>
    <cellStyle name="¹éº" xfId="5846" xr:uid="{00000000-0005-0000-0000-0000E3130000}"/>
    <cellStyle name="¹eº 2" xfId="7863" xr:uid="{00000000-0005-0000-0000-0000E4130000}"/>
    <cellStyle name="1월" xfId="5847" xr:uid="{00000000-0005-0000-0000-0000E5130000}"/>
    <cellStyle name="2" xfId="865" xr:uid="{00000000-0005-0000-0000-0000E6130000}"/>
    <cellStyle name="2)" xfId="3493" xr:uid="{00000000-0005-0000-0000-0000E7130000}"/>
    <cellStyle name="2_laroux" xfId="866" xr:uid="{00000000-0005-0000-0000-0000E8130000}"/>
    <cellStyle name="2_laroux_ATC-YOON1" xfId="867" xr:uid="{00000000-0005-0000-0000-0000E9130000}"/>
    <cellStyle name="2_단가조사표" xfId="868" xr:uid="{00000000-0005-0000-0000-0000EA130000}"/>
    <cellStyle name="2_단가조사표_1011소각" xfId="869" xr:uid="{00000000-0005-0000-0000-0000EB130000}"/>
    <cellStyle name="2_단가조사표_1113교~1" xfId="870" xr:uid="{00000000-0005-0000-0000-0000EC130000}"/>
    <cellStyle name="2_단가조사표_121내역" xfId="871" xr:uid="{00000000-0005-0000-0000-0000ED130000}"/>
    <cellStyle name="2_단가조사표_객토량" xfId="872" xr:uid="{00000000-0005-0000-0000-0000EE130000}"/>
    <cellStyle name="2_단가조사표_교통센~1" xfId="873" xr:uid="{00000000-0005-0000-0000-0000EF130000}"/>
    <cellStyle name="2_단가조사표_교통센터412" xfId="874" xr:uid="{00000000-0005-0000-0000-0000F0130000}"/>
    <cellStyle name="2_단가조사표_교통수" xfId="875" xr:uid="{00000000-0005-0000-0000-0000F1130000}"/>
    <cellStyle name="2_단가조사표_교통수량산출서" xfId="876" xr:uid="{00000000-0005-0000-0000-0000F2130000}"/>
    <cellStyle name="2_단가조사표_구조물대가 (2)" xfId="877" xr:uid="{00000000-0005-0000-0000-0000F3130000}"/>
    <cellStyle name="2_단가조사표_내역서 (2)" xfId="878" xr:uid="{00000000-0005-0000-0000-0000F4130000}"/>
    <cellStyle name="2_단가조사표_대전관저지구" xfId="879" xr:uid="{00000000-0005-0000-0000-0000F5130000}"/>
    <cellStyle name="2_단가조사표_동측지~1" xfId="880" xr:uid="{00000000-0005-0000-0000-0000F6130000}"/>
    <cellStyle name="2_단가조사표_동측지원422" xfId="881" xr:uid="{00000000-0005-0000-0000-0000F7130000}"/>
    <cellStyle name="2_단가조사표_동측지원512" xfId="882" xr:uid="{00000000-0005-0000-0000-0000F8130000}"/>
    <cellStyle name="2_단가조사표_동측지원524" xfId="883" xr:uid="{00000000-0005-0000-0000-0000F9130000}"/>
    <cellStyle name="2_단가조사표_부대422" xfId="884" xr:uid="{00000000-0005-0000-0000-0000FA130000}"/>
    <cellStyle name="2_단가조사표_부대시설" xfId="885" xr:uid="{00000000-0005-0000-0000-0000FB130000}"/>
    <cellStyle name="2_단가조사표_소각수~1" xfId="886" xr:uid="{00000000-0005-0000-0000-0000FC130000}"/>
    <cellStyle name="2_단가조사표_소각수내역서" xfId="887" xr:uid="{00000000-0005-0000-0000-0000FD130000}"/>
    <cellStyle name="2_단가조사표_소각수목2" xfId="888" xr:uid="{00000000-0005-0000-0000-0000FE130000}"/>
    <cellStyle name="2_단가조사표_수량산출서 (2)" xfId="889" xr:uid="{00000000-0005-0000-0000-0000FF130000}"/>
    <cellStyle name="2_단가조사표_엑스포~1" xfId="890" xr:uid="{00000000-0005-0000-0000-000000140000}"/>
    <cellStyle name="2_단가조사표_엑스포한빛1" xfId="891" xr:uid="{00000000-0005-0000-0000-000001140000}"/>
    <cellStyle name="2_단가조사표_여객터미널331" xfId="892" xr:uid="{00000000-0005-0000-0000-000002140000}"/>
    <cellStyle name="2_단가조사표_여객터미널513" xfId="893" xr:uid="{00000000-0005-0000-0000-000003140000}"/>
    <cellStyle name="2_단가조사표_여객터미널629" xfId="894" xr:uid="{00000000-0005-0000-0000-000004140000}"/>
    <cellStyle name="2_단가조사표_외곽도로616" xfId="895" xr:uid="{00000000-0005-0000-0000-000005140000}"/>
    <cellStyle name="2_단가조사표_용인죽전수량" xfId="896" xr:uid="{00000000-0005-0000-0000-000006140000}"/>
    <cellStyle name="2_단가조사표_원가계~1" xfId="897" xr:uid="{00000000-0005-0000-0000-000007140000}"/>
    <cellStyle name="2_단가조사표_유기질" xfId="898" xr:uid="{00000000-0005-0000-0000-000008140000}"/>
    <cellStyle name="2_단가조사표_자재조서 (2)" xfId="899" xr:uid="{00000000-0005-0000-0000-000009140000}"/>
    <cellStyle name="2_단가조사표_총괄내역" xfId="900" xr:uid="{00000000-0005-0000-0000-00000A140000}"/>
    <cellStyle name="2_단가조사표_총괄내역 (2)" xfId="901" xr:uid="{00000000-0005-0000-0000-00000B140000}"/>
    <cellStyle name="2_단가조사표_터미널도로403" xfId="902" xr:uid="{00000000-0005-0000-0000-00000C140000}"/>
    <cellStyle name="2_단가조사표_터미널도로429" xfId="903" xr:uid="{00000000-0005-0000-0000-00000D140000}"/>
    <cellStyle name="2_단가조사표_포장일위" xfId="904" xr:uid="{00000000-0005-0000-0000-00000E140000}"/>
    <cellStyle name="20% - Accent1" xfId="3494" xr:uid="{00000000-0005-0000-0000-00000F140000}"/>
    <cellStyle name="20% - Accent1 2" xfId="6921" xr:uid="{00000000-0005-0000-0000-000010140000}"/>
    <cellStyle name="20% - Accent2" xfId="3495" xr:uid="{00000000-0005-0000-0000-000011140000}"/>
    <cellStyle name="20% - Accent2 2" xfId="6922" xr:uid="{00000000-0005-0000-0000-000012140000}"/>
    <cellStyle name="20% - Accent3" xfId="3496" xr:uid="{00000000-0005-0000-0000-000013140000}"/>
    <cellStyle name="20% - Accent3 2" xfId="6923" xr:uid="{00000000-0005-0000-0000-000014140000}"/>
    <cellStyle name="20% - Accent4" xfId="3497" xr:uid="{00000000-0005-0000-0000-000015140000}"/>
    <cellStyle name="20% - Accent4 2" xfId="6924" xr:uid="{00000000-0005-0000-0000-000016140000}"/>
    <cellStyle name="20% - Accent5" xfId="3498" xr:uid="{00000000-0005-0000-0000-000017140000}"/>
    <cellStyle name="20% - Accent5 2" xfId="6925" xr:uid="{00000000-0005-0000-0000-000018140000}"/>
    <cellStyle name="20% - Accent6" xfId="3499" xr:uid="{00000000-0005-0000-0000-000019140000}"/>
    <cellStyle name="20% - Accent6 2" xfId="6926" xr:uid="{00000000-0005-0000-0000-00001A140000}"/>
    <cellStyle name="20% - 강조색1 2" xfId="1453" xr:uid="{00000000-0005-0000-0000-00001B140000}"/>
    <cellStyle name="20% - 강조색1 2 2" xfId="7864" xr:uid="{00000000-0005-0000-0000-00001C140000}"/>
    <cellStyle name="20% - 강조색1 3" xfId="1454" xr:uid="{00000000-0005-0000-0000-00001D140000}"/>
    <cellStyle name="20% - 강조색1 4" xfId="7865" xr:uid="{00000000-0005-0000-0000-00001E140000}"/>
    <cellStyle name="20% - 강조색2 2" xfId="1455" xr:uid="{00000000-0005-0000-0000-00001F140000}"/>
    <cellStyle name="20% - 강조색2 2 2" xfId="7866" xr:uid="{00000000-0005-0000-0000-000020140000}"/>
    <cellStyle name="20% - 강조색2 3" xfId="1456" xr:uid="{00000000-0005-0000-0000-000021140000}"/>
    <cellStyle name="20% - 강조색2 4" xfId="7867" xr:uid="{00000000-0005-0000-0000-000022140000}"/>
    <cellStyle name="20% - 강조색3 2" xfId="1457" xr:uid="{00000000-0005-0000-0000-000023140000}"/>
    <cellStyle name="20% - 강조색3 2 2" xfId="7868" xr:uid="{00000000-0005-0000-0000-000024140000}"/>
    <cellStyle name="20% - 강조색3 3" xfId="1458" xr:uid="{00000000-0005-0000-0000-000025140000}"/>
    <cellStyle name="20% - 강조색3 4" xfId="7869" xr:uid="{00000000-0005-0000-0000-000026140000}"/>
    <cellStyle name="20% - 강조색4 2" xfId="1459" xr:uid="{00000000-0005-0000-0000-000027140000}"/>
    <cellStyle name="20% - 강조색4 2 2" xfId="7870" xr:uid="{00000000-0005-0000-0000-000028140000}"/>
    <cellStyle name="20% - 강조색4 3" xfId="1460" xr:uid="{00000000-0005-0000-0000-000029140000}"/>
    <cellStyle name="20% - 강조색4 4" xfId="7871" xr:uid="{00000000-0005-0000-0000-00002A140000}"/>
    <cellStyle name="20% - 강조색5 2" xfId="1461" xr:uid="{00000000-0005-0000-0000-00002B140000}"/>
    <cellStyle name="20% - 강조색5 2 2" xfId="7872" xr:uid="{00000000-0005-0000-0000-00002C140000}"/>
    <cellStyle name="20% - 강조색5 3" xfId="1462" xr:uid="{00000000-0005-0000-0000-00002D140000}"/>
    <cellStyle name="20% - 강조색5 4" xfId="7873" xr:uid="{00000000-0005-0000-0000-00002E140000}"/>
    <cellStyle name="20% - 강조색6 2" xfId="1463" xr:uid="{00000000-0005-0000-0000-00002F140000}"/>
    <cellStyle name="20% - 강조색6 2 2" xfId="7874" xr:uid="{00000000-0005-0000-0000-000030140000}"/>
    <cellStyle name="20% - 강조색6 3" xfId="1464" xr:uid="{00000000-0005-0000-0000-000031140000}"/>
    <cellStyle name="20% - 강조색6 4" xfId="7875" xr:uid="{00000000-0005-0000-0000-000032140000}"/>
    <cellStyle name="2자리" xfId="3500" xr:uid="{00000000-0005-0000-0000-000033140000}"/>
    <cellStyle name="³?a" xfId="905" xr:uid="{00000000-0005-0000-0000-000034140000}"/>
    <cellStyle name="³?a 2" xfId="7876" xr:uid="{00000000-0005-0000-0000-000035140000}"/>
    <cellStyle name="³¯â¥" xfId="5848" xr:uid="{00000000-0005-0000-0000-000036140000}"/>
    <cellStyle name="³¯â¥ 2" xfId="7877" xr:uid="{00000000-0005-0000-0000-000037140000}"/>
    <cellStyle name="315-4" xfId="5849" xr:uid="{00000000-0005-0000-0000-000038140000}"/>
    <cellStyle name="315-4 2" xfId="7878" xr:uid="{00000000-0005-0000-0000-000039140000}"/>
    <cellStyle name="၃urrency_OTD thru NOR " xfId="906" xr:uid="{00000000-0005-0000-0000-00003A140000}"/>
    <cellStyle name="40% - Accent1" xfId="3501" xr:uid="{00000000-0005-0000-0000-00003B140000}"/>
    <cellStyle name="40% - Accent1 2" xfId="6927" xr:uid="{00000000-0005-0000-0000-00003C140000}"/>
    <cellStyle name="40% - Accent2" xfId="3502" xr:uid="{00000000-0005-0000-0000-00003D140000}"/>
    <cellStyle name="40% - Accent2 2" xfId="6928" xr:uid="{00000000-0005-0000-0000-00003E140000}"/>
    <cellStyle name="40% - Accent3" xfId="3503" xr:uid="{00000000-0005-0000-0000-00003F140000}"/>
    <cellStyle name="40% - Accent3 2" xfId="6929" xr:uid="{00000000-0005-0000-0000-000040140000}"/>
    <cellStyle name="40% - Accent4" xfId="3504" xr:uid="{00000000-0005-0000-0000-000041140000}"/>
    <cellStyle name="40% - Accent4 2" xfId="6930" xr:uid="{00000000-0005-0000-0000-000042140000}"/>
    <cellStyle name="40% - Accent5" xfId="3505" xr:uid="{00000000-0005-0000-0000-000043140000}"/>
    <cellStyle name="40% - Accent5 2" xfId="6931" xr:uid="{00000000-0005-0000-0000-000044140000}"/>
    <cellStyle name="40% - Accent6" xfId="3506" xr:uid="{00000000-0005-0000-0000-000045140000}"/>
    <cellStyle name="40% - Accent6 2" xfId="6932" xr:uid="{00000000-0005-0000-0000-000046140000}"/>
    <cellStyle name="40% - 강조색1 2" xfId="1465" xr:uid="{00000000-0005-0000-0000-000047140000}"/>
    <cellStyle name="40% - 강조색1 2 2" xfId="7879" xr:uid="{00000000-0005-0000-0000-000048140000}"/>
    <cellStyle name="40% - 강조색1 3" xfId="1466" xr:uid="{00000000-0005-0000-0000-000049140000}"/>
    <cellStyle name="40% - 강조색1 4" xfId="7880" xr:uid="{00000000-0005-0000-0000-00004A140000}"/>
    <cellStyle name="40% - 강조색2 2" xfId="1467" xr:uid="{00000000-0005-0000-0000-00004B140000}"/>
    <cellStyle name="40% - 강조색2 2 2" xfId="7881" xr:uid="{00000000-0005-0000-0000-00004C140000}"/>
    <cellStyle name="40% - 강조색2 3" xfId="1468" xr:uid="{00000000-0005-0000-0000-00004D140000}"/>
    <cellStyle name="40% - 강조색2 4" xfId="7882" xr:uid="{00000000-0005-0000-0000-00004E140000}"/>
    <cellStyle name="40% - 강조색3 2" xfId="1469" xr:uid="{00000000-0005-0000-0000-00004F140000}"/>
    <cellStyle name="40% - 강조색3 2 2" xfId="7883" xr:uid="{00000000-0005-0000-0000-000050140000}"/>
    <cellStyle name="40% - 강조색3 3" xfId="1470" xr:uid="{00000000-0005-0000-0000-000051140000}"/>
    <cellStyle name="40% - 강조색3 4" xfId="7884" xr:uid="{00000000-0005-0000-0000-000052140000}"/>
    <cellStyle name="40% - 강조색4 2" xfId="1471" xr:uid="{00000000-0005-0000-0000-000053140000}"/>
    <cellStyle name="40% - 강조색4 2 2" xfId="7885" xr:uid="{00000000-0005-0000-0000-000054140000}"/>
    <cellStyle name="40% - 강조색4 3" xfId="1472" xr:uid="{00000000-0005-0000-0000-000055140000}"/>
    <cellStyle name="40% - 강조색4 4" xfId="7886" xr:uid="{00000000-0005-0000-0000-000056140000}"/>
    <cellStyle name="40% - 강조색5 2" xfId="1473" xr:uid="{00000000-0005-0000-0000-000057140000}"/>
    <cellStyle name="40% - 강조색5 2 2" xfId="7887" xr:uid="{00000000-0005-0000-0000-000058140000}"/>
    <cellStyle name="40% - 강조색5 3" xfId="1474" xr:uid="{00000000-0005-0000-0000-000059140000}"/>
    <cellStyle name="40% - 강조색5 4" xfId="7888" xr:uid="{00000000-0005-0000-0000-00005A140000}"/>
    <cellStyle name="40% - 강조색6 2" xfId="1475" xr:uid="{00000000-0005-0000-0000-00005B140000}"/>
    <cellStyle name="40% - 강조색6 2 2" xfId="7889" xr:uid="{00000000-0005-0000-0000-00005C140000}"/>
    <cellStyle name="40% - 강조색6 3" xfId="1476" xr:uid="{00000000-0005-0000-0000-00005D140000}"/>
    <cellStyle name="40% - 강조색6 4" xfId="7890" xr:uid="{00000000-0005-0000-0000-00005E140000}"/>
    <cellStyle name="60" xfId="907" xr:uid="{00000000-0005-0000-0000-00005F140000}"/>
    <cellStyle name="60 2" xfId="7891" xr:uid="{00000000-0005-0000-0000-000060140000}"/>
    <cellStyle name="60% - Accent1" xfId="3507" xr:uid="{00000000-0005-0000-0000-000061140000}"/>
    <cellStyle name="60% - Accent1 2" xfId="6933" xr:uid="{00000000-0005-0000-0000-000062140000}"/>
    <cellStyle name="60% - Accent2" xfId="3508" xr:uid="{00000000-0005-0000-0000-000063140000}"/>
    <cellStyle name="60% - Accent2 2" xfId="6934" xr:uid="{00000000-0005-0000-0000-000064140000}"/>
    <cellStyle name="60% - Accent3" xfId="3509" xr:uid="{00000000-0005-0000-0000-000065140000}"/>
    <cellStyle name="60% - Accent3 2" xfId="6935" xr:uid="{00000000-0005-0000-0000-000066140000}"/>
    <cellStyle name="60% - Accent4" xfId="3510" xr:uid="{00000000-0005-0000-0000-000067140000}"/>
    <cellStyle name="60% - Accent4 2" xfId="6936" xr:uid="{00000000-0005-0000-0000-000068140000}"/>
    <cellStyle name="60% - Accent5" xfId="3511" xr:uid="{00000000-0005-0000-0000-000069140000}"/>
    <cellStyle name="60% - Accent5 2" xfId="6937" xr:uid="{00000000-0005-0000-0000-00006A140000}"/>
    <cellStyle name="60% - Accent6" xfId="3512" xr:uid="{00000000-0005-0000-0000-00006B140000}"/>
    <cellStyle name="60% - Accent6 2" xfId="6938" xr:uid="{00000000-0005-0000-0000-00006C140000}"/>
    <cellStyle name="60% - 강조색1 2" xfId="1477" xr:uid="{00000000-0005-0000-0000-00006D140000}"/>
    <cellStyle name="60% - 강조색1 2 2" xfId="7892" xr:uid="{00000000-0005-0000-0000-00006E140000}"/>
    <cellStyle name="60% - 강조색1 3" xfId="1478" xr:uid="{00000000-0005-0000-0000-00006F140000}"/>
    <cellStyle name="60% - 강조색2 2" xfId="1479" xr:uid="{00000000-0005-0000-0000-000070140000}"/>
    <cellStyle name="60% - 강조색2 2 2" xfId="7893" xr:uid="{00000000-0005-0000-0000-000071140000}"/>
    <cellStyle name="60% - 강조색2 3" xfId="1480" xr:uid="{00000000-0005-0000-0000-000072140000}"/>
    <cellStyle name="60% - 강조색3 2" xfId="1481" xr:uid="{00000000-0005-0000-0000-000073140000}"/>
    <cellStyle name="60% - 강조색3 2 2" xfId="7894" xr:uid="{00000000-0005-0000-0000-000074140000}"/>
    <cellStyle name="60% - 강조색3 3" xfId="1482" xr:uid="{00000000-0005-0000-0000-000075140000}"/>
    <cellStyle name="60% - 강조색4 2" xfId="1483" xr:uid="{00000000-0005-0000-0000-000076140000}"/>
    <cellStyle name="60% - 강조색4 2 2" xfId="7895" xr:uid="{00000000-0005-0000-0000-000077140000}"/>
    <cellStyle name="60% - 강조색4 3" xfId="1484" xr:uid="{00000000-0005-0000-0000-000078140000}"/>
    <cellStyle name="60% - 강조색5 2" xfId="1485" xr:uid="{00000000-0005-0000-0000-000079140000}"/>
    <cellStyle name="60% - 강조색5 2 2" xfId="7896" xr:uid="{00000000-0005-0000-0000-00007A140000}"/>
    <cellStyle name="60% - 강조색5 3" xfId="1486" xr:uid="{00000000-0005-0000-0000-00007B140000}"/>
    <cellStyle name="60% - 강조색6 2" xfId="1487" xr:uid="{00000000-0005-0000-0000-00007C140000}"/>
    <cellStyle name="60% - 강조색6 2 2" xfId="7897" xr:uid="{00000000-0005-0000-0000-00007D140000}"/>
    <cellStyle name="60% - 강조색6 3" xfId="1488" xr:uid="{00000000-0005-0000-0000-00007E140000}"/>
    <cellStyle name="82" xfId="908" xr:uid="{00000000-0005-0000-0000-00007F140000}"/>
    <cellStyle name="90" xfId="1489" xr:uid="{00000000-0005-0000-0000-000080140000}"/>
    <cellStyle name="90 2" xfId="7898" xr:uid="{00000000-0005-0000-0000-000081140000}"/>
    <cellStyle name="A" xfId="909" xr:uid="{00000000-0005-0000-0000-000082140000}"/>
    <cellStyle name="a [0]_mud plant bolted" xfId="3513" xr:uid="{00000000-0005-0000-0000-000083140000}"/>
    <cellStyle name="A 2" xfId="6939" xr:uid="{00000000-0005-0000-0000-000084140000}"/>
    <cellStyle name="A 3" xfId="6864" xr:uid="{00000000-0005-0000-0000-000085140000}"/>
    <cellStyle name="A 4" xfId="6909" xr:uid="{00000000-0005-0000-0000-000086140000}"/>
    <cellStyle name="A 5" xfId="8391" xr:uid="{00000000-0005-0000-0000-000087140000}"/>
    <cellStyle name="A_(수정중) 모형플랜트가설건물" xfId="910" xr:uid="{00000000-0005-0000-0000-000088140000}"/>
    <cellStyle name="a_1) 신천금호강 종합개발 기본설계" xfId="5850" xr:uid="{00000000-0005-0000-0000-000089140000}"/>
    <cellStyle name="a_2) 신천금호강 종합개발 동영상제작(변경최종)" xfId="5851" xr:uid="{00000000-0005-0000-0000-00008A140000}"/>
    <cellStyle name="A_2회설변전체내역서" xfId="911" xr:uid="{00000000-0005-0000-0000-00008B140000}"/>
    <cellStyle name="A_2회설변전체내역서 2" xfId="6940" xr:uid="{00000000-0005-0000-0000-00008C140000}"/>
    <cellStyle name="a_3) 신천금호강 종합개발 산책로 실시설계(변경최종)" xfId="5852" xr:uid="{00000000-0005-0000-0000-00008D140000}"/>
    <cellStyle name="A_4_구미_내역서(최종)" xfId="912" xr:uid="{00000000-0005-0000-0000-00008E140000}"/>
    <cellStyle name="A_4_구미_내역서(최종) 2" xfId="8392" xr:uid="{00000000-0005-0000-0000-00008F140000}"/>
    <cellStyle name="A_Book1" xfId="913" xr:uid="{00000000-0005-0000-0000-000090140000}"/>
    <cellStyle name="A_Book1_구미정수장A(건축)(최종)(1)" xfId="914" xr:uid="{00000000-0005-0000-0000-000091140000}"/>
    <cellStyle name="A_구미내역서(최종)" xfId="915" xr:uid="{00000000-0005-0000-0000-000092140000}"/>
    <cellStyle name="A_구미내역서(최종) 2" xfId="8393" xr:uid="{00000000-0005-0000-0000-000093140000}"/>
    <cellStyle name="A_구미정수장A(건축)(최종)(1)" xfId="916" xr:uid="{00000000-0005-0000-0000-000094140000}"/>
    <cellStyle name="A_내역서(포항)" xfId="917" xr:uid="{00000000-0005-0000-0000-000095140000}"/>
    <cellStyle name="A_대장천_도심생태복원사업_기본_및_실시설계용역_설계예산서(원내역)" xfId="5853" xr:uid="{00000000-0005-0000-0000-000096140000}"/>
    <cellStyle name="A_대장천_도심생태복원사업_기본_및_실시설계용역_설계예산서(원내역) 2" xfId="8430" xr:uid="{00000000-0005-0000-0000-000097140000}"/>
    <cellStyle name="A_사진대지" xfId="918" xr:uid="{00000000-0005-0000-0000-000098140000}"/>
    <cellStyle name="A_사진대지 2" xfId="8394" xr:uid="{00000000-0005-0000-0000-000099140000}"/>
    <cellStyle name="A_사진대지_구미정수장A(건축)(최종)(1)" xfId="919" xr:uid="{00000000-0005-0000-0000-00009A140000}"/>
    <cellStyle name="A_사진대지_구미정수장A(건축)(최종)(1) 2" xfId="8395" xr:uid="{00000000-0005-0000-0000-00009B140000}"/>
    <cellStyle name="a_설계내역서(신천-금호강)" xfId="5854" xr:uid="{00000000-0005-0000-0000-00009C140000}"/>
    <cellStyle name="a_설계내역서(신천-금호강)_욱수천 하천재해예방사업 내역서" xfId="5855" xr:uid="{00000000-0005-0000-0000-00009D140000}"/>
    <cellStyle name="a_설계내역서(신천-금호강)_욱수천 하천재해예방사업 내역서_002 욱수천정비공사실시설계 내역서_090113" xfId="5856" xr:uid="{00000000-0005-0000-0000-00009E140000}"/>
    <cellStyle name="a_설계내역서(전체)" xfId="5857" xr:uid="{00000000-0005-0000-0000-00009F140000}"/>
    <cellStyle name="a_설계내역서(전체)_욱수천 하천재해예방사업 내역서" xfId="5858" xr:uid="{00000000-0005-0000-0000-0000A0140000}"/>
    <cellStyle name="a_설계내역서(전체)_욱수천 하천재해예방사업 내역서_002 욱수천정비공사실시설계 내역서_090113" xfId="5859" xr:uid="{00000000-0005-0000-0000-0000A1140000}"/>
    <cellStyle name="a_신천금호강 종합개발 기본설계  내역서(수정분)" xfId="5860" xr:uid="{00000000-0005-0000-0000-0000A2140000}"/>
    <cellStyle name="a_신천금호강내역서(수정-보오링,사전재해및환경성제외,측량연장조정9(1).95억0726)" xfId="5861" xr:uid="{00000000-0005-0000-0000-0000A3140000}"/>
    <cellStyle name="a_심사내역서" xfId="5862" xr:uid="{00000000-0005-0000-0000-0000A4140000}"/>
    <cellStyle name="a_용담댐하류하천환경정비사업설계예산서(건희)" xfId="7899" xr:uid="{00000000-0005-0000-0000-0000A5140000}"/>
    <cellStyle name="a_욱수천 하천재해예방사업 내역서" xfId="5863" xr:uid="{00000000-0005-0000-0000-0000A6140000}"/>
    <cellStyle name="a_욱수천 하천재해예방사업 내역서_002 욱수천정비공사실시설계 내역서_090113" xfId="5864" xr:uid="{00000000-0005-0000-0000-0000A7140000}"/>
    <cellStyle name="A_일위대가양식" xfId="920" xr:uid="{00000000-0005-0000-0000-0000A8140000}"/>
    <cellStyle name="A_토목내역" xfId="921" xr:uid="{00000000-0005-0000-0000-0000A9140000}"/>
    <cellStyle name="A_토목내역 2" xfId="6941" xr:uid="{00000000-0005-0000-0000-0000AA140000}"/>
    <cellStyle name="A_황령산 봉수대 용역내역서" xfId="5865" xr:uid="{00000000-0005-0000-0000-0000AB140000}"/>
    <cellStyle name="A¨­￠￢￠O [0]_￠?i¡ieE¡ⓒ¡¤A ¡¾a¡¾￠￢A￠OA¡AC¡I" xfId="5866" xr:uid="{00000000-0005-0000-0000-0000AC140000}"/>
    <cellStyle name="A¨­￠￢￠O_￠?i¡ieE¡ⓒ¡¤A ¡¾a¡¾￠￢A￠OA¡AC¡I" xfId="5867" xr:uid="{00000000-0005-0000-0000-0000AD140000}"/>
    <cellStyle name="A1" xfId="922" xr:uid="{00000000-0005-0000-0000-0000AE140000}"/>
    <cellStyle name="A1 2" xfId="7900" xr:uid="{00000000-0005-0000-0000-0000AF140000}"/>
    <cellStyle name="AA" xfId="5868" xr:uid="{00000000-0005-0000-0000-0000B0140000}"/>
    <cellStyle name="Aⓒ­" xfId="923" xr:uid="{00000000-0005-0000-0000-0000B1140000}"/>
    <cellStyle name="Aⓒ 2" xfId="6942" xr:uid="{00000000-0005-0000-0000-0000B2140000}"/>
    <cellStyle name="Aⓒ­ 3" xfId="7901" xr:uid="{00000000-0005-0000-0000-0000B3140000}"/>
    <cellStyle name="Aⓒ­ 3 2" xfId="8439" xr:uid="{00000000-0005-0000-0000-0000B4140000}"/>
    <cellStyle name="Aⓒ­ 4" xfId="7902" xr:uid="{00000000-0005-0000-0000-0000B5140000}"/>
    <cellStyle name="Aⓒ­ 4 2" xfId="8440" xr:uid="{00000000-0005-0000-0000-0000B6140000}"/>
    <cellStyle name="Aⓒ­ 5" xfId="7903" xr:uid="{00000000-0005-0000-0000-0000B7140000}"/>
    <cellStyle name="Aⓒ­ 5 2" xfId="8441" xr:uid="{00000000-0005-0000-0000-0000B8140000}"/>
    <cellStyle name="Aⓒ­ 6" xfId="7904" xr:uid="{00000000-0005-0000-0000-0000B9140000}"/>
    <cellStyle name="Aⓒ­ 6 2" xfId="8442" xr:uid="{00000000-0005-0000-0000-0000BA140000}"/>
    <cellStyle name="Aⓒ­ 7" xfId="7905" xr:uid="{00000000-0005-0000-0000-0000BB140000}"/>
    <cellStyle name="Aⓒ­ 7 2" xfId="8443" xr:uid="{00000000-0005-0000-0000-0000BC140000}"/>
    <cellStyle name="Aⓒ­ 8" xfId="8396" xr:uid="{00000000-0005-0000-0000-0000BD140000}"/>
    <cellStyle name="Aⓒ­￠￢￠" xfId="5869" xr:uid="{00000000-0005-0000-0000-0000BE140000}"/>
    <cellStyle name="Aⓒ­￠￢￠ 2" xfId="7906" xr:uid="{00000000-0005-0000-0000-0000BF140000}"/>
    <cellStyle name="Aⓒ­￠￢￠ 3" xfId="7907" xr:uid="{00000000-0005-0000-0000-0000C0140000}"/>
    <cellStyle name="Accent1" xfId="3514" xr:uid="{00000000-0005-0000-0000-0000C1140000}"/>
    <cellStyle name="Accent1 2" xfId="6943" xr:uid="{00000000-0005-0000-0000-0000C2140000}"/>
    <cellStyle name="Accent2" xfId="3515" xr:uid="{00000000-0005-0000-0000-0000C3140000}"/>
    <cellStyle name="Accent2 2" xfId="6944" xr:uid="{00000000-0005-0000-0000-0000C4140000}"/>
    <cellStyle name="Accent3" xfId="3516" xr:uid="{00000000-0005-0000-0000-0000C5140000}"/>
    <cellStyle name="Accent3 2" xfId="6945" xr:uid="{00000000-0005-0000-0000-0000C6140000}"/>
    <cellStyle name="Accent4" xfId="3517" xr:uid="{00000000-0005-0000-0000-0000C7140000}"/>
    <cellStyle name="Accent4 2" xfId="6946" xr:uid="{00000000-0005-0000-0000-0000C8140000}"/>
    <cellStyle name="Accent5" xfId="3518" xr:uid="{00000000-0005-0000-0000-0000C9140000}"/>
    <cellStyle name="Accent5 2" xfId="7908" xr:uid="{00000000-0005-0000-0000-0000CA140000}"/>
    <cellStyle name="Accent6" xfId="3519" xr:uid="{00000000-0005-0000-0000-0000CB140000}"/>
    <cellStyle name="Accent6 2" xfId="6947" xr:uid="{00000000-0005-0000-0000-0000CC140000}"/>
    <cellStyle name="Ae" xfId="924" xr:uid="{00000000-0005-0000-0000-0000CD140000}"/>
    <cellStyle name="Åë" xfId="5870" xr:uid="{00000000-0005-0000-0000-0000CE140000}"/>
    <cellStyle name="Ae 2" xfId="6948" xr:uid="{00000000-0005-0000-0000-0000CF140000}"/>
    <cellStyle name="Ae 3" xfId="6863" xr:uid="{00000000-0005-0000-0000-0000D0140000}"/>
    <cellStyle name="Ae 4" xfId="6910" xr:uid="{00000000-0005-0000-0000-0000D1140000}"/>
    <cellStyle name="Ae 5" xfId="8397" xr:uid="{00000000-0005-0000-0000-0000D2140000}"/>
    <cellStyle name="Aee­ " xfId="925" xr:uid="{00000000-0005-0000-0000-0000D3140000}"/>
    <cellStyle name="Aee­  2" xfId="6949" xr:uid="{00000000-0005-0000-0000-0000D4140000}"/>
    <cellStyle name="Aee­ [" xfId="5871" xr:uid="{00000000-0005-0000-0000-0000D5140000}"/>
    <cellStyle name="Åëè­ [" xfId="5872" xr:uid="{00000000-0005-0000-0000-0000D6140000}"/>
    <cellStyle name="Aee­ [ 2" xfId="7909" xr:uid="{00000000-0005-0000-0000-0000D7140000}"/>
    <cellStyle name="AeE­ [0]_ 2ÆAAþº° " xfId="1490" xr:uid="{00000000-0005-0000-0000-0000D8140000}"/>
    <cellStyle name="ÅëÈ­ [0]_¸ðÇü¸·" xfId="5873" xr:uid="{00000000-0005-0000-0000-0000D9140000}"/>
    <cellStyle name="AeE­ [0]_¸ðCu¸· 2" xfId="7910" xr:uid="{00000000-0005-0000-0000-0000DA140000}"/>
    <cellStyle name="ÅëÈ­ [0]_¸ðÇü¸· 2" xfId="7911" xr:uid="{00000000-0005-0000-0000-0000DB140000}"/>
    <cellStyle name="AeE­ [0]_¸ðCu¸· 3" xfId="7912" xr:uid="{00000000-0005-0000-0000-0000DC140000}"/>
    <cellStyle name="ÅëÈ­ [0]_¸ðÇü¸· 3" xfId="7913" xr:uid="{00000000-0005-0000-0000-0000DD140000}"/>
    <cellStyle name="AeE­ [0]_¸ðCu¸· 4" xfId="7914" xr:uid="{00000000-0005-0000-0000-0000DE140000}"/>
    <cellStyle name="ÅëÈ­ [0]_¸ðÇü¸· 4" xfId="7915" xr:uid="{00000000-0005-0000-0000-0000DF140000}"/>
    <cellStyle name="AeE­ [0]_¸ðCu¸· 5" xfId="7916" xr:uid="{00000000-0005-0000-0000-0000E0140000}"/>
    <cellStyle name="ÅëÈ­ [0]_¸ðÇü¸· 5" xfId="7917" xr:uid="{00000000-0005-0000-0000-0000E1140000}"/>
    <cellStyle name="AeE­ [0]_¸ðCu¸· 6" xfId="7918" xr:uid="{00000000-0005-0000-0000-0000E2140000}"/>
    <cellStyle name="ÅëÈ­ [0]_¸ðÇü¸· 6" xfId="7919" xr:uid="{00000000-0005-0000-0000-0000E3140000}"/>
    <cellStyle name="AeE­ [0]_¸ðCu¸·_091110 안성천권역(중하류) 설계내역서" xfId="7920" xr:uid="{00000000-0005-0000-0000-0000E4140000}"/>
    <cellStyle name="ÅëÈ­ [0]_¸ðÇü¸·_091110 안성천권역(중하류) 설계내역서" xfId="7921" xr:uid="{00000000-0005-0000-0000-0000E5140000}"/>
    <cellStyle name="AeE­ [0]_¸ðCu¸·_100120 안성천권역(중하류) 2차분내역서" xfId="7922" xr:uid="{00000000-0005-0000-0000-0000E6140000}"/>
    <cellStyle name="ÅëÈ­ [0]_¸ðÇü¸·_100120 안성천권역(중하류) 2차분내역서" xfId="7923" xr:uid="{00000000-0005-0000-0000-0000E7140000}"/>
    <cellStyle name="AeE­ [0]_¸ðCu¸·_20100222 곡릉천권역내역서(변경)_지형현황측량" xfId="7924" xr:uid="{00000000-0005-0000-0000-0000E8140000}"/>
    <cellStyle name="ÅëÈ­ [0]_¸ðÇü¸·_논산천 권역 하천기본계획 설계예산서" xfId="7925" xr:uid="{00000000-0005-0000-0000-0000E9140000}"/>
    <cellStyle name="AeE­ [0]_¸ðCu¸·_복하천_개선최종_수정" xfId="7926" xr:uid="{00000000-0005-0000-0000-0000EA140000}"/>
    <cellStyle name="ÅëÈ­ [0]_¸ðÇü¸·_복하천_개선최종_수정" xfId="7927" xr:uid="{00000000-0005-0000-0000-0000EB140000}"/>
    <cellStyle name="AeE­ [0]_¸ðCu¸·_소양강 상류권역 하천기본계획(변경) 및 하천시설관리대장작성_Lidar측량" xfId="7928" xr:uid="{00000000-0005-0000-0000-0000EC140000}"/>
    <cellStyle name="ÅëÈ­ [0]_¸ðÇü¸·_소양강 상류권역 하천기본계획(변경) 및 하천시설관리대장작성_Lidar측량" xfId="7929" xr:uid="{00000000-0005-0000-0000-0000ED140000}"/>
    <cellStyle name="AeE­ [0]_¸ðCu¸·_안양천권역 하천기본계획 설계예산서" xfId="7930" xr:uid="{00000000-0005-0000-0000-0000EE140000}"/>
    <cellStyle name="ÅëÈ­ [0]_¸ðÇü¸·_안양천권역 하천기본계획 설계예산서" xfId="7931" xr:uid="{00000000-0005-0000-0000-0000EF140000}"/>
    <cellStyle name="AeE­ [0]_¸ðCu¸·_한강하류 하천기본계획 설계예산서(지형측량)" xfId="7932" xr:uid="{00000000-0005-0000-0000-0000F0140000}"/>
    <cellStyle name="ÅëÈ­ [0]_¸ðÇü¸·_한강하류 하천기본계획 설계예산서(지형측량)" xfId="7933" xr:uid="{00000000-0005-0000-0000-0000F1140000}"/>
    <cellStyle name="AeE­ [0]_¸ðCu¸·_한탄강권역 하천기본계획 설계예산서(지형측량)" xfId="7934" xr:uid="{00000000-0005-0000-0000-0000F2140000}"/>
    <cellStyle name="ÅëÈ­ [0]_¸ðÇü¸·_한탄강권역 하천기본계획 설계예산서(지형측량)" xfId="7935" xr:uid="{00000000-0005-0000-0000-0000F3140000}"/>
    <cellStyle name="AeE­ [0]_¸ðCu¸·_황강중류권역 하천기본계획 예산서2차분 rev4" xfId="6950" xr:uid="{00000000-0005-0000-0000-0000F4140000}"/>
    <cellStyle name="ÅëÈ­ [0]_¸ðÇü¸·_황강중류권역 하천기본계획 예산서2차분 rev4" xfId="6951" xr:uid="{00000000-0005-0000-0000-0000F5140000}"/>
    <cellStyle name="AeE­ [0]_°eE¹_11¿a½A " xfId="5874" xr:uid="{00000000-0005-0000-0000-0000F6140000}"/>
    <cellStyle name="ÅëÈ­ [0]_7°èÈ¹ " xfId="5875" xr:uid="{00000000-0005-0000-0000-0000F7140000}"/>
    <cellStyle name="AeE­ [0]_AMT " xfId="5876" xr:uid="{00000000-0005-0000-0000-0000F8140000}"/>
    <cellStyle name="ÅëÈ­ [0]_INQUIRY ¿µ¾÷ÃßÁø " xfId="5877" xr:uid="{00000000-0005-0000-0000-0000F9140000}"/>
    <cellStyle name="AeE­ [0]_INQUIRY ¿μ¾÷AßAø " xfId="5878" xr:uid="{00000000-0005-0000-0000-0000FA140000}"/>
    <cellStyle name="Åëè­ [0]_laro" xfId="5879" xr:uid="{00000000-0005-0000-0000-0000FB140000}"/>
    <cellStyle name="AeE­ [0]_º≫¼± ±æ¾i±uºI ¼o·R Ay°eC￥ " xfId="926" xr:uid="{00000000-0005-0000-0000-0000FC140000}"/>
    <cellStyle name="Aee­ _(수정중) 모형플랜트가설건물" xfId="927" xr:uid="{00000000-0005-0000-0000-0000FD140000}"/>
    <cellStyle name="AeE­_ 2ÆAAþº° " xfId="1491" xr:uid="{00000000-0005-0000-0000-0000FE140000}"/>
    <cellStyle name="ÅëÈ­_¸ðÇü¸·" xfId="5880" xr:uid="{00000000-0005-0000-0000-0000FF140000}"/>
    <cellStyle name="AeE­_¸ðCu¸· 2" xfId="7936" xr:uid="{00000000-0005-0000-0000-000000150000}"/>
    <cellStyle name="ÅëÈ­_¸ðÇü¸· 2" xfId="7937" xr:uid="{00000000-0005-0000-0000-000001150000}"/>
    <cellStyle name="AeE­_¸ðCu¸· 3" xfId="7938" xr:uid="{00000000-0005-0000-0000-000002150000}"/>
    <cellStyle name="ÅëÈ­_¸ðÇü¸· 3" xfId="7939" xr:uid="{00000000-0005-0000-0000-000003150000}"/>
    <cellStyle name="AeE­_¸ðCu¸· 4" xfId="7940" xr:uid="{00000000-0005-0000-0000-000004150000}"/>
    <cellStyle name="ÅëÈ­_¸ðÇü¸· 4" xfId="7941" xr:uid="{00000000-0005-0000-0000-000005150000}"/>
    <cellStyle name="AeE­_¸ðCu¸· 5" xfId="7942" xr:uid="{00000000-0005-0000-0000-000006150000}"/>
    <cellStyle name="ÅëÈ­_¸ðÇü¸· 5" xfId="7943" xr:uid="{00000000-0005-0000-0000-000007150000}"/>
    <cellStyle name="AeE­_¸ðCu¸· 6" xfId="7944" xr:uid="{00000000-0005-0000-0000-000008150000}"/>
    <cellStyle name="ÅëÈ­_¸ðÇü¸· 6" xfId="7945" xr:uid="{00000000-0005-0000-0000-000009150000}"/>
    <cellStyle name="AeE­_¸ðCu¸·_091110 안성천권역(중하류) 설계내역서" xfId="7946" xr:uid="{00000000-0005-0000-0000-00000A150000}"/>
    <cellStyle name="ÅëÈ­_¸ðÇü¸·_091110 안성천권역(중하류) 설계내역서" xfId="7947" xr:uid="{00000000-0005-0000-0000-00000B150000}"/>
    <cellStyle name="AeE­_¸ðCu¸·_100120 안성천권역(중하류) 2차분내역서" xfId="7948" xr:uid="{00000000-0005-0000-0000-00000C150000}"/>
    <cellStyle name="ÅëÈ­_¸ðÇü¸·_100120 안성천권역(중하류) 2차분내역서" xfId="7949" xr:uid="{00000000-0005-0000-0000-00000D150000}"/>
    <cellStyle name="AeE­_¸ðCu¸·_20100222 곡릉천권역내역서(변경)_지형현황측량" xfId="7950" xr:uid="{00000000-0005-0000-0000-00000E150000}"/>
    <cellStyle name="ÅëÈ­_¸ðÇü¸·_논산천 권역 하천기본계획 설계예산서" xfId="7951" xr:uid="{00000000-0005-0000-0000-00000F150000}"/>
    <cellStyle name="AeE­_¸ðCu¸·_복하천_개선최종_수정" xfId="7952" xr:uid="{00000000-0005-0000-0000-000010150000}"/>
    <cellStyle name="ÅëÈ­_¸ðÇü¸·_복하천_개선최종_수정" xfId="7953" xr:uid="{00000000-0005-0000-0000-000011150000}"/>
    <cellStyle name="AeE­_¸ðCu¸·_소양강 상류권역 하천기본계획(변경) 및 하천시설관리대장작성_Lidar측량" xfId="7954" xr:uid="{00000000-0005-0000-0000-000012150000}"/>
    <cellStyle name="ÅëÈ­_¸ðÇü¸·_소양강 상류권역 하천기본계획(변경) 및 하천시설관리대장작성_Lidar측량" xfId="7955" xr:uid="{00000000-0005-0000-0000-000013150000}"/>
    <cellStyle name="AeE­_¸ðCu¸·_안양천권역 하천기본계획 설계예산서" xfId="7956" xr:uid="{00000000-0005-0000-0000-000014150000}"/>
    <cellStyle name="ÅëÈ­_¸ðÇü¸·_안양천권역 하천기본계획 설계예산서" xfId="7957" xr:uid="{00000000-0005-0000-0000-000015150000}"/>
    <cellStyle name="AeE­_¸ðCu¸·_한강하류 하천기본계획 설계예산서(지형측량)" xfId="7958" xr:uid="{00000000-0005-0000-0000-000016150000}"/>
    <cellStyle name="ÅëÈ­_¸ðÇü¸·_한강하류 하천기본계획 설계예산서(지형측량)" xfId="7959" xr:uid="{00000000-0005-0000-0000-000017150000}"/>
    <cellStyle name="AeE­_¸ðCu¸·_한탄강권역 하천기본계획 설계예산서(지형측량)" xfId="7960" xr:uid="{00000000-0005-0000-0000-000018150000}"/>
    <cellStyle name="ÅëÈ­_¸ðÇü¸·_한탄강권역 하천기본계획 설계예산서(지형측량)" xfId="7961" xr:uid="{00000000-0005-0000-0000-000019150000}"/>
    <cellStyle name="AeE­_¸ðCu¸·_황강중류권역 하천기본계획 예산서2차분 rev4" xfId="6952" xr:uid="{00000000-0005-0000-0000-00001A150000}"/>
    <cellStyle name="ÅëÈ­_¸ðÇü¸·_황강중류권역 하천기본계획 예산서2차분 rev4" xfId="6953" xr:uid="{00000000-0005-0000-0000-00001B150000}"/>
    <cellStyle name="AeE­_°eE¹_11¿a½A " xfId="5881" xr:uid="{00000000-0005-0000-0000-00001C150000}"/>
    <cellStyle name="ÅëÈ­_7°èÈ¹ " xfId="5882" xr:uid="{00000000-0005-0000-0000-00001D150000}"/>
    <cellStyle name="AeE­_7°eE¹$" xfId="5883" xr:uid="{00000000-0005-0000-0000-00001E150000}"/>
    <cellStyle name="ÅëÈ­_INQUIRY ¿µ¾÷ÃßÁø " xfId="5884" xr:uid="{00000000-0005-0000-0000-00001F150000}"/>
    <cellStyle name="AeE­_INQUIRY ¿μ¾÷AßAø " xfId="5885" xr:uid="{00000000-0005-0000-0000-000020150000}"/>
    <cellStyle name="Åëè­_laro" xfId="5886" xr:uid="{00000000-0005-0000-0000-000021150000}"/>
    <cellStyle name="AeE­_º≫¼± ±æ¾i±uºI ¼o·R Ay°eC￥ " xfId="928" xr:uid="{00000000-0005-0000-0000-000022150000}"/>
    <cellStyle name="Aee¡" xfId="929" xr:uid="{00000000-0005-0000-0000-000023150000}"/>
    <cellStyle name="Aee¡ 2" xfId="6954" xr:uid="{00000000-0005-0000-0000-000024150000}"/>
    <cellStyle name="Aee¡ⓒ " xfId="5887" xr:uid="{00000000-0005-0000-0000-000025150000}"/>
    <cellStyle name="Aee¡ⓒ  2" xfId="7962" xr:uid="{00000000-0005-0000-0000-000026150000}"/>
    <cellStyle name="Aee¡ⓒ  2 2" xfId="7963" xr:uid="{00000000-0005-0000-0000-000027150000}"/>
    <cellStyle name="Aee¡ⓒ  3" xfId="7964" xr:uid="{00000000-0005-0000-0000-000028150000}"/>
    <cellStyle name="AeE¡ⓒ [0]_￠?i¡ieE¡ⓒ¡¤A ¡¾a¡¾￠￢A￠OA¡AC¡I" xfId="5888" xr:uid="{00000000-0005-0000-0000-000029150000}"/>
    <cellStyle name="Aee¡ⓒ _20110119 막곡재해위험지구정비사업기본및실시설계(최종)" xfId="7965" xr:uid="{00000000-0005-0000-0000-00002A150000}"/>
    <cellStyle name="AeE¡ⓒ_￠?i¡ieE¡ⓒ¡¤A ¡¾a¡¾￠￢A￠OA¡AC¡I" xfId="5889" xr:uid="{00000000-0005-0000-0000-00002B150000}"/>
    <cellStyle name="Æu¼ " xfId="930" xr:uid="{00000000-0005-0000-0000-00002C150000}"/>
    <cellStyle name="Æu¼  2" xfId="7966" xr:uid="{00000000-0005-0000-0000-00002D150000}"/>
    <cellStyle name="Æû¼¾æ®" xfId="5890" xr:uid="{00000000-0005-0000-0000-00002E150000}"/>
    <cellStyle name="Æû¼¾æ® 2" xfId="7967" xr:uid="{00000000-0005-0000-0000-00002F150000}"/>
    <cellStyle name="ALIGNMENT" xfId="931" xr:uid="{00000000-0005-0000-0000-000030150000}"/>
    <cellStyle name="ALIGNMENT 2" xfId="7968" xr:uid="{00000000-0005-0000-0000-000031150000}"/>
    <cellStyle name="Aþ" xfId="5891" xr:uid="{00000000-0005-0000-0000-000032150000}"/>
    <cellStyle name="Äþ" xfId="5892" xr:uid="{00000000-0005-0000-0000-000033150000}"/>
    <cellStyle name="Aþ 2" xfId="7969" xr:uid="{00000000-0005-0000-0000-000034150000}"/>
    <cellStyle name="Aþ¸" xfId="932" xr:uid="{00000000-0005-0000-0000-000035150000}"/>
    <cellStyle name="Aþ¸ 2" xfId="6955" xr:uid="{00000000-0005-0000-0000-000036150000}"/>
    <cellStyle name="Aþ¸¶ [" xfId="5893" xr:uid="{00000000-0005-0000-0000-000037150000}"/>
    <cellStyle name="Äþ¸¶ [" xfId="5894" xr:uid="{00000000-0005-0000-0000-000038150000}"/>
    <cellStyle name="Aþ¸¶ [ 2" xfId="7970" xr:uid="{00000000-0005-0000-0000-000039150000}"/>
    <cellStyle name="AÞ¸¶ [0]_ 2ÆAAþº° " xfId="1492" xr:uid="{00000000-0005-0000-0000-00003A150000}"/>
    <cellStyle name="ÄÞ¸¶ [0]_¸ðÇü¸·" xfId="5895" xr:uid="{00000000-0005-0000-0000-00003B150000}"/>
    <cellStyle name="AÞ¸¶ [0]_¸ðCu¸· 2" xfId="7971" xr:uid="{00000000-0005-0000-0000-00003C150000}"/>
    <cellStyle name="ÄÞ¸¶ [0]_¸ðÇü¸· 2" xfId="7972" xr:uid="{00000000-0005-0000-0000-00003D150000}"/>
    <cellStyle name="AÞ¸¶ [0]_¸ðCu¸· 3" xfId="7973" xr:uid="{00000000-0005-0000-0000-00003E150000}"/>
    <cellStyle name="ÄÞ¸¶ [0]_¸ðÇü¸· 3" xfId="7974" xr:uid="{00000000-0005-0000-0000-00003F150000}"/>
    <cellStyle name="AÞ¸¶ [0]_¸ðCu¸· 4" xfId="7975" xr:uid="{00000000-0005-0000-0000-000040150000}"/>
    <cellStyle name="ÄÞ¸¶ [0]_¸ðÇü¸· 4" xfId="7976" xr:uid="{00000000-0005-0000-0000-000041150000}"/>
    <cellStyle name="AÞ¸¶ [0]_¸ðCu¸· 5" xfId="7977" xr:uid="{00000000-0005-0000-0000-000042150000}"/>
    <cellStyle name="ÄÞ¸¶ [0]_¸ðÇü¸· 5" xfId="7978" xr:uid="{00000000-0005-0000-0000-000043150000}"/>
    <cellStyle name="AÞ¸¶ [0]_¸ðCu¸· 6" xfId="7979" xr:uid="{00000000-0005-0000-0000-000044150000}"/>
    <cellStyle name="ÄÞ¸¶ [0]_¸ðÇü¸· 6" xfId="7980" xr:uid="{00000000-0005-0000-0000-000045150000}"/>
    <cellStyle name="AÞ¸¶ [0]_¸ðCu¸·_091110 안성천권역(중하류) 설계내역서" xfId="7981" xr:uid="{00000000-0005-0000-0000-000046150000}"/>
    <cellStyle name="ÄÞ¸¶ [0]_¸ðÇü¸·_091110 안성천권역(중하류) 설계내역서" xfId="7982" xr:uid="{00000000-0005-0000-0000-000047150000}"/>
    <cellStyle name="AÞ¸¶ [0]_¸ðCu¸·_100120 안성천권역(중하류) 2차분내역서" xfId="7983" xr:uid="{00000000-0005-0000-0000-000048150000}"/>
    <cellStyle name="ÄÞ¸¶ [0]_¸ðÇü¸·_100120 안성천권역(중하류) 2차분내역서" xfId="7984" xr:uid="{00000000-0005-0000-0000-000049150000}"/>
    <cellStyle name="AÞ¸¶ [0]_¸ðCu¸·_논산천 권역 하천기본계획 설계예산서" xfId="7985" xr:uid="{00000000-0005-0000-0000-00004A150000}"/>
    <cellStyle name="ÄÞ¸¶ [0]_¸ðÇü¸·_논산천 권역 하천기본계획 설계예산서" xfId="7986" xr:uid="{00000000-0005-0000-0000-00004B150000}"/>
    <cellStyle name="AÞ¸¶ [0]_¸ðCu¸·_복하천_개선최종_수정" xfId="7987" xr:uid="{00000000-0005-0000-0000-00004C150000}"/>
    <cellStyle name="ÄÞ¸¶ [0]_¸ðÇü¸·_복하천_개선최종_수정" xfId="7988" xr:uid="{00000000-0005-0000-0000-00004D150000}"/>
    <cellStyle name="AÞ¸¶ [0]_¸ðCu¸·_소양강 상류권역 하천기본계획(변경) 및 하천시설관리대장작성_Lidar측량" xfId="7989" xr:uid="{00000000-0005-0000-0000-00004E150000}"/>
    <cellStyle name="ÄÞ¸¶ [0]_¸ðÇü¸·_소양강 상류권역 하천기본계획(변경) 및 하천시설관리대장작성_Lidar측량" xfId="7990" xr:uid="{00000000-0005-0000-0000-00004F150000}"/>
    <cellStyle name="AÞ¸¶ [0]_¸ðCu¸·_안양천권역 하천기본계획 설계예산서" xfId="7991" xr:uid="{00000000-0005-0000-0000-000050150000}"/>
    <cellStyle name="ÄÞ¸¶ [0]_¸ðÇü¸·_안양천권역 하천기본계획 설계예산서" xfId="7992" xr:uid="{00000000-0005-0000-0000-000051150000}"/>
    <cellStyle name="AÞ¸¶ [0]_¸ðCu¸·_한강하류 하천기본계획 설계예산서(지형측량)" xfId="7993" xr:uid="{00000000-0005-0000-0000-000052150000}"/>
    <cellStyle name="ÄÞ¸¶ [0]_¸ðÇü¸·_한강하류 하천기본계획 설계예산서(지형측량)" xfId="7994" xr:uid="{00000000-0005-0000-0000-000053150000}"/>
    <cellStyle name="AÞ¸¶ [0]_¸ðCu¸·_한탄강권역 하천기본계획 설계예산서(지형측량)" xfId="7995" xr:uid="{00000000-0005-0000-0000-000054150000}"/>
    <cellStyle name="ÄÞ¸¶ [0]_¸ðÇü¸·_한탄강권역 하천기본계획 설계예산서(지형측량)" xfId="7996" xr:uid="{00000000-0005-0000-0000-000055150000}"/>
    <cellStyle name="AÞ¸¶ [0]_¸ðCu¸·_황강중류권역 하천기본계획 예산서2차분 rev4" xfId="6956" xr:uid="{00000000-0005-0000-0000-000056150000}"/>
    <cellStyle name="ÄÞ¸¶ [0]_¸ðÇü¸·_황강중류권역 하천기본계획 예산서2차분 rev4" xfId="6957" xr:uid="{00000000-0005-0000-0000-000057150000}"/>
    <cellStyle name="AÞ¸¶ [0]_°eE¹_11¿a½A " xfId="5896" xr:uid="{00000000-0005-0000-0000-000058150000}"/>
    <cellStyle name="ÄÞ¸¶ [0]_7°èÈ¹ " xfId="5897" xr:uid="{00000000-0005-0000-0000-000059150000}"/>
    <cellStyle name="AÞ¸¶ [0]_AN°y(1.25) " xfId="5898" xr:uid="{00000000-0005-0000-0000-00005A150000}"/>
    <cellStyle name="ÄÞ¸¶ [0]_INQUIRY ¿µ¾÷ÃßÁø " xfId="5899" xr:uid="{00000000-0005-0000-0000-00005B150000}"/>
    <cellStyle name="AÞ¸¶ [0]_INQUIRY ¿μ¾÷AßAø " xfId="5900" xr:uid="{00000000-0005-0000-0000-00005C150000}"/>
    <cellStyle name="Äþ¸¶ [0]_laro" xfId="5901" xr:uid="{00000000-0005-0000-0000-00005D150000}"/>
    <cellStyle name="AÞ¸¶ [0]_º≫¼± ±æ¾i±uºI ¼o·R Ay°eC￥ " xfId="933" xr:uid="{00000000-0005-0000-0000-00005E150000}"/>
    <cellStyle name="AÞ¸¶_ 2ÆAAþº° " xfId="1493" xr:uid="{00000000-0005-0000-0000-00005F150000}"/>
    <cellStyle name="ÄÞ¸¶_¸ðÇü¸·" xfId="5902" xr:uid="{00000000-0005-0000-0000-000060150000}"/>
    <cellStyle name="AÞ¸¶_¸ðCu¸· 2" xfId="7997" xr:uid="{00000000-0005-0000-0000-000061150000}"/>
    <cellStyle name="ÄÞ¸¶_¸ðÇü¸· 2" xfId="7998" xr:uid="{00000000-0005-0000-0000-000062150000}"/>
    <cellStyle name="AÞ¸¶_¸ðCu¸· 3" xfId="7999" xr:uid="{00000000-0005-0000-0000-000063150000}"/>
    <cellStyle name="ÄÞ¸¶_¸ðÇü¸· 3" xfId="8000" xr:uid="{00000000-0005-0000-0000-000064150000}"/>
    <cellStyle name="AÞ¸¶_¸ðCu¸· 4" xfId="8001" xr:uid="{00000000-0005-0000-0000-000065150000}"/>
    <cellStyle name="ÄÞ¸¶_¸ðÇü¸· 4" xfId="8002" xr:uid="{00000000-0005-0000-0000-000066150000}"/>
    <cellStyle name="AÞ¸¶_¸ðCu¸· 5" xfId="8003" xr:uid="{00000000-0005-0000-0000-000067150000}"/>
    <cellStyle name="ÄÞ¸¶_¸ðÇü¸· 5" xfId="8004" xr:uid="{00000000-0005-0000-0000-000068150000}"/>
    <cellStyle name="AÞ¸¶_¸ðCu¸· 6" xfId="8005" xr:uid="{00000000-0005-0000-0000-000069150000}"/>
    <cellStyle name="ÄÞ¸¶_¸ðÇü¸· 6" xfId="8006" xr:uid="{00000000-0005-0000-0000-00006A150000}"/>
    <cellStyle name="AÞ¸¶_¸ðCu¸·_091110 안성천권역(중하류) 설계내역서" xfId="8007" xr:uid="{00000000-0005-0000-0000-00006B150000}"/>
    <cellStyle name="ÄÞ¸¶_¸ðÇü¸·_091110 안성천권역(중하류) 설계내역서" xfId="8008" xr:uid="{00000000-0005-0000-0000-00006C150000}"/>
    <cellStyle name="AÞ¸¶_¸ðCu¸·_100120 안성천권역(중하류) 2차분내역서" xfId="8009" xr:uid="{00000000-0005-0000-0000-00006D150000}"/>
    <cellStyle name="ÄÞ¸¶_¸ðÇü¸·_100120 안성천권역(중하류) 2차분내역서" xfId="8010" xr:uid="{00000000-0005-0000-0000-00006E150000}"/>
    <cellStyle name="AÞ¸¶_¸ðCu¸·_논산천 권역 하천기본계획 설계예산서" xfId="8011" xr:uid="{00000000-0005-0000-0000-00006F150000}"/>
    <cellStyle name="ÄÞ¸¶_¸ðÇü¸·_논산천 권역 하천기본계획 설계예산서" xfId="8012" xr:uid="{00000000-0005-0000-0000-000070150000}"/>
    <cellStyle name="AÞ¸¶_¸ðCu¸·_복하천_개선최종_수정" xfId="8013" xr:uid="{00000000-0005-0000-0000-000071150000}"/>
    <cellStyle name="ÄÞ¸¶_¸ðÇü¸·_복하천_개선최종_수정" xfId="8014" xr:uid="{00000000-0005-0000-0000-000072150000}"/>
    <cellStyle name="AÞ¸¶_¸ðCu¸·_소양강 상류권역 하천기본계획(변경) 및 하천시설관리대장작성_Lidar측량" xfId="8015" xr:uid="{00000000-0005-0000-0000-000073150000}"/>
    <cellStyle name="ÄÞ¸¶_¸ðÇü¸·_소양강 상류권역 하천기본계획(변경) 및 하천시설관리대장작성_Lidar측량" xfId="8016" xr:uid="{00000000-0005-0000-0000-000074150000}"/>
    <cellStyle name="AÞ¸¶_¸ðCu¸·_안양천권역 하천기본계획 설계예산서" xfId="8017" xr:uid="{00000000-0005-0000-0000-000075150000}"/>
    <cellStyle name="ÄÞ¸¶_¸ðÇü¸·_안양천권역 하천기본계획 설계예산서" xfId="8018" xr:uid="{00000000-0005-0000-0000-000076150000}"/>
    <cellStyle name="AÞ¸¶_¸ðCu¸·_한강하류 하천기본계획 설계예산서(지형측량)" xfId="8019" xr:uid="{00000000-0005-0000-0000-000077150000}"/>
    <cellStyle name="ÄÞ¸¶_¸ðÇü¸·_한강하류 하천기본계획 설계예산서(지형측량)" xfId="8020" xr:uid="{00000000-0005-0000-0000-000078150000}"/>
    <cellStyle name="AÞ¸¶_¸ðCu¸·_한탄강권역 하천기본계획 설계예산서(지형측량)" xfId="8021" xr:uid="{00000000-0005-0000-0000-000079150000}"/>
    <cellStyle name="ÄÞ¸¶_¸ðÇü¸·_한탄강권역 하천기본계획 설계예산서(지형측량)" xfId="8022" xr:uid="{00000000-0005-0000-0000-00007A150000}"/>
    <cellStyle name="AÞ¸¶_¸ðCu¸·_황강중류권역 하천기본계획 예산서2차분 rev4" xfId="6958" xr:uid="{00000000-0005-0000-0000-00007B150000}"/>
    <cellStyle name="ÄÞ¸¶_¸ðÇü¸·_황강중류권역 하천기본계획 예산서2차분 rev4" xfId="6959" xr:uid="{00000000-0005-0000-0000-00007C150000}"/>
    <cellStyle name="AÞ¸¶_°eE¹_11¿a½A " xfId="5903" xr:uid="{00000000-0005-0000-0000-00007D150000}"/>
    <cellStyle name="ÄÞ¸¶_7°èÈ¹ " xfId="5904" xr:uid="{00000000-0005-0000-0000-00007E150000}"/>
    <cellStyle name="AÞ¸¶_AN°y(1.25) " xfId="5905" xr:uid="{00000000-0005-0000-0000-00007F150000}"/>
    <cellStyle name="ÄÞ¸¶_INQUIRY ¿µ¾÷ÃßÁø " xfId="5906" xr:uid="{00000000-0005-0000-0000-000080150000}"/>
    <cellStyle name="AÞ¸¶_INQUIRY ¿μ¾÷AßAø " xfId="5907" xr:uid="{00000000-0005-0000-0000-000081150000}"/>
    <cellStyle name="Äþ¸¶_laro" xfId="5908" xr:uid="{00000000-0005-0000-0000-000082150000}"/>
    <cellStyle name="AÞ¸¶_º≫¼± ±æ¾i±uºI ¼o·R Ay°eC￥ " xfId="934" xr:uid="{00000000-0005-0000-0000-000083150000}"/>
    <cellStyle name="Àú¸®¼ö" xfId="5909" xr:uid="{00000000-0005-0000-0000-000084150000}"/>
    <cellStyle name="Àú¸®¼ö 2" xfId="8023" xr:uid="{00000000-0005-0000-0000-000085150000}"/>
    <cellStyle name="Àú¸®¼ö0" xfId="5910" xr:uid="{00000000-0005-0000-0000-000086150000}"/>
    <cellStyle name="Àú¸®¼ö0 2" xfId="8024" xr:uid="{00000000-0005-0000-0000-000087150000}"/>
    <cellStyle name="Au¸r " xfId="935" xr:uid="{00000000-0005-0000-0000-000088150000}"/>
    <cellStyle name="Au¸r  2" xfId="8025" xr:uid="{00000000-0005-0000-0000-000089150000}"/>
    <cellStyle name="Au¸r¼" xfId="936" xr:uid="{00000000-0005-0000-0000-00008A150000}"/>
    <cellStyle name="Au¸r¼ 2" xfId="8026" xr:uid="{00000000-0005-0000-0000-00008B150000}"/>
    <cellStyle name="_x0001_b" xfId="1494" xr:uid="{00000000-0005-0000-0000-00008C150000}"/>
    <cellStyle name="BA" xfId="937" xr:uid="{00000000-0005-0000-0000-00008D150000}"/>
    <cellStyle name="BA 2" xfId="8027" xr:uid="{00000000-0005-0000-0000-00008E150000}"/>
    <cellStyle name="BA 3" xfId="8028" xr:uid="{00000000-0005-0000-0000-00008F150000}"/>
    <cellStyle name="Background" xfId="5911" xr:uid="{00000000-0005-0000-0000-000090150000}"/>
    <cellStyle name="Bad" xfId="3520" xr:uid="{00000000-0005-0000-0000-000091150000}"/>
    <cellStyle name="Bad 2" xfId="6960" xr:uid="{00000000-0005-0000-0000-000092150000}"/>
    <cellStyle name="body" xfId="3521" xr:uid="{00000000-0005-0000-0000-000093150000}"/>
    <cellStyle name="BoldHdr" xfId="5912" xr:uid="{00000000-0005-0000-0000-000094150000}"/>
    <cellStyle name="C" xfId="938" xr:uid="{00000000-0005-0000-0000-000095150000}"/>
    <cellStyle name="C 2" xfId="6961" xr:uid="{00000000-0005-0000-0000-000096150000}"/>
    <cellStyle name="C_(수정중) 모형플랜트가설건물" xfId="939" xr:uid="{00000000-0005-0000-0000-000097150000}"/>
    <cellStyle name="C_2회설변전체내역서" xfId="940" xr:uid="{00000000-0005-0000-0000-000098150000}"/>
    <cellStyle name="C_2회설변전체내역서 2" xfId="6962" xr:uid="{00000000-0005-0000-0000-000099150000}"/>
    <cellStyle name="C_4_구미_내역서(최종)" xfId="941" xr:uid="{00000000-0005-0000-0000-00009A150000}"/>
    <cellStyle name="C_4_구미_내역서(최종) 2" xfId="8398" xr:uid="{00000000-0005-0000-0000-00009B150000}"/>
    <cellStyle name="C_Book1" xfId="942" xr:uid="{00000000-0005-0000-0000-00009C150000}"/>
    <cellStyle name="C_Book1_구미정수장A(건축)(최종)(1)" xfId="943" xr:uid="{00000000-0005-0000-0000-00009D150000}"/>
    <cellStyle name="C_구미내역서(최종)" xfId="944" xr:uid="{00000000-0005-0000-0000-00009E150000}"/>
    <cellStyle name="C_구미내역서(최종) 2" xfId="8399" xr:uid="{00000000-0005-0000-0000-00009F150000}"/>
    <cellStyle name="C_구미정수장A(건축)(최종)(1)" xfId="945" xr:uid="{00000000-0005-0000-0000-0000A0150000}"/>
    <cellStyle name="C_내역서(포항)" xfId="946" xr:uid="{00000000-0005-0000-0000-0000A1150000}"/>
    <cellStyle name="C_사진대지" xfId="947" xr:uid="{00000000-0005-0000-0000-0000A2150000}"/>
    <cellStyle name="C_사진대지 2" xfId="8400" xr:uid="{00000000-0005-0000-0000-0000A3150000}"/>
    <cellStyle name="C_사진대지_구미정수장A(건축)(최종)(1)" xfId="948" xr:uid="{00000000-0005-0000-0000-0000A4150000}"/>
    <cellStyle name="C_사진대지_구미정수장A(건축)(최종)(1) 2" xfId="8401" xr:uid="{00000000-0005-0000-0000-0000A5150000}"/>
    <cellStyle name="C_일위대가양식" xfId="949" xr:uid="{00000000-0005-0000-0000-0000A6150000}"/>
    <cellStyle name="C_토목내역" xfId="950" xr:uid="{00000000-0005-0000-0000-0000A7150000}"/>
    <cellStyle name="C_토목내역 2" xfId="6963" xr:uid="{00000000-0005-0000-0000-0000A8150000}"/>
    <cellStyle name="C_황령산 봉수대 용역내역서" xfId="5913" xr:uid="{00000000-0005-0000-0000-0000A9150000}"/>
    <cellStyle name="C¡" xfId="5914" xr:uid="{00000000-0005-0000-0000-0000AA150000}"/>
    <cellStyle name="C¡ 2" xfId="8029" xr:uid="{00000000-0005-0000-0000-0000AB150000}"/>
    <cellStyle name="C¡ 3" xfId="8030" xr:uid="{00000000-0005-0000-0000-0000AC150000}"/>
    <cellStyle name="C¡IA¨ª_¡ic¨u¡A¨￢I¨￢¡Æ AN¡Æe " xfId="951" xr:uid="{00000000-0005-0000-0000-0000AD150000}"/>
    <cellStyle name="C￥" xfId="5915" xr:uid="{00000000-0005-0000-0000-0000AE150000}"/>
    <cellStyle name="Ç¥" xfId="5916" xr:uid="{00000000-0005-0000-0000-0000AF150000}"/>
    <cellStyle name="C￥ 2" xfId="8031" xr:uid="{00000000-0005-0000-0000-0000B0150000}"/>
    <cellStyle name="C￥AØ_  FAB AIA¤  " xfId="952" xr:uid="{00000000-0005-0000-0000-0000B1150000}"/>
    <cellStyle name="Ç¥ÁØ_ Ãø±¸Áý°èÇ¥" xfId="3522" xr:uid="{00000000-0005-0000-0000-0000B2150000}"/>
    <cellStyle name="C￥AØ_¿ø°¡Aoa" xfId="5917" xr:uid="{00000000-0005-0000-0000-0000B3150000}"/>
    <cellStyle name="Ç¥ÁØ_»ç¾÷ºÎº° ÃÑ°è " xfId="5918" xr:uid="{00000000-0005-0000-0000-0000B4150000}"/>
    <cellStyle name="C￥AØ_≫c¾÷ºIº° AN°e " xfId="953" xr:uid="{00000000-0005-0000-0000-0000B5150000}"/>
    <cellStyle name="Ç¥ÁØ_°­´ç (2)" xfId="5919" xr:uid="{00000000-0005-0000-0000-0000B6150000}"/>
    <cellStyle name="C￥AØ_¼oAI¼º " xfId="5920" xr:uid="{00000000-0005-0000-0000-0000B7150000}"/>
    <cellStyle name="Ç¥ÁØ_½ÇÇà¿¹»ê¼­ " xfId="954" xr:uid="{00000000-0005-0000-0000-0000B8150000}"/>
    <cellStyle name="C￥AØ_95,96 ºn±³ " xfId="5921" xr:uid="{00000000-0005-0000-0000-0000B9150000}"/>
    <cellStyle name="Ç¥ÁØ_95,96 ºñ±³ " xfId="5922" xr:uid="{00000000-0005-0000-0000-0000BA150000}"/>
    <cellStyle name="C￥AØ_95,96 ºn±³ _2. 토질조사내역서(선유3)-01" xfId="5923" xr:uid="{00000000-0005-0000-0000-0000BB150000}"/>
    <cellStyle name="Ç¥áø_ã¶±ùàç·áç" xfId="5924" xr:uid="{00000000-0005-0000-0000-0000BC150000}"/>
    <cellStyle name="C￥AØ_AN°y(1.25) " xfId="5925" xr:uid="{00000000-0005-0000-0000-0000BD150000}"/>
    <cellStyle name="Ç¥ÁØ_Áý°èÇ¥(2¿ù) " xfId="5926" xr:uid="{00000000-0005-0000-0000-0000BE150000}"/>
    <cellStyle name="C￥AØ_CoAo¹yAI °A¾×¿ⓒ½A " xfId="5927" xr:uid="{00000000-0005-0000-0000-0000BF150000}"/>
    <cellStyle name="Ç¥ÁØ_Sheet1_¿µ¾÷ÇöÈ² " xfId="5928" xr:uid="{00000000-0005-0000-0000-0000C0150000}"/>
    <cellStyle name="C￥AØ_SOON1 " xfId="5929" xr:uid="{00000000-0005-0000-0000-0000C1150000}"/>
    <cellStyle name="Calc Currency (0)" xfId="955" xr:uid="{00000000-0005-0000-0000-0000C2150000}"/>
    <cellStyle name="Calc Currency (0) 2" xfId="1495" xr:uid="{00000000-0005-0000-0000-0000C3150000}"/>
    <cellStyle name="Calc Currency (0) 3" xfId="6967" xr:uid="{00000000-0005-0000-0000-0000C4150000}"/>
    <cellStyle name="Calc Currency (0) 4" xfId="8032" xr:uid="{00000000-0005-0000-0000-0000C5150000}"/>
    <cellStyle name="Calc Currency (2)" xfId="5930" xr:uid="{00000000-0005-0000-0000-0000C6150000}"/>
    <cellStyle name="Calc Currency (2) 2" xfId="8033" xr:uid="{00000000-0005-0000-0000-0000C7150000}"/>
    <cellStyle name="Calc Currency (2) 2 2" xfId="8034" xr:uid="{00000000-0005-0000-0000-0000C8150000}"/>
    <cellStyle name="Calc Percent (0)" xfId="5931" xr:uid="{00000000-0005-0000-0000-0000C9150000}"/>
    <cellStyle name="Calc Percent (0) 2" xfId="8035" xr:uid="{00000000-0005-0000-0000-0000CA150000}"/>
    <cellStyle name="Calc Percent (0) 2 2" xfId="8036" xr:uid="{00000000-0005-0000-0000-0000CB150000}"/>
    <cellStyle name="Calc Percent (1)" xfId="5932" xr:uid="{00000000-0005-0000-0000-0000CC150000}"/>
    <cellStyle name="Calc Percent (1) 2" xfId="8037" xr:uid="{00000000-0005-0000-0000-0000CD150000}"/>
    <cellStyle name="Calc Percent (1) 2 2" xfId="8038" xr:uid="{00000000-0005-0000-0000-0000CE150000}"/>
    <cellStyle name="Calc Percent (2)" xfId="5933" xr:uid="{00000000-0005-0000-0000-0000CF150000}"/>
    <cellStyle name="Calc Percent (2) 2" xfId="8039" xr:uid="{00000000-0005-0000-0000-0000D0150000}"/>
    <cellStyle name="Calc Percent (2) 2 2" xfId="8040" xr:uid="{00000000-0005-0000-0000-0000D1150000}"/>
    <cellStyle name="Calc Units (0)" xfId="5934" xr:uid="{00000000-0005-0000-0000-0000D2150000}"/>
    <cellStyle name="Calc Units (0) 2" xfId="8041" xr:uid="{00000000-0005-0000-0000-0000D3150000}"/>
    <cellStyle name="Calc Units (0) 2 2" xfId="8042" xr:uid="{00000000-0005-0000-0000-0000D4150000}"/>
    <cellStyle name="Calc Units (1)" xfId="5935" xr:uid="{00000000-0005-0000-0000-0000D5150000}"/>
    <cellStyle name="Calc Units (1) 2" xfId="8043" xr:uid="{00000000-0005-0000-0000-0000D6150000}"/>
    <cellStyle name="Calc Units (1) 2 2" xfId="8044" xr:uid="{00000000-0005-0000-0000-0000D7150000}"/>
    <cellStyle name="Calc Units (2)" xfId="5936" xr:uid="{00000000-0005-0000-0000-0000D8150000}"/>
    <cellStyle name="Calc Units (2) 2" xfId="8045" xr:uid="{00000000-0005-0000-0000-0000D9150000}"/>
    <cellStyle name="Calc Units (2) 2 2" xfId="8046" xr:uid="{00000000-0005-0000-0000-0000DA150000}"/>
    <cellStyle name="Calculation" xfId="3523" xr:uid="{00000000-0005-0000-0000-0000DB150000}"/>
    <cellStyle name="Calculation 2" xfId="6968" xr:uid="{00000000-0005-0000-0000-0000DC150000}"/>
    <cellStyle name="category" xfId="956" xr:uid="{00000000-0005-0000-0000-0000DD150000}"/>
    <cellStyle name="category 2" xfId="8047" xr:uid="{00000000-0005-0000-0000-0000DE150000}"/>
    <cellStyle name="Check Cell" xfId="3524" xr:uid="{00000000-0005-0000-0000-0000DF150000}"/>
    <cellStyle name="Check Cell 2" xfId="8048" xr:uid="{00000000-0005-0000-0000-0000E0150000}"/>
    <cellStyle name="ⓒo" xfId="957" xr:uid="{00000000-0005-0000-0000-0000E1150000}"/>
    <cellStyle name="ⓒo 2" xfId="6969" xr:uid="{00000000-0005-0000-0000-0000E2150000}"/>
    <cellStyle name="Çõ»ê" xfId="5937" xr:uid="{00000000-0005-0000-0000-0000E3150000}"/>
    <cellStyle name="Çõ»ê 2" xfId="8049" xr:uid="{00000000-0005-0000-0000-0000E4150000}"/>
    <cellStyle name="Co≫" xfId="958" xr:uid="{00000000-0005-0000-0000-0000E5150000}"/>
    <cellStyle name="Co≫ 2" xfId="8050" xr:uid="{00000000-0005-0000-0000-0000E6150000}"/>
    <cellStyle name="CODE" xfId="1496" xr:uid="{00000000-0005-0000-0000-0000E7150000}"/>
    <cellStyle name="ⓒoe" xfId="5938" xr:uid="{00000000-0005-0000-0000-0000E8150000}"/>
    <cellStyle name="ⓒoe 2" xfId="8051" xr:uid="{00000000-0005-0000-0000-0000E9150000}"/>
    <cellStyle name="ⓒoe 3" xfId="8052" xr:uid="{00000000-0005-0000-0000-0000EA150000}"/>
    <cellStyle name="ColHdr" xfId="5939" xr:uid="{00000000-0005-0000-0000-0000EB150000}"/>
    <cellStyle name="Column Heading" xfId="8053" xr:uid="{00000000-0005-0000-0000-0000EC150000}"/>
    <cellStyle name="Column Headings" xfId="5940" xr:uid="{00000000-0005-0000-0000-0000ED150000}"/>
    <cellStyle name="columns_array" xfId="5941" xr:uid="{00000000-0005-0000-0000-0000EE150000}"/>
    <cellStyle name="Comma" xfId="959" xr:uid="{00000000-0005-0000-0000-0000EF150000}"/>
    <cellStyle name="Comma [0]" xfId="960" xr:uid="{00000000-0005-0000-0000-0000F0150000}"/>
    <cellStyle name="Comma [0] 2" xfId="1497" xr:uid="{00000000-0005-0000-0000-0000F1150000}"/>
    <cellStyle name="Comma [0] 2 2" xfId="8054" xr:uid="{00000000-0005-0000-0000-0000F2150000}"/>
    <cellStyle name="Comma [0] 3" xfId="6970" xr:uid="{00000000-0005-0000-0000-0000F3150000}"/>
    <cellStyle name="Comma [0]_ SG&amp;A Bridge " xfId="1643" xr:uid="{00000000-0005-0000-0000-0000F4150000}"/>
    <cellStyle name="Comma [00]" xfId="5942" xr:uid="{00000000-0005-0000-0000-0000F5150000}"/>
    <cellStyle name="Comma [00] 2" xfId="8055" xr:uid="{00000000-0005-0000-0000-0000F6150000}"/>
    <cellStyle name="Comma [00] 2 2" xfId="8056" xr:uid="{00000000-0005-0000-0000-0000F7150000}"/>
    <cellStyle name="Comma 2" xfId="8057" xr:uid="{00000000-0005-0000-0000-0000F8150000}"/>
    <cellStyle name="Comma 3" xfId="8058" xr:uid="{00000000-0005-0000-0000-0000F9150000}"/>
    <cellStyle name="Comma 4" xfId="8059" xr:uid="{00000000-0005-0000-0000-0000FA150000}"/>
    <cellStyle name="Comma 5" xfId="8060" xr:uid="{00000000-0005-0000-0000-0000FB150000}"/>
    <cellStyle name="Comma 6" xfId="8061" xr:uid="{00000000-0005-0000-0000-0000FC150000}"/>
    <cellStyle name="Comma 7" xfId="8062" xr:uid="{00000000-0005-0000-0000-0000FD150000}"/>
    <cellStyle name="comma zerodec" xfId="961" xr:uid="{00000000-0005-0000-0000-0000FE150000}"/>
    <cellStyle name="comma zerodec 2" xfId="1498" xr:uid="{00000000-0005-0000-0000-0000FF150000}"/>
    <cellStyle name="comma zerodec 3" xfId="6971" xr:uid="{00000000-0005-0000-0000-000000160000}"/>
    <cellStyle name="Comma_ SG&amp;A Bridge" xfId="1499" xr:uid="{00000000-0005-0000-0000-000001160000}"/>
    <cellStyle name="Comma0" xfId="962" xr:uid="{00000000-0005-0000-0000-000002160000}"/>
    <cellStyle name="Comma0 2" xfId="1500" xr:uid="{00000000-0005-0000-0000-000003160000}"/>
    <cellStyle name="Comma0 3" xfId="6972" xr:uid="{00000000-0005-0000-0000-000004160000}"/>
    <cellStyle name="Commm_laroux_12~3SO2_97회비_laroux" xfId="963" xr:uid="{00000000-0005-0000-0000-000005160000}"/>
    <cellStyle name="Company Info" xfId="5943" xr:uid="{00000000-0005-0000-0000-000006160000}"/>
    <cellStyle name="Contents Heading 1" xfId="5944" xr:uid="{00000000-0005-0000-0000-000007160000}"/>
    <cellStyle name="Contents Heading 2" xfId="5945" xr:uid="{00000000-0005-0000-0000-000008160000}"/>
    <cellStyle name="Contents Heading 3" xfId="5946" xr:uid="{00000000-0005-0000-0000-000009160000}"/>
    <cellStyle name="Copied" xfId="964" xr:uid="{00000000-0005-0000-0000-00000A160000}"/>
    <cellStyle name="Copied 2" xfId="8063" xr:uid="{00000000-0005-0000-0000-00000B160000}"/>
    <cellStyle name="CoverHeadline1" xfId="5947" xr:uid="{00000000-0005-0000-0000-00000C160000}"/>
    <cellStyle name="Curr" xfId="5948" xr:uid="{00000000-0005-0000-0000-00000D160000}"/>
    <cellStyle name="Curren" xfId="5949" xr:uid="{00000000-0005-0000-0000-00000E160000}"/>
    <cellStyle name="Curren?_x0012_퐀_x0017_?" xfId="965" xr:uid="{00000000-0005-0000-0000-00000F160000}"/>
    <cellStyle name="Curren?_x0012_퐀_x0017_? 2" xfId="8064" xr:uid="{00000000-0005-0000-0000-000010160000}"/>
    <cellStyle name="Currency" xfId="966" xr:uid="{00000000-0005-0000-0000-000011160000}"/>
    <cellStyle name="Currency [0]" xfId="967" xr:uid="{00000000-0005-0000-0000-000012160000}"/>
    <cellStyle name="Currency [0] 2" xfId="1501" xr:uid="{00000000-0005-0000-0000-000013160000}"/>
    <cellStyle name="Currency [0] 2 2" xfId="8065" xr:uid="{00000000-0005-0000-0000-000014160000}"/>
    <cellStyle name="Currency [0] 3" xfId="6973" xr:uid="{00000000-0005-0000-0000-000015160000}"/>
    <cellStyle name="Currency [0]_ SG&amp;A Bridge " xfId="1644" xr:uid="{00000000-0005-0000-0000-000016160000}"/>
    <cellStyle name="Currency [00]" xfId="5950" xr:uid="{00000000-0005-0000-0000-000017160000}"/>
    <cellStyle name="Currency [00] 2" xfId="8066" xr:uid="{00000000-0005-0000-0000-000018160000}"/>
    <cellStyle name="Currency [00] 2 2" xfId="8067" xr:uid="{00000000-0005-0000-0000-000019160000}"/>
    <cellStyle name="Currency 2" xfId="1502" xr:uid="{00000000-0005-0000-0000-00001A160000}"/>
    <cellStyle name="Currency 2 2" xfId="8068" xr:uid="{00000000-0005-0000-0000-00001B160000}"/>
    <cellStyle name="Currency 3" xfId="1503" xr:uid="{00000000-0005-0000-0000-00001C160000}"/>
    <cellStyle name="Currency 4" xfId="1504" xr:uid="{00000000-0005-0000-0000-00001D160000}"/>
    <cellStyle name="Currency(￦)" xfId="968" xr:uid="{00000000-0005-0000-0000-00001E160000}"/>
    <cellStyle name="Currency_ SG&amp;A Bridge " xfId="969" xr:uid="{00000000-0005-0000-0000-00001F160000}"/>
    <cellStyle name="Currency0" xfId="970" xr:uid="{00000000-0005-0000-0000-000020160000}"/>
    <cellStyle name="Currency0 2" xfId="1505" xr:uid="{00000000-0005-0000-0000-000021160000}"/>
    <cellStyle name="Currency0 2 2" xfId="8069" xr:uid="{00000000-0005-0000-0000-000022160000}"/>
    <cellStyle name="Currency0 3" xfId="8070" xr:uid="{00000000-0005-0000-0000-000023160000}"/>
    <cellStyle name="Currency0 4" xfId="8071" xr:uid="{00000000-0005-0000-0000-000024160000}"/>
    <cellStyle name="Currency0 5" xfId="8072" xr:uid="{00000000-0005-0000-0000-000025160000}"/>
    <cellStyle name="Currency1" xfId="971" xr:uid="{00000000-0005-0000-0000-000026160000}"/>
    <cellStyle name="Currency1 2" xfId="1506" xr:uid="{00000000-0005-0000-0000-000027160000}"/>
    <cellStyle name="Currency1 3" xfId="6974" xr:uid="{00000000-0005-0000-0000-000028160000}"/>
    <cellStyle name="Data" xfId="5951" xr:uid="{00000000-0005-0000-0000-000029160000}"/>
    <cellStyle name="Date" xfId="972" xr:uid="{00000000-0005-0000-0000-00002A160000}"/>
    <cellStyle name="Date 2" xfId="1507" xr:uid="{00000000-0005-0000-0000-00002B160000}"/>
    <cellStyle name="Date 3" xfId="6975" xr:uid="{00000000-0005-0000-0000-00002C160000}"/>
    <cellStyle name="Date Short" xfId="5952" xr:uid="{00000000-0005-0000-0000-00002D160000}"/>
    <cellStyle name="Date_(항측)1,000_항측(150㎢)-보성강하류" xfId="6976" xr:uid="{00000000-0005-0000-0000-00002E160000}"/>
    <cellStyle name="DELTA" xfId="5953" xr:uid="{00000000-0005-0000-0000-00002F160000}"/>
    <cellStyle name="Dezimal [0]_Compiling Utility Macros" xfId="3525" xr:uid="{00000000-0005-0000-0000-000030160000}"/>
    <cellStyle name="Dezimal_Compiling Utility Macros" xfId="3526" xr:uid="{00000000-0005-0000-0000-000031160000}"/>
    <cellStyle name="Display" xfId="5954" xr:uid="{00000000-0005-0000-0000-000032160000}"/>
    <cellStyle name="Display Price" xfId="5955" xr:uid="{00000000-0005-0000-0000-000033160000}"/>
    <cellStyle name="Dollar (zero dec)" xfId="973" xr:uid="{00000000-0005-0000-0000-000034160000}"/>
    <cellStyle name="Dollar (zero dec) 2" xfId="1508" xr:uid="{00000000-0005-0000-0000-000035160000}"/>
    <cellStyle name="Dollar (zero dec) 3" xfId="6977" xr:uid="{00000000-0005-0000-0000-000036160000}"/>
    <cellStyle name="EA" xfId="5956" xr:uid="{00000000-0005-0000-0000-000037160000}"/>
    <cellStyle name="EA 2" xfId="6978" xr:uid="{00000000-0005-0000-0000-000038160000}"/>
    <cellStyle name="EA 3" xfId="8073" xr:uid="{00000000-0005-0000-0000-000039160000}"/>
    <cellStyle name="E­æo±" xfId="974" xr:uid="{00000000-0005-0000-0000-00003A160000}"/>
    <cellStyle name="E­æo± 2" xfId="8074" xr:uid="{00000000-0005-0000-0000-00003B160000}"/>
    <cellStyle name="E­æo±a" xfId="975" xr:uid="{00000000-0005-0000-0000-00003C160000}"/>
    <cellStyle name="E­æo±a 2" xfId="8075" xr:uid="{00000000-0005-0000-0000-00003D160000}"/>
    <cellStyle name="È­æó±âè£" xfId="5957" xr:uid="{00000000-0005-0000-0000-00003E160000}"/>
    <cellStyle name="È­æó±âè£ 2" xfId="8076" xr:uid="{00000000-0005-0000-0000-00003F160000}"/>
    <cellStyle name="È­æó±âè£0" xfId="5958" xr:uid="{00000000-0005-0000-0000-000040160000}"/>
    <cellStyle name="È­æó±âè£0 2" xfId="8077" xr:uid="{00000000-0005-0000-0000-000041160000}"/>
    <cellStyle name="Enter Currency (0)" xfId="5959" xr:uid="{00000000-0005-0000-0000-000042160000}"/>
    <cellStyle name="Enter Currency (0) 2" xfId="8078" xr:uid="{00000000-0005-0000-0000-000043160000}"/>
    <cellStyle name="Enter Currency (0) 2 2" xfId="8079" xr:uid="{00000000-0005-0000-0000-000044160000}"/>
    <cellStyle name="Enter Currency (2)" xfId="5960" xr:uid="{00000000-0005-0000-0000-000045160000}"/>
    <cellStyle name="Enter Currency (2) 2" xfId="8080" xr:uid="{00000000-0005-0000-0000-000046160000}"/>
    <cellStyle name="Enter Currency (2) 2 2" xfId="8081" xr:uid="{00000000-0005-0000-0000-000047160000}"/>
    <cellStyle name="Enter Units (0)" xfId="5961" xr:uid="{00000000-0005-0000-0000-000048160000}"/>
    <cellStyle name="Enter Units (0) 2" xfId="8082" xr:uid="{00000000-0005-0000-0000-000049160000}"/>
    <cellStyle name="Enter Units (0) 2 2" xfId="8083" xr:uid="{00000000-0005-0000-0000-00004A160000}"/>
    <cellStyle name="Enter Units (1)" xfId="5962" xr:uid="{00000000-0005-0000-0000-00004B160000}"/>
    <cellStyle name="Enter Units (1) 2" xfId="8084" xr:uid="{00000000-0005-0000-0000-00004C160000}"/>
    <cellStyle name="Enter Units (1) 2 2" xfId="8085" xr:uid="{00000000-0005-0000-0000-00004D160000}"/>
    <cellStyle name="Enter Units (2)" xfId="5963" xr:uid="{00000000-0005-0000-0000-00004E160000}"/>
    <cellStyle name="Enter Units (2) 2" xfId="8086" xr:uid="{00000000-0005-0000-0000-00004F160000}"/>
    <cellStyle name="Enter Units (2) 2 2" xfId="8087" xr:uid="{00000000-0005-0000-0000-000050160000}"/>
    <cellStyle name="Entered" xfId="976" xr:uid="{00000000-0005-0000-0000-000051160000}"/>
    <cellStyle name="Entered 2" xfId="8088" xr:uid="{00000000-0005-0000-0000-000052160000}"/>
    <cellStyle name="Euro" xfId="977" xr:uid="{00000000-0005-0000-0000-000053160000}"/>
    <cellStyle name="Euro 2" xfId="1509" xr:uid="{00000000-0005-0000-0000-000054160000}"/>
    <cellStyle name="Euro 3" xfId="6979" xr:uid="{00000000-0005-0000-0000-000055160000}"/>
    <cellStyle name="Euro 4" xfId="8089" xr:uid="{00000000-0005-0000-0000-000056160000}"/>
    <cellStyle name="Explanatory Text" xfId="3527" xr:uid="{00000000-0005-0000-0000-000057160000}"/>
    <cellStyle name="F2" xfId="978" xr:uid="{00000000-0005-0000-0000-000058160000}"/>
    <cellStyle name="F2 2" xfId="1510" xr:uid="{00000000-0005-0000-0000-000059160000}"/>
    <cellStyle name="F2 3" xfId="8090" xr:uid="{00000000-0005-0000-0000-00005A160000}"/>
    <cellStyle name="F3" xfId="979" xr:uid="{00000000-0005-0000-0000-00005B160000}"/>
    <cellStyle name="F3 2" xfId="1511" xr:uid="{00000000-0005-0000-0000-00005C160000}"/>
    <cellStyle name="F3 3" xfId="8091" xr:uid="{00000000-0005-0000-0000-00005D160000}"/>
    <cellStyle name="F4" xfId="980" xr:uid="{00000000-0005-0000-0000-00005E160000}"/>
    <cellStyle name="F4 2" xfId="1512" xr:uid="{00000000-0005-0000-0000-00005F160000}"/>
    <cellStyle name="F4 3" xfId="8092" xr:uid="{00000000-0005-0000-0000-000060160000}"/>
    <cellStyle name="F4 4" xfId="8093" xr:uid="{00000000-0005-0000-0000-000061160000}"/>
    <cellStyle name="F5" xfId="981" xr:uid="{00000000-0005-0000-0000-000062160000}"/>
    <cellStyle name="F5 2" xfId="1513" xr:uid="{00000000-0005-0000-0000-000063160000}"/>
    <cellStyle name="F5 3" xfId="8094" xr:uid="{00000000-0005-0000-0000-000064160000}"/>
    <cellStyle name="F6" xfId="982" xr:uid="{00000000-0005-0000-0000-000065160000}"/>
    <cellStyle name="F6 2" xfId="1514" xr:uid="{00000000-0005-0000-0000-000066160000}"/>
    <cellStyle name="F6 3" xfId="8095" xr:uid="{00000000-0005-0000-0000-000067160000}"/>
    <cellStyle name="F7" xfId="983" xr:uid="{00000000-0005-0000-0000-000068160000}"/>
    <cellStyle name="F7 2" xfId="1515" xr:uid="{00000000-0005-0000-0000-000069160000}"/>
    <cellStyle name="F7 3" xfId="8096" xr:uid="{00000000-0005-0000-0000-00006A160000}"/>
    <cellStyle name="F8" xfId="984" xr:uid="{00000000-0005-0000-0000-00006B160000}"/>
    <cellStyle name="F8 2" xfId="1516" xr:uid="{00000000-0005-0000-0000-00006C160000}"/>
    <cellStyle name="F8 3" xfId="8097" xr:uid="{00000000-0005-0000-0000-00006D160000}"/>
    <cellStyle name="F8 4" xfId="8098" xr:uid="{00000000-0005-0000-0000-00006E160000}"/>
    <cellStyle name="FinePrint" xfId="5964" xr:uid="{00000000-0005-0000-0000-00006F160000}"/>
    <cellStyle name="Fixed" xfId="985" xr:uid="{00000000-0005-0000-0000-000070160000}"/>
    <cellStyle name="Fixed 2" xfId="1517" xr:uid="{00000000-0005-0000-0000-000071160000}"/>
    <cellStyle name="Fixed 3" xfId="6980" xr:uid="{00000000-0005-0000-0000-000072160000}"/>
    <cellStyle name="Fixed_발리천기본계획수립및재해위험지구정비사업(발리지구)실시설계-내역서" xfId="8099" xr:uid="{00000000-0005-0000-0000-000073160000}"/>
    <cellStyle name="Followed Hyperlink" xfId="5965" xr:uid="{00000000-0005-0000-0000-000074160000}"/>
    <cellStyle name="Followed Hyperlink 2" xfId="6981" xr:uid="{00000000-0005-0000-0000-000075160000}"/>
    <cellStyle name="G" xfId="5966" xr:uid="{00000000-0005-0000-0000-000076160000}"/>
    <cellStyle name="G/표준" xfId="3528" xr:uid="{00000000-0005-0000-0000-000077160000}"/>
    <cellStyle name="Good" xfId="3529" xr:uid="{00000000-0005-0000-0000-000078160000}"/>
    <cellStyle name="Good 2" xfId="6982" xr:uid="{00000000-0005-0000-0000-000079160000}"/>
    <cellStyle name="Grey" xfId="986" xr:uid="{00000000-0005-0000-0000-00007A160000}"/>
    <cellStyle name="Grey 2" xfId="8100" xr:uid="{00000000-0005-0000-0000-00007B160000}"/>
    <cellStyle name="H1" xfId="987" xr:uid="{00000000-0005-0000-0000-00007C160000}"/>
    <cellStyle name="H2" xfId="988" xr:uid="{00000000-0005-0000-0000-00007D160000}"/>
    <cellStyle name="head" xfId="3530" xr:uid="{00000000-0005-0000-0000-00007E160000}"/>
    <cellStyle name="head 1" xfId="3531" xr:uid="{00000000-0005-0000-0000-00007F160000}"/>
    <cellStyle name="head 1-1" xfId="3532" xr:uid="{00000000-0005-0000-0000-000080160000}"/>
    <cellStyle name="HEADER" xfId="989" xr:uid="{00000000-0005-0000-0000-000081160000}"/>
    <cellStyle name="HEADER 2" xfId="8101" xr:uid="{00000000-0005-0000-0000-000082160000}"/>
    <cellStyle name="Header1" xfId="990" xr:uid="{00000000-0005-0000-0000-000083160000}"/>
    <cellStyle name="Header1 2" xfId="8102" xr:uid="{00000000-0005-0000-0000-000084160000}"/>
    <cellStyle name="Header2" xfId="991" xr:uid="{00000000-0005-0000-0000-000085160000}"/>
    <cellStyle name="Header2 2" xfId="8103" xr:uid="{00000000-0005-0000-0000-000086160000}"/>
    <cellStyle name="Heading" xfId="5967" xr:uid="{00000000-0005-0000-0000-000087160000}"/>
    <cellStyle name="Heading 1" xfId="992" xr:uid="{00000000-0005-0000-0000-000088160000}"/>
    <cellStyle name="Heading 1 2" xfId="1518" xr:uid="{00000000-0005-0000-0000-000089160000}"/>
    <cellStyle name="Heading 1 3" xfId="8104" xr:uid="{00000000-0005-0000-0000-00008A160000}"/>
    <cellStyle name="Heading 2" xfId="993" xr:uid="{00000000-0005-0000-0000-00008B160000}"/>
    <cellStyle name="Heading 2 2" xfId="1519" xr:uid="{00000000-0005-0000-0000-00008C160000}"/>
    <cellStyle name="Heading 2 3" xfId="8105" xr:uid="{00000000-0005-0000-0000-00008D160000}"/>
    <cellStyle name="Heading 3" xfId="3533" xr:uid="{00000000-0005-0000-0000-00008E160000}"/>
    <cellStyle name="Heading 3 2" xfId="6983" xr:uid="{00000000-0005-0000-0000-00008F160000}"/>
    <cellStyle name="Heading 4" xfId="3534" xr:uid="{00000000-0005-0000-0000-000090160000}"/>
    <cellStyle name="Heading 4 2" xfId="6984" xr:uid="{00000000-0005-0000-0000-000091160000}"/>
    <cellStyle name="Heading1" xfId="994" xr:uid="{00000000-0005-0000-0000-000092160000}"/>
    <cellStyle name="Heading1 2" xfId="1520" xr:uid="{00000000-0005-0000-0000-000093160000}"/>
    <cellStyle name="HEADING1 3" xfId="6985" xr:uid="{00000000-0005-0000-0000-000094160000}"/>
    <cellStyle name="HEADING1 4" xfId="6858" xr:uid="{00000000-0005-0000-0000-000095160000}"/>
    <cellStyle name="HEADING1 5" xfId="6964" xr:uid="{00000000-0005-0000-0000-000096160000}"/>
    <cellStyle name="HEADING1 6" xfId="8106" xr:uid="{00000000-0005-0000-0000-000097160000}"/>
    <cellStyle name="HEADING1 7" xfId="8107" xr:uid="{00000000-0005-0000-0000-000098160000}"/>
    <cellStyle name="HEADING1_발리천기본계획수립및재해위험지구정비사업(발리지구)실시설계-내역서" xfId="8108" xr:uid="{00000000-0005-0000-0000-000099160000}"/>
    <cellStyle name="Heading2" xfId="995" xr:uid="{00000000-0005-0000-0000-00009A160000}"/>
    <cellStyle name="Heading2 2" xfId="1521" xr:uid="{00000000-0005-0000-0000-00009B160000}"/>
    <cellStyle name="HEADING2 3" xfId="6986" xr:uid="{00000000-0005-0000-0000-00009C160000}"/>
    <cellStyle name="HEADING2 4" xfId="6857" xr:uid="{00000000-0005-0000-0000-00009D160000}"/>
    <cellStyle name="HEADING2 5" xfId="6965" xr:uid="{00000000-0005-0000-0000-00009E160000}"/>
    <cellStyle name="HEADING2 6" xfId="8109" xr:uid="{00000000-0005-0000-0000-00009F160000}"/>
    <cellStyle name="HEADING2 7" xfId="8110" xr:uid="{00000000-0005-0000-0000-0000A0160000}"/>
    <cellStyle name="HEADING2_발리천기본계획수립및재해위험지구정비사업(발리지구)실시설계-내역서" xfId="8111" xr:uid="{00000000-0005-0000-0000-0000A1160000}"/>
    <cellStyle name="Heading2Divider" xfId="5968" xr:uid="{00000000-0005-0000-0000-0000A2160000}"/>
    <cellStyle name="HelpStyle" xfId="1522" xr:uid="{00000000-0005-0000-0000-0000A3160000}"/>
    <cellStyle name="HelpStyle 2" xfId="8112" xr:uid="{00000000-0005-0000-0000-0000A4160000}"/>
    <cellStyle name="Helv8_PFD4.XLS" xfId="996" xr:uid="{00000000-0005-0000-0000-0000A5160000}"/>
    <cellStyle name="Hyperlink" xfId="5969" xr:uid="{00000000-0005-0000-0000-0000A6160000}"/>
    <cellStyle name="Input" xfId="3535" xr:uid="{00000000-0005-0000-0000-0000A7160000}"/>
    <cellStyle name="Input [yellow]" xfId="997" xr:uid="{00000000-0005-0000-0000-0000A8160000}"/>
    <cellStyle name="Input [yellow] 2" xfId="8113" xr:uid="{00000000-0005-0000-0000-0000A9160000}"/>
    <cellStyle name="Input 2" xfId="6988" xr:uid="{00000000-0005-0000-0000-0000AA160000}"/>
    <cellStyle name="Input 3" xfId="6856" xr:uid="{00000000-0005-0000-0000-0000AB160000}"/>
    <cellStyle name="Input 4" xfId="6966" xr:uid="{00000000-0005-0000-0000-0000AC160000}"/>
    <cellStyle name="Input 5" xfId="8114" xr:uid="{00000000-0005-0000-0000-0000AD160000}"/>
    <cellStyle name="Input 6" xfId="8115" xr:uid="{00000000-0005-0000-0000-0000AE160000}"/>
    <cellStyle name="Input Price" xfId="5970" xr:uid="{00000000-0005-0000-0000-0000AF160000}"/>
    <cellStyle name="Input Quantity" xfId="5971" xr:uid="{00000000-0005-0000-0000-0000B0160000}"/>
    <cellStyle name="Input Single Cell" xfId="5972" xr:uid="{00000000-0005-0000-0000-0000B1160000}"/>
    <cellStyle name="Input_첨부-설계내역설명(선유3)" xfId="5973" xr:uid="{00000000-0005-0000-0000-0000B2160000}"/>
    <cellStyle name="InputBodyCurr" xfId="5974" xr:uid="{00000000-0005-0000-0000-0000B3160000}"/>
    <cellStyle name="InputBodyDate" xfId="5975" xr:uid="{00000000-0005-0000-0000-0000B4160000}"/>
    <cellStyle name="InputBodyText" xfId="5976" xr:uid="{00000000-0005-0000-0000-0000B5160000}"/>
    <cellStyle name="InputColor" xfId="5977" xr:uid="{00000000-0005-0000-0000-0000B6160000}"/>
    <cellStyle name="Item" xfId="5978" xr:uid="{00000000-0005-0000-0000-0000B7160000}"/>
    <cellStyle name="Item Input" xfId="5979" xr:uid="{00000000-0005-0000-0000-0000B8160000}"/>
    <cellStyle name="kg" xfId="5980" xr:uid="{00000000-0005-0000-0000-0000B9160000}"/>
    <cellStyle name="Komma [0]_BINV" xfId="5981" xr:uid="{00000000-0005-0000-0000-0000BA160000}"/>
    <cellStyle name="Komma_BINV" xfId="5982" xr:uid="{00000000-0005-0000-0000-0000BB160000}"/>
    <cellStyle name="ℓ" xfId="5983" xr:uid="{00000000-0005-0000-0000-0000BC160000}"/>
    <cellStyle name="ℓ_1) 신천금호강 종합개발 기본설계" xfId="5984" xr:uid="{00000000-0005-0000-0000-0000BD160000}"/>
    <cellStyle name="ℓ_2) 신천금호강 종합개발 동영상제작(변경최종)" xfId="5985" xr:uid="{00000000-0005-0000-0000-0000BE160000}"/>
    <cellStyle name="ℓ_3) 신천금호강 종합개발 산책로 실시설계(변경최종)" xfId="5986" xr:uid="{00000000-0005-0000-0000-0000BF160000}"/>
    <cellStyle name="ℓ_설계내역서(신천-금호강)" xfId="5987" xr:uid="{00000000-0005-0000-0000-0000C0160000}"/>
    <cellStyle name="ℓ_설계내역서(신천-금호강)_욱수천 하천재해예방사업 내역서" xfId="5988" xr:uid="{00000000-0005-0000-0000-0000C1160000}"/>
    <cellStyle name="ℓ_설계내역서(신천-금호강)_욱수천 하천재해예방사업 내역서_002 욱수천정비공사실시설계 내역서_090113" xfId="5989" xr:uid="{00000000-0005-0000-0000-0000C2160000}"/>
    <cellStyle name="ℓ_설계내역서(전체)" xfId="5990" xr:uid="{00000000-0005-0000-0000-0000C3160000}"/>
    <cellStyle name="ℓ_설계내역서(전체)_욱수천 하천재해예방사업 내역서" xfId="5991" xr:uid="{00000000-0005-0000-0000-0000C4160000}"/>
    <cellStyle name="ℓ_설계내역서(전체)_욱수천 하천재해예방사업 내역서_002 욱수천정비공사실시설계 내역서_090113" xfId="5992" xr:uid="{00000000-0005-0000-0000-0000C5160000}"/>
    <cellStyle name="ℓ_신천금호강 종합개발 기본설계  내역서(수정분)" xfId="5993" xr:uid="{00000000-0005-0000-0000-0000C6160000}"/>
    <cellStyle name="ℓ_신천금호강내역서(수정-보오링,사전재해및환경성제외,측량연장조정9(1).95억0726)" xfId="5994" xr:uid="{00000000-0005-0000-0000-0000C7160000}"/>
    <cellStyle name="ℓ_심사내역서" xfId="5995" xr:uid="{00000000-0005-0000-0000-0000C8160000}"/>
    <cellStyle name="ℓ_용담댐하류하천환경정비사업설계예산서(건희)" xfId="8116" xr:uid="{00000000-0005-0000-0000-0000C9160000}"/>
    <cellStyle name="ℓ_욱수천 하천재해예방사업 내역서" xfId="5996" xr:uid="{00000000-0005-0000-0000-0000CA160000}"/>
    <cellStyle name="ℓ_욱수천 하천재해예방사업 내역서_002 욱수천정비공사실시설계 내역서_090113" xfId="5997" xr:uid="{00000000-0005-0000-0000-0000CB160000}"/>
    <cellStyle name="L`" xfId="998" xr:uid="{00000000-0005-0000-0000-0000CC160000}"/>
    <cellStyle name="left" xfId="1523" xr:uid="{00000000-0005-0000-0000-0000CD160000}"/>
    <cellStyle name="left 2" xfId="8117" xr:uid="{00000000-0005-0000-0000-0000CE160000}"/>
    <cellStyle name="Link Currency (0)" xfId="5998" xr:uid="{00000000-0005-0000-0000-0000CF160000}"/>
    <cellStyle name="Link Currency (0) 2" xfId="8118" xr:uid="{00000000-0005-0000-0000-0000D0160000}"/>
    <cellStyle name="Link Currency (0) 2 2" xfId="8119" xr:uid="{00000000-0005-0000-0000-0000D1160000}"/>
    <cellStyle name="Link Currency (2)" xfId="5999" xr:uid="{00000000-0005-0000-0000-0000D2160000}"/>
    <cellStyle name="Link Currency (2) 2" xfId="8120" xr:uid="{00000000-0005-0000-0000-0000D3160000}"/>
    <cellStyle name="Link Currency (2) 2 2" xfId="8121" xr:uid="{00000000-0005-0000-0000-0000D4160000}"/>
    <cellStyle name="Link Units (0)" xfId="6000" xr:uid="{00000000-0005-0000-0000-0000D5160000}"/>
    <cellStyle name="Link Units (0) 2" xfId="8122" xr:uid="{00000000-0005-0000-0000-0000D6160000}"/>
    <cellStyle name="Link Units (0) 2 2" xfId="8123" xr:uid="{00000000-0005-0000-0000-0000D7160000}"/>
    <cellStyle name="Link Units (1)" xfId="6001" xr:uid="{00000000-0005-0000-0000-0000D8160000}"/>
    <cellStyle name="Link Units (1) 2" xfId="8124" xr:uid="{00000000-0005-0000-0000-0000D9160000}"/>
    <cellStyle name="Link Units (1) 2 2" xfId="8125" xr:uid="{00000000-0005-0000-0000-0000DA160000}"/>
    <cellStyle name="Link Units (2)" xfId="6002" xr:uid="{00000000-0005-0000-0000-0000DB160000}"/>
    <cellStyle name="Link Units (2) 2" xfId="8126" xr:uid="{00000000-0005-0000-0000-0000DC160000}"/>
    <cellStyle name="Link Units (2) 2 2" xfId="8127" xr:uid="{00000000-0005-0000-0000-0000DD160000}"/>
    <cellStyle name="Linked Cell" xfId="3536" xr:uid="{00000000-0005-0000-0000-0000DE160000}"/>
    <cellStyle name="Linked Cell 2" xfId="6990" xr:uid="{00000000-0005-0000-0000-0000DF160000}"/>
    <cellStyle name="M" xfId="6003" xr:uid="{00000000-0005-0000-0000-0000E0160000}"/>
    <cellStyle name="M_1) 신천금호강 종합개발 기본설계" xfId="6004" xr:uid="{00000000-0005-0000-0000-0000E1160000}"/>
    <cellStyle name="M_2) 신천금호강 종합개발 동영상제작(변경최종)" xfId="6005" xr:uid="{00000000-0005-0000-0000-0000E2160000}"/>
    <cellStyle name="M_3) 신천금호강 종합개발 산책로 실시설계(변경최종)" xfId="6006" xr:uid="{00000000-0005-0000-0000-0000E3160000}"/>
    <cellStyle name="M_4월일위목록" xfId="6007" xr:uid="{00000000-0005-0000-0000-0000E4160000}"/>
    <cellStyle name="M_4월일위목록_1) 신천금호강 종합개발 기본설계" xfId="6008" xr:uid="{00000000-0005-0000-0000-0000E5160000}"/>
    <cellStyle name="M_4월일위목록_2) 신천금호강 종합개발 동영상제작(변경최종)" xfId="6009" xr:uid="{00000000-0005-0000-0000-0000E6160000}"/>
    <cellStyle name="M_4월일위목록_3) 신천금호강 종합개발 산책로 실시설계(변경최종)" xfId="6010" xr:uid="{00000000-0005-0000-0000-0000E7160000}"/>
    <cellStyle name="M_4월일위목록_설계내역서(신천-금호강)" xfId="6011" xr:uid="{00000000-0005-0000-0000-0000E8160000}"/>
    <cellStyle name="M_4월일위목록_설계내역서(신천-금호강)_욱수천 하천재해예방사업 내역서" xfId="6012" xr:uid="{00000000-0005-0000-0000-0000E9160000}"/>
    <cellStyle name="M_4월일위목록_설계내역서(신천-금호강)_욱수천 하천재해예방사업 내역서_002 욱수천정비공사실시설계 내역서_090113" xfId="6013" xr:uid="{00000000-0005-0000-0000-0000EA160000}"/>
    <cellStyle name="M_4월일위목록_설계내역서(전체)" xfId="6014" xr:uid="{00000000-0005-0000-0000-0000EB160000}"/>
    <cellStyle name="M_4월일위목록_설계내역서(전체)_욱수천 하천재해예방사업 내역서" xfId="6015" xr:uid="{00000000-0005-0000-0000-0000EC160000}"/>
    <cellStyle name="M_4월일위목록_설계내역서(전체)_욱수천 하천재해예방사업 내역서_002 욱수천정비공사실시설계 내역서_090113" xfId="6016" xr:uid="{00000000-0005-0000-0000-0000ED160000}"/>
    <cellStyle name="M_4월일위목록_신천금호강 종합개발 기본설계  내역서(수정분)" xfId="6017" xr:uid="{00000000-0005-0000-0000-0000EE160000}"/>
    <cellStyle name="M_4월일위목록_신천금호강내역서(수정-보오링,사전재해및환경성제외,측량연장조정9(1).95억0726)" xfId="6018" xr:uid="{00000000-0005-0000-0000-0000EF160000}"/>
    <cellStyle name="M_4월일위목록_심사내역서" xfId="6019" xr:uid="{00000000-0005-0000-0000-0000F0160000}"/>
    <cellStyle name="M_4월일위목록_용담댐하류하천환경정비사업설계예산서(건희)" xfId="8128" xr:uid="{00000000-0005-0000-0000-0000F1160000}"/>
    <cellStyle name="M_4월일위목록_욱수천 하천재해예방사업 내역서" xfId="6020" xr:uid="{00000000-0005-0000-0000-0000F2160000}"/>
    <cellStyle name="M_4월일위목록_욱수천 하천재해예방사업 내역서_002 욱수천정비공사실시설계 내역서_090113" xfId="6021" xr:uid="{00000000-0005-0000-0000-0000F3160000}"/>
    <cellStyle name="M_설계내역서(신천-금호강)" xfId="6022" xr:uid="{00000000-0005-0000-0000-0000F4160000}"/>
    <cellStyle name="M_설계내역서(신천-금호강)_욱수천 하천재해예방사업 내역서" xfId="6023" xr:uid="{00000000-0005-0000-0000-0000F5160000}"/>
    <cellStyle name="M_설계내역서(신천-금호강)_욱수천 하천재해예방사업 내역서_002 욱수천정비공사실시설계 내역서_090113" xfId="6024" xr:uid="{00000000-0005-0000-0000-0000F6160000}"/>
    <cellStyle name="M_설계내역서(전체)" xfId="6025" xr:uid="{00000000-0005-0000-0000-0000F7160000}"/>
    <cellStyle name="M_설계내역서(전체)_욱수천 하천재해예방사업 내역서" xfId="6026" xr:uid="{00000000-0005-0000-0000-0000F8160000}"/>
    <cellStyle name="M_설계내역서(전체)_욱수천 하천재해예방사업 내역서_002 욱수천정비공사실시설계 내역서_090113" xfId="6027" xr:uid="{00000000-0005-0000-0000-0000F9160000}"/>
    <cellStyle name="M_신천금호강 종합개발 기본설계  내역서(수정분)" xfId="6028" xr:uid="{00000000-0005-0000-0000-0000FA160000}"/>
    <cellStyle name="M_신천금호강내역서(수정-보오링,사전재해및환경성제외,측량연장조정9(1).95억0726)" xfId="6029" xr:uid="{00000000-0005-0000-0000-0000FB160000}"/>
    <cellStyle name="M_심사내역서" xfId="6030" xr:uid="{00000000-0005-0000-0000-0000FC160000}"/>
    <cellStyle name="M_용담댐하류하천환경정비사업설계예산서(건희)" xfId="8129" xr:uid="{00000000-0005-0000-0000-0000FD160000}"/>
    <cellStyle name="M_욱수천 하천재해예방사업 내역서" xfId="6031" xr:uid="{00000000-0005-0000-0000-0000FE160000}"/>
    <cellStyle name="M_욱수천 하천재해예방사업 내역서_002 욱수천정비공사실시설계 내역서_090113" xfId="6032" xr:uid="{00000000-0005-0000-0000-0000FF160000}"/>
    <cellStyle name="M2" xfId="6033" xr:uid="{00000000-0005-0000-0000-000000170000}"/>
    <cellStyle name="M3" xfId="6034" xr:uid="{00000000-0005-0000-0000-000001170000}"/>
    <cellStyle name="Midtitle" xfId="1524" xr:uid="{00000000-0005-0000-0000-000002170000}"/>
    <cellStyle name="Milliers [0]_399GC10" xfId="3537" xr:uid="{00000000-0005-0000-0000-000003170000}"/>
    <cellStyle name="Milliers_399GC10" xfId="3538" xr:uid="{00000000-0005-0000-0000-000004170000}"/>
    <cellStyle name="mma_CASH &amp; DSO" xfId="6035" xr:uid="{00000000-0005-0000-0000-000005170000}"/>
    <cellStyle name="Model" xfId="999" xr:uid="{00000000-0005-0000-0000-000006170000}"/>
    <cellStyle name="Model 2" xfId="8130" xr:uid="{00000000-0005-0000-0000-000007170000}"/>
    <cellStyle name="Mon?aire [0]_399GC10" xfId="3539" xr:uid="{00000000-0005-0000-0000-000008170000}"/>
    <cellStyle name="Mon?aire_399GC10" xfId="3540" xr:uid="{00000000-0005-0000-0000-000009170000}"/>
    <cellStyle name="moon" xfId="6036" xr:uid="{00000000-0005-0000-0000-00000A170000}"/>
    <cellStyle name="MS Proofing Tools" xfId="6037" xr:uid="{00000000-0005-0000-0000-00000B170000}"/>
    <cellStyle name="N?rmal_MCOE Summary (5)_98선급금" xfId="8131" xr:uid="{00000000-0005-0000-0000-00000C170000}"/>
    <cellStyle name="Neutral" xfId="3541" xr:uid="{00000000-0005-0000-0000-00000D170000}"/>
    <cellStyle name="Neutral 2" xfId="6992" xr:uid="{00000000-0005-0000-0000-00000E170000}"/>
    <cellStyle name="no dec" xfId="1000" xr:uid="{00000000-0005-0000-0000-00000F170000}"/>
    <cellStyle name="no dec 2" xfId="8132" xr:uid="{00000000-0005-0000-0000-000010170000}"/>
    <cellStyle name="normal" xfId="1001" xr:uid="{00000000-0005-0000-0000-000011170000}"/>
    <cellStyle name="Normal - Style1" xfId="1002" xr:uid="{00000000-0005-0000-0000-000012170000}"/>
    <cellStyle name="Normal - Style1 2" xfId="1525" xr:uid="{00000000-0005-0000-0000-000013170000}"/>
    <cellStyle name="Normal - Style1 3" xfId="6994" xr:uid="{00000000-0005-0000-0000-000014170000}"/>
    <cellStyle name="Normal - Style2" xfId="3542" xr:uid="{00000000-0005-0000-0000-000015170000}"/>
    <cellStyle name="Normal - Style3" xfId="3543" xr:uid="{00000000-0005-0000-0000-000016170000}"/>
    <cellStyle name="Normal - Style4" xfId="3544" xr:uid="{00000000-0005-0000-0000-000017170000}"/>
    <cellStyle name="Normal - Style5" xfId="3545" xr:uid="{00000000-0005-0000-0000-000018170000}"/>
    <cellStyle name="Normal - Style6" xfId="3546" xr:uid="{00000000-0005-0000-0000-000019170000}"/>
    <cellStyle name="Normal - Style7" xfId="3547" xr:uid="{00000000-0005-0000-0000-00001A170000}"/>
    <cellStyle name="Normal - Style8" xfId="3548" xr:uid="{00000000-0005-0000-0000-00001B170000}"/>
    <cellStyle name="Normal - 유형1" xfId="1003" xr:uid="{00000000-0005-0000-0000-00001C170000}"/>
    <cellStyle name="Normal - 유형1 2" xfId="8133" xr:uid="{00000000-0005-0000-0000-00001D170000}"/>
    <cellStyle name="normal 10" xfId="8134" xr:uid="{00000000-0005-0000-0000-00001E170000}"/>
    <cellStyle name="normal 11" xfId="8135" xr:uid="{00000000-0005-0000-0000-00001F170000}"/>
    <cellStyle name="normal 12" xfId="8136" xr:uid="{00000000-0005-0000-0000-000020170000}"/>
    <cellStyle name="normal 13" xfId="8137" xr:uid="{00000000-0005-0000-0000-000021170000}"/>
    <cellStyle name="normal 14" xfId="8138" xr:uid="{00000000-0005-0000-0000-000022170000}"/>
    <cellStyle name="normal 15" xfId="8139" xr:uid="{00000000-0005-0000-0000-000023170000}"/>
    <cellStyle name="normal 16" xfId="8140" xr:uid="{00000000-0005-0000-0000-000024170000}"/>
    <cellStyle name="normal 17" xfId="8141" xr:uid="{00000000-0005-0000-0000-000025170000}"/>
    <cellStyle name="normal 18" xfId="8142" xr:uid="{00000000-0005-0000-0000-000026170000}"/>
    <cellStyle name="normal 19" xfId="8143" xr:uid="{00000000-0005-0000-0000-000027170000}"/>
    <cellStyle name="normal 2" xfId="6993" xr:uid="{00000000-0005-0000-0000-000028170000}"/>
    <cellStyle name="normal 20" xfId="8144" xr:uid="{00000000-0005-0000-0000-000029170000}"/>
    <cellStyle name="normal 21" xfId="8145" xr:uid="{00000000-0005-0000-0000-00002A170000}"/>
    <cellStyle name="normal 22" xfId="8146" xr:uid="{00000000-0005-0000-0000-00002B170000}"/>
    <cellStyle name="normal 23" xfId="8147" xr:uid="{00000000-0005-0000-0000-00002C170000}"/>
    <cellStyle name="normal 24" xfId="8148" xr:uid="{00000000-0005-0000-0000-00002D170000}"/>
    <cellStyle name="normal 3" xfId="6852" xr:uid="{00000000-0005-0000-0000-00002E170000}"/>
    <cellStyle name="normal 4" xfId="6987" xr:uid="{00000000-0005-0000-0000-00002F170000}"/>
    <cellStyle name="normal 5" xfId="8149" xr:uid="{00000000-0005-0000-0000-000030170000}"/>
    <cellStyle name="normal 6" xfId="8150" xr:uid="{00000000-0005-0000-0000-000031170000}"/>
    <cellStyle name="normal 7" xfId="8151" xr:uid="{00000000-0005-0000-0000-000032170000}"/>
    <cellStyle name="normal 8" xfId="8152" xr:uid="{00000000-0005-0000-0000-000033170000}"/>
    <cellStyle name="normal 9" xfId="8153" xr:uid="{00000000-0005-0000-0000-000034170000}"/>
    <cellStyle name="Normal_ SG&amp;A Bridge" xfId="1004" xr:uid="{00000000-0005-0000-0000-000035170000}"/>
    <cellStyle name="Note" xfId="3549" xr:uid="{00000000-0005-0000-0000-000036170000}"/>
    <cellStyle name="Note 2" xfId="6995" xr:uid="{00000000-0005-0000-0000-000037170000}"/>
    <cellStyle name="N䁯rmal_MCOE Summary (5)_98선급금" xfId="6038" xr:uid="{00000000-0005-0000-0000-000038170000}"/>
    <cellStyle name="Œ…?æ맖?? [0.00]_laroux" xfId="8154" xr:uid="{00000000-0005-0000-0000-000039170000}"/>
    <cellStyle name="Œ…?æ맖??_laroux" xfId="8155" xr:uid="{00000000-0005-0000-0000-00003A170000}"/>
    <cellStyle name="Œ…?æ맖?e [0.00]_laroux" xfId="1005" xr:uid="{00000000-0005-0000-0000-00003B170000}"/>
    <cellStyle name="Œ…?æ맖?e_laroux" xfId="1006" xr:uid="{00000000-0005-0000-0000-00003C170000}"/>
    <cellStyle name="Œ…‹æØ‚è [0.00]_laroux" xfId="6039" xr:uid="{00000000-0005-0000-0000-00003D170000}"/>
    <cellStyle name="Œ…‹æØ‚è_laroux" xfId="6040" xr:uid="{00000000-0005-0000-0000-00003E170000}"/>
    <cellStyle name="oh" xfId="3550" xr:uid="{00000000-0005-0000-0000-00003F170000}"/>
    <cellStyle name="omma [0]_Mktg Prog" xfId="1526" xr:uid="{00000000-0005-0000-0000-000040170000}"/>
    <cellStyle name="ormal_Sheet1_1" xfId="1527" xr:uid="{00000000-0005-0000-0000-000041170000}"/>
    <cellStyle name="Output" xfId="3551" xr:uid="{00000000-0005-0000-0000-000042170000}"/>
    <cellStyle name="Output 2" xfId="6996" xr:uid="{00000000-0005-0000-0000-000043170000}"/>
    <cellStyle name="Output Single Cell" xfId="6041" xr:uid="{00000000-0005-0000-0000-000044170000}"/>
    <cellStyle name="Package Size" xfId="6042" xr:uid="{00000000-0005-0000-0000-000045170000}"/>
    <cellStyle name="paint" xfId="6043" xr:uid="{00000000-0005-0000-0000-000046170000}"/>
    <cellStyle name="Percent" xfId="1007" xr:uid="{00000000-0005-0000-0000-000047170000}"/>
    <cellStyle name="Percent [0]" xfId="6044" xr:uid="{00000000-0005-0000-0000-000048170000}"/>
    <cellStyle name="Percent [0] 2" xfId="8156" xr:uid="{00000000-0005-0000-0000-000049170000}"/>
    <cellStyle name="Percent [0] 2 2" xfId="8157" xr:uid="{00000000-0005-0000-0000-00004A170000}"/>
    <cellStyle name="Percent [00]" xfId="6045" xr:uid="{00000000-0005-0000-0000-00004B170000}"/>
    <cellStyle name="Percent [00] 2" xfId="8158" xr:uid="{00000000-0005-0000-0000-00004C170000}"/>
    <cellStyle name="Percent [00] 2 2" xfId="8159" xr:uid="{00000000-0005-0000-0000-00004D170000}"/>
    <cellStyle name="Percent [2]" xfId="1008" xr:uid="{00000000-0005-0000-0000-00004E170000}"/>
    <cellStyle name="Percent [2] 2" xfId="8160" xr:uid="{00000000-0005-0000-0000-00004F170000}"/>
    <cellStyle name="Percent 2" xfId="1528" xr:uid="{00000000-0005-0000-0000-000050170000}"/>
    <cellStyle name="Percent 2 2" xfId="8161" xr:uid="{00000000-0005-0000-0000-000051170000}"/>
    <cellStyle name="Percent 3" xfId="1529" xr:uid="{00000000-0005-0000-0000-000052170000}"/>
    <cellStyle name="Percent 4" xfId="1530" xr:uid="{00000000-0005-0000-0000-000053170000}"/>
    <cellStyle name="Percent 5" xfId="6997" xr:uid="{00000000-0005-0000-0000-000054170000}"/>
    <cellStyle name="Percent 6" xfId="6851" xr:uid="{00000000-0005-0000-0000-000055170000}"/>
    <cellStyle name="Percent 7" xfId="6989" xr:uid="{00000000-0005-0000-0000-000056170000}"/>
    <cellStyle name="Percent_#6 Temps &amp; Contractors" xfId="6046" xr:uid="{00000000-0005-0000-0000-000057170000}"/>
    <cellStyle name="PrePop Currency (0)" xfId="6047" xr:uid="{00000000-0005-0000-0000-000058170000}"/>
    <cellStyle name="PrePop Currency (0) 2" xfId="8162" xr:uid="{00000000-0005-0000-0000-000059170000}"/>
    <cellStyle name="PrePop Currency (0) 2 2" xfId="8163" xr:uid="{00000000-0005-0000-0000-00005A170000}"/>
    <cellStyle name="PrePop Currency (2)" xfId="6048" xr:uid="{00000000-0005-0000-0000-00005B170000}"/>
    <cellStyle name="PrePop Currency (2) 2" xfId="8164" xr:uid="{00000000-0005-0000-0000-00005C170000}"/>
    <cellStyle name="PrePop Currency (2) 2 2" xfId="8165" xr:uid="{00000000-0005-0000-0000-00005D170000}"/>
    <cellStyle name="PrePop Units (0)" xfId="6049" xr:uid="{00000000-0005-0000-0000-00005E170000}"/>
    <cellStyle name="PrePop Units (0) 2" xfId="8166" xr:uid="{00000000-0005-0000-0000-00005F170000}"/>
    <cellStyle name="PrePop Units (0) 2 2" xfId="8167" xr:uid="{00000000-0005-0000-0000-000060170000}"/>
    <cellStyle name="PrePop Units (1)" xfId="6050" xr:uid="{00000000-0005-0000-0000-000061170000}"/>
    <cellStyle name="PrePop Units (1) 2" xfId="8168" xr:uid="{00000000-0005-0000-0000-000062170000}"/>
    <cellStyle name="PrePop Units (1) 2 2" xfId="8169" xr:uid="{00000000-0005-0000-0000-000063170000}"/>
    <cellStyle name="PrePop Units (2)" xfId="6051" xr:uid="{00000000-0005-0000-0000-000064170000}"/>
    <cellStyle name="PrePop Units (2) 2" xfId="8170" xr:uid="{00000000-0005-0000-0000-000065170000}"/>
    <cellStyle name="PrePop Units (2) 2 2" xfId="8171" xr:uid="{00000000-0005-0000-0000-000066170000}"/>
    <cellStyle name="Print Heading" xfId="6052" xr:uid="{00000000-0005-0000-0000-000067170000}"/>
    <cellStyle name="Procent_BINV" xfId="6053" xr:uid="{00000000-0005-0000-0000-000068170000}"/>
    <cellStyle name="Ʀ" xfId="6054" xr:uid="{00000000-0005-0000-0000-000069170000}"/>
    <cellStyle name="Recipe" xfId="6055" xr:uid="{00000000-0005-0000-0000-00006A170000}"/>
    <cellStyle name="Recipe Heading" xfId="6056" xr:uid="{00000000-0005-0000-0000-00006B170000}"/>
    <cellStyle name="Recipe_괴산연풍통합-변상엽수정" xfId="6057" xr:uid="{00000000-0005-0000-0000-00006C170000}"/>
    <cellStyle name="Released" xfId="6058" xr:uid="{00000000-0005-0000-0000-00006D170000}"/>
    <cellStyle name="Revenue" xfId="6059" xr:uid="{00000000-0005-0000-0000-00006E170000}"/>
    <cellStyle name="RevList" xfId="1009" xr:uid="{00000000-0005-0000-0000-00006F170000}"/>
    <cellStyle name="RevList 2" xfId="3552" xr:uid="{00000000-0005-0000-0000-000070170000}"/>
    <cellStyle name="RptTitle" xfId="6060" xr:uid="{00000000-0005-0000-0000-000071170000}"/>
    <cellStyle name="sh" xfId="3553" xr:uid="{00000000-0005-0000-0000-000072170000}"/>
    <cellStyle name="SHIM" xfId="3554" xr:uid="{00000000-0005-0000-0000-000073170000}"/>
    <cellStyle name="SS" xfId="1010" xr:uid="{00000000-0005-0000-0000-000074170000}"/>
    <cellStyle name="ssh" xfId="3555" xr:uid="{00000000-0005-0000-0000-000075170000}"/>
    <cellStyle name="Standaard_BINV" xfId="6061" xr:uid="{00000000-0005-0000-0000-000076170000}"/>
    <cellStyle name="Standard_Anpassen der Amortisation" xfId="3556" xr:uid="{00000000-0005-0000-0000-000077170000}"/>
    <cellStyle name="subhead" xfId="1011" xr:uid="{00000000-0005-0000-0000-000078170000}"/>
    <cellStyle name="subhead 2" xfId="8172" xr:uid="{00000000-0005-0000-0000-000079170000}"/>
    <cellStyle name="SubHeading" xfId="6062" xr:uid="{00000000-0005-0000-0000-00007A170000}"/>
    <cellStyle name="Subtotal" xfId="1012" xr:uid="{00000000-0005-0000-0000-00007B170000}"/>
    <cellStyle name="Subtotal 1" xfId="6063" xr:uid="{00000000-0005-0000-0000-00007C170000}"/>
    <cellStyle name="Subtotal 2" xfId="8173" xr:uid="{00000000-0005-0000-0000-00007D170000}"/>
    <cellStyle name="Suggested Quantity" xfId="6064" xr:uid="{00000000-0005-0000-0000-00007E170000}"/>
    <cellStyle name="testtitle" xfId="1531" xr:uid="{00000000-0005-0000-0000-00007F170000}"/>
    <cellStyle name="Text Indent A" xfId="6065" xr:uid="{00000000-0005-0000-0000-000080170000}"/>
    <cellStyle name="Text Indent B" xfId="6066" xr:uid="{00000000-0005-0000-0000-000081170000}"/>
    <cellStyle name="Text Indent B 2" xfId="8174" xr:uid="{00000000-0005-0000-0000-000082170000}"/>
    <cellStyle name="Text Indent B 2 2" xfId="8175" xr:uid="{00000000-0005-0000-0000-000083170000}"/>
    <cellStyle name="Text Indent C" xfId="6067" xr:uid="{00000000-0005-0000-0000-000084170000}"/>
    <cellStyle name="Text Indent C 2" xfId="8176" xr:uid="{00000000-0005-0000-0000-000085170000}"/>
    <cellStyle name="Text Indent C 2 2" xfId="8177" xr:uid="{00000000-0005-0000-0000-000086170000}"/>
    <cellStyle name="Title" xfId="1013" xr:uid="{00000000-0005-0000-0000-000087170000}"/>
    <cellStyle name="title [1]" xfId="1014" xr:uid="{00000000-0005-0000-0000-000088170000}"/>
    <cellStyle name="title [1] 2" xfId="3557" xr:uid="{00000000-0005-0000-0000-000089170000}"/>
    <cellStyle name="title [2]" xfId="1015" xr:uid="{00000000-0005-0000-0000-00008A170000}"/>
    <cellStyle name="title [2] 2" xfId="3558" xr:uid="{00000000-0005-0000-0000-00008B170000}"/>
    <cellStyle name="Title 2" xfId="6998" xr:uid="{00000000-0005-0000-0000-00008C170000}"/>
    <cellStyle name="Title 3" xfId="6848" xr:uid="{00000000-0005-0000-0000-00008D170000}"/>
    <cellStyle name="Title 4" xfId="6991" xr:uid="{00000000-0005-0000-0000-00008E170000}"/>
    <cellStyle name="Title 5" xfId="8178" xr:uid="{00000000-0005-0000-0000-00008F170000}"/>
    <cellStyle name="Title 6" xfId="8179" xr:uid="{00000000-0005-0000-0000-000090170000}"/>
    <cellStyle name="Title 7" xfId="8180" xr:uid="{00000000-0005-0000-0000-000091170000}"/>
    <cellStyle name="Title_2.일위대가표(수자원)" xfId="1016" xr:uid="{00000000-0005-0000-0000-000092170000}"/>
    <cellStyle name="ton" xfId="6068" xr:uid="{00000000-0005-0000-0000-000093170000}"/>
    <cellStyle name="TON 2" xfId="6999" xr:uid="{00000000-0005-0000-0000-000094170000}"/>
    <cellStyle name="TON 3" xfId="8181" xr:uid="{00000000-0005-0000-0000-000095170000}"/>
    <cellStyle name="TON 4" xfId="8182" xr:uid="{00000000-0005-0000-0000-000096170000}"/>
    <cellStyle name="TON 5" xfId="8183" xr:uid="{00000000-0005-0000-0000-000097170000}"/>
    <cellStyle name="TON 6" xfId="8184" xr:uid="{00000000-0005-0000-0000-000098170000}"/>
    <cellStyle name="TON 7" xfId="8185" xr:uid="{00000000-0005-0000-0000-000099170000}"/>
    <cellStyle name="Total" xfId="1017" xr:uid="{00000000-0005-0000-0000-00009A170000}"/>
    <cellStyle name="Total 2" xfId="1532" xr:uid="{00000000-0005-0000-0000-00009B170000}"/>
    <cellStyle name="Total 3" xfId="7000" xr:uid="{00000000-0005-0000-0000-00009C170000}"/>
    <cellStyle name="Total_발리천기본계획수립및재해위험지구정비사업(발리지구)실시설계-내역서" xfId="8186" xr:uid="{00000000-0005-0000-0000-00009D170000}"/>
    <cellStyle name="TotalCurr" xfId="6069" xr:uid="{00000000-0005-0000-0000-00009E170000}"/>
    <cellStyle name="TotalHdr" xfId="6070" xr:uid="{00000000-0005-0000-0000-00009F170000}"/>
    <cellStyle name="UM" xfId="1018" xr:uid="{00000000-0005-0000-0000-0000A0170000}"/>
    <cellStyle name="UM 2" xfId="8187" xr:uid="{00000000-0005-0000-0000-0000A1170000}"/>
    <cellStyle name="Valuta [0]_BINV" xfId="6071" xr:uid="{00000000-0005-0000-0000-0000A2170000}"/>
    <cellStyle name="Valuta_BINV" xfId="6072" xr:uid="{00000000-0005-0000-0000-0000A3170000}"/>
    <cellStyle name="W?rung [0]_Compiling Utility Macros" xfId="3559" xr:uid="{00000000-0005-0000-0000-0000A4170000}"/>
    <cellStyle name="W?rung_Compiling Utility Macros" xfId="3560" xr:uid="{00000000-0005-0000-0000-0000A5170000}"/>
    <cellStyle name="Warning Text" xfId="3561" xr:uid="{00000000-0005-0000-0000-0000A6170000}"/>
    <cellStyle name="wrap" xfId="1533" xr:uid="{00000000-0005-0000-0000-0000A7170000}"/>
    <cellStyle name="wrap 2" xfId="8188" xr:uid="{00000000-0005-0000-0000-0000A8170000}"/>
    <cellStyle name="|?ドE" xfId="1019" xr:uid="{00000000-0005-0000-0000-0000A9170000}"/>
    <cellStyle name="가운데" xfId="6073" xr:uid="{00000000-0005-0000-0000-0000AA170000}"/>
    <cellStyle name="가운데 2" xfId="8189" xr:uid="{00000000-0005-0000-0000-0000AB170000}"/>
    <cellStyle name="감춤" xfId="6074" xr:uid="{00000000-0005-0000-0000-0000AC170000}"/>
    <cellStyle name="강조색1 2" xfId="1534" xr:uid="{00000000-0005-0000-0000-0000AD170000}"/>
    <cellStyle name="강조색1 2 2" xfId="8190" xr:uid="{00000000-0005-0000-0000-0000AE170000}"/>
    <cellStyle name="강조색1 3" xfId="1535" xr:uid="{00000000-0005-0000-0000-0000AF170000}"/>
    <cellStyle name="강조색2 2" xfId="1536" xr:uid="{00000000-0005-0000-0000-0000B0170000}"/>
    <cellStyle name="강조색2 2 2" xfId="8191" xr:uid="{00000000-0005-0000-0000-0000B1170000}"/>
    <cellStyle name="강조색2 3" xfId="1537" xr:uid="{00000000-0005-0000-0000-0000B2170000}"/>
    <cellStyle name="강조색3 2" xfId="1538" xr:uid="{00000000-0005-0000-0000-0000B3170000}"/>
    <cellStyle name="강조색3 2 2" xfId="8192" xr:uid="{00000000-0005-0000-0000-0000B4170000}"/>
    <cellStyle name="강조색3 3" xfId="1539" xr:uid="{00000000-0005-0000-0000-0000B5170000}"/>
    <cellStyle name="강조색4 2" xfId="1540" xr:uid="{00000000-0005-0000-0000-0000B6170000}"/>
    <cellStyle name="강조색4 2 2" xfId="8193" xr:uid="{00000000-0005-0000-0000-0000B7170000}"/>
    <cellStyle name="강조색4 3" xfId="1541" xr:uid="{00000000-0005-0000-0000-0000B8170000}"/>
    <cellStyle name="강조색5 2" xfId="1542" xr:uid="{00000000-0005-0000-0000-0000B9170000}"/>
    <cellStyle name="강조색5 2 2" xfId="8194" xr:uid="{00000000-0005-0000-0000-0000BA170000}"/>
    <cellStyle name="강조색5 3" xfId="1543" xr:uid="{00000000-0005-0000-0000-0000BB170000}"/>
    <cellStyle name="강조색6 2" xfId="1544" xr:uid="{00000000-0005-0000-0000-0000BC170000}"/>
    <cellStyle name="강조색6 2 2" xfId="8195" xr:uid="{00000000-0005-0000-0000-0000BD170000}"/>
    <cellStyle name="강조색6 3" xfId="1545" xr:uid="{00000000-0005-0000-0000-0000BE170000}"/>
    <cellStyle name="개" xfId="6075" xr:uid="{00000000-0005-0000-0000-0000BF170000}"/>
    <cellStyle name="개_02-포장-1" xfId="6076" xr:uid="{00000000-0005-0000-0000-0000C0170000}"/>
    <cellStyle name="개_02-포장-1_1) 신천금호강 종합개발 기본설계" xfId="6077" xr:uid="{00000000-0005-0000-0000-0000C1170000}"/>
    <cellStyle name="개_02-포장-1_2) 신천금호강 종합개발 동영상제작(변경최종)" xfId="6078" xr:uid="{00000000-0005-0000-0000-0000C2170000}"/>
    <cellStyle name="개_02-포장-1_3) 신천금호강 종합개발 산책로 실시설계(변경최종)" xfId="6079" xr:uid="{00000000-0005-0000-0000-0000C3170000}"/>
    <cellStyle name="개_02-포장-1_설계내역서(신천-금호강)" xfId="6080" xr:uid="{00000000-0005-0000-0000-0000C4170000}"/>
    <cellStyle name="개_02-포장-1_설계내역서(신천-금호강)_욱수천 하천재해예방사업 내역서" xfId="6081" xr:uid="{00000000-0005-0000-0000-0000C5170000}"/>
    <cellStyle name="개_02-포장-1_설계내역서(신천-금호강)_욱수천 하천재해예방사업 내역서_002 욱수천정비공사실시설계 내역서_090113" xfId="6082" xr:uid="{00000000-0005-0000-0000-0000C6170000}"/>
    <cellStyle name="개_02-포장-1_설계내역서(전체)" xfId="6083" xr:uid="{00000000-0005-0000-0000-0000C7170000}"/>
    <cellStyle name="개_02-포장-1_설계내역서(전체)_욱수천 하천재해예방사업 내역서" xfId="6084" xr:uid="{00000000-0005-0000-0000-0000C8170000}"/>
    <cellStyle name="개_02-포장-1_설계내역서(전체)_욱수천 하천재해예방사업 내역서_002 욱수천정비공사실시설계 내역서_090113" xfId="6085" xr:uid="{00000000-0005-0000-0000-0000C9170000}"/>
    <cellStyle name="개_02-포장-1_신천금호강 종합개발 기본설계  내역서(수정분)" xfId="6086" xr:uid="{00000000-0005-0000-0000-0000CA170000}"/>
    <cellStyle name="개_02-포장-1_신천금호강내역서(수정-보오링,사전재해및환경성제외,측량연장조정9(1).95억0726)" xfId="6087" xr:uid="{00000000-0005-0000-0000-0000CB170000}"/>
    <cellStyle name="개_02-포장-1_심사내역서" xfId="6088" xr:uid="{00000000-0005-0000-0000-0000CC170000}"/>
    <cellStyle name="개_02-포장-1_용담댐하류하천환경정비사업설계예산서(건희)" xfId="8196" xr:uid="{00000000-0005-0000-0000-0000CD170000}"/>
    <cellStyle name="개_02-포장-1_욱수천 하천재해예방사업 내역서" xfId="6089" xr:uid="{00000000-0005-0000-0000-0000CE170000}"/>
    <cellStyle name="개_02-포장-1_욱수천 하천재해예방사업 내역서_002 욱수천정비공사실시설계 내역서_090113" xfId="6090" xr:uid="{00000000-0005-0000-0000-0000CF170000}"/>
    <cellStyle name="개_1) 신천금호강 종합개발 기본설계" xfId="6091" xr:uid="{00000000-0005-0000-0000-0000D0170000}"/>
    <cellStyle name="개_2) 신천금호강 종합개발 동영상제작(변경최종)" xfId="6092" xr:uid="{00000000-0005-0000-0000-0000D1170000}"/>
    <cellStyle name="개_3) 신천금호강 종합개발 산책로 실시설계(변경최종)" xfId="6093" xr:uid="{00000000-0005-0000-0000-0000D2170000}"/>
    <cellStyle name="개_설계내역서(신천-금호강)" xfId="6094" xr:uid="{00000000-0005-0000-0000-0000D3170000}"/>
    <cellStyle name="개_설계내역서(신천-금호강)_욱수천 하천재해예방사업 내역서" xfId="6095" xr:uid="{00000000-0005-0000-0000-0000D4170000}"/>
    <cellStyle name="개_설계내역서(신천-금호강)_욱수천 하천재해예방사업 내역서_002 욱수천정비공사실시설계 내역서_090113" xfId="6096" xr:uid="{00000000-0005-0000-0000-0000D5170000}"/>
    <cellStyle name="개_설계내역서(전체)" xfId="6097" xr:uid="{00000000-0005-0000-0000-0000D6170000}"/>
    <cellStyle name="개_설계내역서(전체)_욱수천 하천재해예방사업 내역서" xfId="6098" xr:uid="{00000000-0005-0000-0000-0000D7170000}"/>
    <cellStyle name="개_설계내역서(전체)_욱수천 하천재해예방사업 내역서_002 욱수천정비공사실시설계 내역서_090113" xfId="6099" xr:uid="{00000000-0005-0000-0000-0000D8170000}"/>
    <cellStyle name="개_신천금호강 종합개발 기본설계  내역서(수정분)" xfId="6100" xr:uid="{00000000-0005-0000-0000-0000D9170000}"/>
    <cellStyle name="개_신천금호강내역서(수정-보오링,사전재해및환경성제외,측량연장조정9(1).95억0726)" xfId="6101" xr:uid="{00000000-0005-0000-0000-0000DA170000}"/>
    <cellStyle name="개_심사내역서" xfId="6102" xr:uid="{00000000-0005-0000-0000-0000DB170000}"/>
    <cellStyle name="개_용담댐하류하천환경정비사업설계예산서(건희)" xfId="8197" xr:uid="{00000000-0005-0000-0000-0000DC170000}"/>
    <cellStyle name="개_욱수천 하천재해예방사업 내역서" xfId="6103" xr:uid="{00000000-0005-0000-0000-0000DD170000}"/>
    <cellStyle name="개_욱수천 하천재해예방사업 내역서_002 욱수천정비공사실시설계 내역서_090113" xfId="6104" xr:uid="{00000000-0005-0000-0000-0000DE170000}"/>
    <cellStyle name="개소" xfId="6105" xr:uid="{00000000-0005-0000-0000-0000DF170000}"/>
    <cellStyle name="경고문 2" xfId="1546" xr:uid="{00000000-0005-0000-0000-0000E0170000}"/>
    <cellStyle name="경고문 3" xfId="1547" xr:uid="{00000000-0005-0000-0000-0000E1170000}"/>
    <cellStyle name="계산 2" xfId="1548" xr:uid="{00000000-0005-0000-0000-0000E2170000}"/>
    <cellStyle name="계산 2 2" xfId="8198" xr:uid="{00000000-0005-0000-0000-0000E3170000}"/>
    <cellStyle name="계산 3" xfId="1549" xr:uid="{00000000-0005-0000-0000-0000E4170000}"/>
    <cellStyle name="고정소숫점" xfId="1020" xr:uid="{00000000-0005-0000-0000-0000E5170000}"/>
    <cellStyle name="고정소숫점 2" xfId="1550" xr:uid="{00000000-0005-0000-0000-0000E6170000}"/>
    <cellStyle name="고정소숫점 3" xfId="7001" xr:uid="{00000000-0005-0000-0000-0000E7170000}"/>
    <cellStyle name="고정소숫점 4" xfId="8199" xr:uid="{00000000-0005-0000-0000-0000E8170000}"/>
    <cellStyle name="고정출력1" xfId="1021" xr:uid="{00000000-0005-0000-0000-0000E9170000}"/>
    <cellStyle name="고정출력1 2" xfId="7002" xr:uid="{00000000-0005-0000-0000-0000EA170000}"/>
    <cellStyle name="고정출력1 3" xfId="8200" xr:uid="{00000000-0005-0000-0000-0000EB170000}"/>
    <cellStyle name="고정출력1 4" xfId="8201" xr:uid="{00000000-0005-0000-0000-0000EC170000}"/>
    <cellStyle name="고정출력2" xfId="1022" xr:uid="{00000000-0005-0000-0000-0000ED170000}"/>
    <cellStyle name="고정출력2 2" xfId="7003" xr:uid="{00000000-0005-0000-0000-0000EE170000}"/>
    <cellStyle name="고정출력2 3" xfId="8202" xr:uid="{00000000-0005-0000-0000-0000EF170000}"/>
    <cellStyle name="고정출력2 4" xfId="8203" xr:uid="{00000000-0005-0000-0000-0000F0170000}"/>
    <cellStyle name="공백" xfId="1551" xr:uid="{00000000-0005-0000-0000-0000F1170000}"/>
    <cellStyle name="공백1" xfId="1552" xr:uid="{00000000-0005-0000-0000-0000F2170000}"/>
    <cellStyle name="공백1수" xfId="1553" xr:uid="{00000000-0005-0000-0000-0000F3170000}"/>
    <cellStyle name="공사원가계산서(조경)" xfId="1023" xr:uid="{00000000-0005-0000-0000-0000F4170000}"/>
    <cellStyle name="공종" xfId="3562" xr:uid="{00000000-0005-0000-0000-0000F5170000}"/>
    <cellStyle name="공종-규격" xfId="3563" xr:uid="{00000000-0005-0000-0000-0000F6170000}"/>
    <cellStyle name="咬訌裝?INCOM1" xfId="6106" xr:uid="{00000000-0005-0000-0000-0000F7170000}"/>
    <cellStyle name="咬訌裝?INCOM1 2" xfId="7004" xr:uid="{00000000-0005-0000-0000-0000F8170000}"/>
    <cellStyle name="咬訌裝?INCOM1 3" xfId="8204" xr:uid="{00000000-0005-0000-0000-0000F9170000}"/>
    <cellStyle name="咬訌裝?INCOM10" xfId="6107" xr:uid="{00000000-0005-0000-0000-0000FA170000}"/>
    <cellStyle name="咬訌裝?INCOM10 2" xfId="7005" xr:uid="{00000000-0005-0000-0000-0000FB170000}"/>
    <cellStyle name="咬訌裝?INCOM10 3" xfId="8205" xr:uid="{00000000-0005-0000-0000-0000FC170000}"/>
    <cellStyle name="咬訌裝?INCOM2" xfId="6108" xr:uid="{00000000-0005-0000-0000-0000FD170000}"/>
    <cellStyle name="咬訌裝?INCOM2 2" xfId="7006" xr:uid="{00000000-0005-0000-0000-0000FE170000}"/>
    <cellStyle name="咬訌裝?INCOM2 3" xfId="8206" xr:uid="{00000000-0005-0000-0000-0000FF170000}"/>
    <cellStyle name="咬訌裝?INCOM3" xfId="6109" xr:uid="{00000000-0005-0000-0000-000000180000}"/>
    <cellStyle name="咬訌裝?INCOM3 2" xfId="7007" xr:uid="{00000000-0005-0000-0000-000001180000}"/>
    <cellStyle name="咬訌裝?INCOM3 3" xfId="8207" xr:uid="{00000000-0005-0000-0000-000002180000}"/>
    <cellStyle name="咬訌裝?INCOM4" xfId="6110" xr:uid="{00000000-0005-0000-0000-000003180000}"/>
    <cellStyle name="咬訌裝?INCOM4 2" xfId="7008" xr:uid="{00000000-0005-0000-0000-000004180000}"/>
    <cellStyle name="咬訌裝?INCOM4 3" xfId="8208" xr:uid="{00000000-0005-0000-0000-000005180000}"/>
    <cellStyle name="咬訌裝?INCOM5" xfId="6111" xr:uid="{00000000-0005-0000-0000-000006180000}"/>
    <cellStyle name="咬訌裝?INCOM5 2" xfId="7009" xr:uid="{00000000-0005-0000-0000-000007180000}"/>
    <cellStyle name="咬訌裝?INCOM5 3" xfId="8209" xr:uid="{00000000-0005-0000-0000-000008180000}"/>
    <cellStyle name="咬訌裝?INCOM6" xfId="6112" xr:uid="{00000000-0005-0000-0000-000009180000}"/>
    <cellStyle name="咬訌裝?INCOM6 2" xfId="7010" xr:uid="{00000000-0005-0000-0000-00000A180000}"/>
    <cellStyle name="咬訌裝?INCOM6 3" xfId="8210" xr:uid="{00000000-0005-0000-0000-00000B180000}"/>
    <cellStyle name="咬訌裝?INCOM7" xfId="6113" xr:uid="{00000000-0005-0000-0000-00000C180000}"/>
    <cellStyle name="咬訌裝?INCOM7 2" xfId="7011" xr:uid="{00000000-0005-0000-0000-00000D180000}"/>
    <cellStyle name="咬訌裝?INCOM7 3" xfId="8211" xr:uid="{00000000-0005-0000-0000-00000E180000}"/>
    <cellStyle name="咬訌裝?INCOM8" xfId="6114" xr:uid="{00000000-0005-0000-0000-00000F180000}"/>
    <cellStyle name="咬訌裝?INCOM8 2" xfId="7012" xr:uid="{00000000-0005-0000-0000-000010180000}"/>
    <cellStyle name="咬訌裝?INCOM8 3" xfId="8212" xr:uid="{00000000-0005-0000-0000-000011180000}"/>
    <cellStyle name="咬訌裝?INCOM9" xfId="6115" xr:uid="{00000000-0005-0000-0000-000012180000}"/>
    <cellStyle name="咬訌裝?INCOM9 2" xfId="7013" xr:uid="{00000000-0005-0000-0000-000013180000}"/>
    <cellStyle name="咬訌裝?INCOM9 3" xfId="8213" xr:uid="{00000000-0005-0000-0000-000014180000}"/>
    <cellStyle name="咬訌裝?PRIB11" xfId="6116" xr:uid="{00000000-0005-0000-0000-000015180000}"/>
    <cellStyle name="咬訌裝?PRIB11 2" xfId="7014" xr:uid="{00000000-0005-0000-0000-000016180000}"/>
    <cellStyle name="咬訌裝?PRIB11 3" xfId="8214" xr:uid="{00000000-0005-0000-0000-000017180000}"/>
    <cellStyle name="국종합건설" xfId="6117" xr:uid="{00000000-0005-0000-0000-000018180000}"/>
    <cellStyle name="그림" xfId="6118" xr:uid="{00000000-0005-0000-0000-000019180000}"/>
    <cellStyle name="기계" xfId="1554" xr:uid="{00000000-0005-0000-0000-00001A180000}"/>
    <cellStyle name="기계 2" xfId="8424" xr:uid="{00000000-0005-0000-0000-00001B180000}"/>
    <cellStyle name="김덕호" xfId="6119" xr:uid="{00000000-0005-0000-0000-00001C180000}"/>
    <cellStyle name="김덕호 2" xfId="8215" xr:uid="{00000000-0005-0000-0000-00001D180000}"/>
    <cellStyle name="끼_x0001_?" xfId="1024" xr:uid="{00000000-0005-0000-0000-00001E180000}"/>
    <cellStyle name="나쁨 2" xfId="1555" xr:uid="{00000000-0005-0000-0000-00001F180000}"/>
    <cellStyle name="나쁨 2 2" xfId="8216" xr:uid="{00000000-0005-0000-0000-000020180000}"/>
    <cellStyle name="나쁨 3" xfId="1556" xr:uid="{00000000-0005-0000-0000-000021180000}"/>
    <cellStyle name="날짜" xfId="1025" xr:uid="{00000000-0005-0000-0000-000022180000}"/>
    <cellStyle name="날짜 2" xfId="8217" xr:uid="{00000000-0005-0000-0000-000023180000}"/>
    <cellStyle name="날짜 3" xfId="8218" xr:uid="{00000000-0005-0000-0000-000024180000}"/>
    <cellStyle name="남기옥" xfId="1026" xr:uid="{00000000-0005-0000-0000-000025180000}"/>
    <cellStyle name="남기옥 2" xfId="8219" xr:uid="{00000000-0005-0000-0000-000026180000}"/>
    <cellStyle name="내역서" xfId="1027" xr:uid="{00000000-0005-0000-0000-000027180000}"/>
    <cellStyle name="내역서 2" xfId="8220" xr:uid="{00000000-0005-0000-0000-000028180000}"/>
    <cellStyle name="네모제목" xfId="3564" xr:uid="{00000000-0005-0000-0000-000029180000}"/>
    <cellStyle name="년도" xfId="3565" xr:uid="{00000000-0005-0000-0000-00002A180000}"/>
    <cellStyle name="노명용" xfId="6120" xr:uid="{00000000-0005-0000-0000-00002B180000}"/>
    <cellStyle name="단위" xfId="1557" xr:uid="{00000000-0005-0000-0000-00002C180000}"/>
    <cellStyle name="단위-&quot;*&quot;" xfId="3566" xr:uid="{00000000-0005-0000-0000-00002D180000}"/>
    <cellStyle name="단위-%" xfId="3567" xr:uid="{00000000-0005-0000-0000-00002E180000}"/>
    <cellStyle name="단위-kg" xfId="3568" xr:uid="{00000000-0005-0000-0000-00002F180000}"/>
    <cellStyle name="단위-m" xfId="3569" xr:uid="{00000000-0005-0000-0000-000030180000}"/>
    <cellStyle name="단위-㎡" xfId="3570" xr:uid="{00000000-0005-0000-0000-000031180000}"/>
    <cellStyle name="단위-㎡/개소" xfId="3571" xr:uid="{00000000-0005-0000-0000-000032180000}"/>
    <cellStyle name="단위-㎡_2. 남부맨홀공" xfId="6121" xr:uid="{00000000-0005-0000-0000-000033180000}"/>
    <cellStyle name="단위-㎥" xfId="3572" xr:uid="{00000000-0005-0000-0000-000034180000}"/>
    <cellStyle name="단위-t=" xfId="3573" xr:uid="{00000000-0005-0000-0000-000035180000}"/>
    <cellStyle name="달러" xfId="1028" xr:uid="{00000000-0005-0000-0000-000036180000}"/>
    <cellStyle name="달러 2" xfId="8221" xr:uid="{00000000-0005-0000-0000-000037180000}"/>
    <cellStyle name="달러 3" xfId="8222" xr:uid="{00000000-0005-0000-0000-000038180000}"/>
    <cellStyle name="대공종" xfId="3574" xr:uid="{00000000-0005-0000-0000-000039180000}"/>
    <cellStyle name="'도급대비&quot;표준" xfId="6122" xr:uid="{00000000-0005-0000-0000-00003A180000}"/>
    <cellStyle name="'도급대비&quot;표준 2" xfId="8223" xr:uid="{00000000-0005-0000-0000-00003B180000}"/>
    <cellStyle name="뒤에 오는 하이퍼링크" xfId="1029" xr:uid="{00000000-0005-0000-0000-00003C180000}"/>
    <cellStyle name="뒤에 오는 하이퍼링크 2" xfId="8224" xr:uid="{00000000-0005-0000-0000-00003D180000}"/>
    <cellStyle name="똿떓죶Ø괻 [0.00]_PRODUCT DETAIL Q1" xfId="1558" xr:uid="{00000000-0005-0000-0000-00003E180000}"/>
    <cellStyle name="똿떓죶Ø괻_PRODUCT DETAIL Q1" xfId="1559" xr:uid="{00000000-0005-0000-0000-00003F180000}"/>
    <cellStyle name="똿뗦먛귟 [0.00]_laroux" xfId="1030" xr:uid="{00000000-0005-0000-0000-000040180000}"/>
    <cellStyle name="똿뗦먛귟_laroux" xfId="1031" xr:uid="{00000000-0005-0000-0000-000041180000}"/>
    <cellStyle name="마이너스키" xfId="1560" xr:uid="{00000000-0005-0000-0000-000042180000}"/>
    <cellStyle name="매" xfId="6123" xr:uid="{00000000-0005-0000-0000-000043180000}"/>
    <cellStyle name="매_02-포장-1" xfId="6124" xr:uid="{00000000-0005-0000-0000-000044180000}"/>
    <cellStyle name="매_02-포장-1_1) 신천금호강 종합개발 기본설계" xfId="6125" xr:uid="{00000000-0005-0000-0000-000045180000}"/>
    <cellStyle name="매_02-포장-1_2) 신천금호강 종합개발 동영상제작(변경최종)" xfId="6126" xr:uid="{00000000-0005-0000-0000-000046180000}"/>
    <cellStyle name="매_02-포장-1_3) 신천금호강 종합개발 산책로 실시설계(변경최종)" xfId="6127" xr:uid="{00000000-0005-0000-0000-000047180000}"/>
    <cellStyle name="매_02-포장-1_설계내역서(신천-금호강)" xfId="6128" xr:uid="{00000000-0005-0000-0000-000048180000}"/>
    <cellStyle name="매_02-포장-1_설계내역서(신천-금호강)_욱수천 하천재해예방사업 내역서" xfId="6129" xr:uid="{00000000-0005-0000-0000-000049180000}"/>
    <cellStyle name="매_02-포장-1_설계내역서(신천-금호강)_욱수천 하천재해예방사업 내역서_002 욱수천정비공사실시설계 내역서_090113" xfId="6130" xr:uid="{00000000-0005-0000-0000-00004A180000}"/>
    <cellStyle name="매_02-포장-1_설계내역서(전체)" xfId="6131" xr:uid="{00000000-0005-0000-0000-00004B180000}"/>
    <cellStyle name="매_02-포장-1_설계내역서(전체)_욱수천 하천재해예방사업 내역서" xfId="6132" xr:uid="{00000000-0005-0000-0000-00004C180000}"/>
    <cellStyle name="매_02-포장-1_설계내역서(전체)_욱수천 하천재해예방사업 내역서_002 욱수천정비공사실시설계 내역서_090113" xfId="6133" xr:uid="{00000000-0005-0000-0000-00004D180000}"/>
    <cellStyle name="매_02-포장-1_신천금호강 종합개발 기본설계  내역서(수정분)" xfId="6134" xr:uid="{00000000-0005-0000-0000-00004E180000}"/>
    <cellStyle name="매_02-포장-1_신천금호강내역서(수정-보오링,사전재해및환경성제외,측량연장조정9(1).95억0726)" xfId="6135" xr:uid="{00000000-0005-0000-0000-00004F180000}"/>
    <cellStyle name="매_02-포장-1_심사내역서" xfId="6136" xr:uid="{00000000-0005-0000-0000-000050180000}"/>
    <cellStyle name="매_02-포장-1_용담댐하류하천환경정비사업설계예산서(건희)" xfId="8225" xr:uid="{00000000-0005-0000-0000-000051180000}"/>
    <cellStyle name="매_02-포장-1_욱수천 하천재해예방사업 내역서" xfId="6137" xr:uid="{00000000-0005-0000-0000-000052180000}"/>
    <cellStyle name="매_02-포장-1_욱수천 하천재해예방사업 내역서_002 욱수천정비공사실시설계 내역서_090113" xfId="6138" xr:uid="{00000000-0005-0000-0000-000053180000}"/>
    <cellStyle name="매_1) 신천금호강 종합개발 기본설계" xfId="6139" xr:uid="{00000000-0005-0000-0000-000054180000}"/>
    <cellStyle name="매_2) 신천금호강 종합개발 동영상제작(변경최종)" xfId="6140" xr:uid="{00000000-0005-0000-0000-000055180000}"/>
    <cellStyle name="매_3) 신천금호강 종합개발 산책로 실시설계(변경최종)" xfId="6141" xr:uid="{00000000-0005-0000-0000-000056180000}"/>
    <cellStyle name="매_설계내역서(신천-금호강)" xfId="6142" xr:uid="{00000000-0005-0000-0000-000057180000}"/>
    <cellStyle name="매_설계내역서(신천-금호강)_욱수천 하천재해예방사업 내역서" xfId="6143" xr:uid="{00000000-0005-0000-0000-000058180000}"/>
    <cellStyle name="매_설계내역서(신천-금호강)_욱수천 하천재해예방사업 내역서_002 욱수천정비공사실시설계 내역서_090113" xfId="6144" xr:uid="{00000000-0005-0000-0000-000059180000}"/>
    <cellStyle name="매_설계내역서(전체)" xfId="6145" xr:uid="{00000000-0005-0000-0000-00005A180000}"/>
    <cellStyle name="매_설계내역서(전체)_욱수천 하천재해예방사업 내역서" xfId="6146" xr:uid="{00000000-0005-0000-0000-00005B180000}"/>
    <cellStyle name="매_설계내역서(전체)_욱수천 하천재해예방사업 내역서_002 욱수천정비공사실시설계 내역서_090113" xfId="6147" xr:uid="{00000000-0005-0000-0000-00005C180000}"/>
    <cellStyle name="매_신천금호강 종합개발 기본설계  내역서(수정분)" xfId="6148" xr:uid="{00000000-0005-0000-0000-00005D180000}"/>
    <cellStyle name="매_신천금호강내역서(수정-보오링,사전재해및환경성제외,측량연장조정9(1).95억0726)" xfId="6149" xr:uid="{00000000-0005-0000-0000-00005E180000}"/>
    <cellStyle name="매_심사내역서" xfId="6150" xr:uid="{00000000-0005-0000-0000-00005F180000}"/>
    <cellStyle name="매_용담댐하류하천환경정비사업설계예산서(건희)" xfId="8226" xr:uid="{00000000-0005-0000-0000-000060180000}"/>
    <cellStyle name="매_욱수천 하천재해예방사업 내역서" xfId="6151" xr:uid="{00000000-0005-0000-0000-000061180000}"/>
    <cellStyle name="매_욱수천 하천재해예방사업 내역서_002 욱수천정비공사실시설계 내역서_090113" xfId="6152" xr:uid="{00000000-0005-0000-0000-000062180000}"/>
    <cellStyle name="메모 2" xfId="1561" xr:uid="{00000000-0005-0000-0000-000063180000}"/>
    <cellStyle name="메모 2 2" xfId="8227" xr:uid="{00000000-0005-0000-0000-000064180000}"/>
    <cellStyle name="메모 3" xfId="1562" xr:uid="{00000000-0005-0000-0000-000065180000}"/>
    <cellStyle name="메모 4" xfId="7017" xr:uid="{00000000-0005-0000-0000-000066180000}"/>
    <cellStyle name="묮뎋 [0.00]_PRODUCT DETAIL Q1" xfId="1563" xr:uid="{00000000-0005-0000-0000-000067180000}"/>
    <cellStyle name="묮뎋_PRODUCT DETAIL Q1" xfId="1564" xr:uid="{00000000-0005-0000-0000-000068180000}"/>
    <cellStyle name="믅됞 [0.00]_laroux" xfId="1032" xr:uid="{00000000-0005-0000-0000-000069180000}"/>
    <cellStyle name="믅됞_laroux" xfId="1033" xr:uid="{00000000-0005-0000-0000-00006A180000}"/>
    <cellStyle name="배분" xfId="1034" xr:uid="{00000000-0005-0000-0000-00006B180000}"/>
    <cellStyle name="백" xfId="1035" xr:uid="{00000000-0005-0000-0000-00006C180000}"/>
    <cellStyle name="백 " xfId="1036" xr:uid="{00000000-0005-0000-0000-00006D180000}"/>
    <cellStyle name="백  2" xfId="8228" xr:uid="{00000000-0005-0000-0000-00006E180000}"/>
    <cellStyle name="백 2" xfId="7018" xr:uid="{00000000-0005-0000-0000-00006F180000}"/>
    <cellStyle name="백 3" xfId="7073" xr:uid="{00000000-0005-0000-0000-000070180000}"/>
    <cellStyle name="백 4" xfId="7015" xr:uid="{00000000-0005-0000-0000-000071180000}"/>
    <cellStyle name="백 5" xfId="8402" xr:uid="{00000000-0005-0000-0000-000072180000}"/>
    <cellStyle name="백_(수정중) 모형플랜트가설건물" xfId="1037" xr:uid="{00000000-0005-0000-0000-000073180000}"/>
    <cellStyle name="백_1.전기공사 내역서(구미정수장)" xfId="1038" xr:uid="{00000000-0005-0000-0000-000074180000}"/>
    <cellStyle name="백_1.전기공사 내역서(구미정수장)_구미정수장A(건축)(최종)(1)" xfId="1039" xr:uid="{00000000-0005-0000-0000-000075180000}"/>
    <cellStyle name="백_1.통신공사 내역서(구미정수장)" xfId="1040" xr:uid="{00000000-0005-0000-0000-000076180000}"/>
    <cellStyle name="백_1.통신공사 내역서(구미정수장)_구미정수장A(건축)(최종)(1)" xfId="1041" xr:uid="{00000000-0005-0000-0000-000077180000}"/>
    <cellStyle name="백_2회설변전체내역서" xfId="1042" xr:uid="{00000000-0005-0000-0000-000078180000}"/>
    <cellStyle name="백_2회설변전체내역서 2" xfId="7019" xr:uid="{00000000-0005-0000-0000-000079180000}"/>
    <cellStyle name="백_3.우수" xfId="1043" xr:uid="{00000000-0005-0000-0000-00007A180000}"/>
    <cellStyle name="백_3.우수_구미정수장A(건축)(최종)(1)" xfId="1044" xr:uid="{00000000-0005-0000-0000-00007B180000}"/>
    <cellStyle name="백_3.우수_구미정수장A(건축)(최종)(1) 2" xfId="1045" xr:uid="{00000000-0005-0000-0000-00007C180000}"/>
    <cellStyle name="백_3.우수_구미정수장A(건축)(최종)(1)_설계변경내역서(100928)-4" xfId="1046" xr:uid="{00000000-0005-0000-0000-00007D180000}"/>
    <cellStyle name="백_3.우수_석성정수장WBS(최종)" xfId="1047" xr:uid="{00000000-0005-0000-0000-00007E180000}"/>
    <cellStyle name="백_3.우수_석성정수장WBS(최종) 2" xfId="1048" xr:uid="{00000000-0005-0000-0000-00007F180000}"/>
    <cellStyle name="백_3.우수_석성정수장WBS(최종)_설계변경내역서(100928)-4" xfId="1049" xr:uid="{00000000-0005-0000-0000-000080180000}"/>
    <cellStyle name="백_4.오수" xfId="1050" xr:uid="{00000000-0005-0000-0000-000081180000}"/>
    <cellStyle name="백_4.오수_구미정수장A(건축)(최종)(1)" xfId="1051" xr:uid="{00000000-0005-0000-0000-000082180000}"/>
    <cellStyle name="백_4.오수_구미정수장A(건축)(최종)(1) 2" xfId="1052" xr:uid="{00000000-0005-0000-0000-000083180000}"/>
    <cellStyle name="백_4.오수_구미정수장A(건축)(최종)(1)_설계변경내역서(100928)-4" xfId="1053" xr:uid="{00000000-0005-0000-0000-000084180000}"/>
    <cellStyle name="백_4.오수_석성정수장WBS(최종)" xfId="1054" xr:uid="{00000000-0005-0000-0000-000085180000}"/>
    <cellStyle name="백_4.오수_석성정수장WBS(최종) 2" xfId="1055" xr:uid="{00000000-0005-0000-0000-000086180000}"/>
    <cellStyle name="백_4.오수_석성정수장WBS(최종)_설계변경내역서(100928)-4" xfId="1056" xr:uid="{00000000-0005-0000-0000-000087180000}"/>
    <cellStyle name="백_4_구미_내역서(최종)" xfId="1057" xr:uid="{00000000-0005-0000-0000-000088180000}"/>
    <cellStyle name="백_4_구미_내역서(최종) 2" xfId="8403" xr:uid="{00000000-0005-0000-0000-000089180000}"/>
    <cellStyle name="백_Book1" xfId="1058" xr:uid="{00000000-0005-0000-0000-00008A180000}"/>
    <cellStyle name="백_Book1_구미정수장A(건축)(최종)(1)" xfId="1059" xr:uid="{00000000-0005-0000-0000-00008B180000}"/>
    <cellStyle name="백_구미내역서(최종)" xfId="1060" xr:uid="{00000000-0005-0000-0000-00008C180000}"/>
    <cellStyle name="백_구미내역서(최종) 2" xfId="8404" xr:uid="{00000000-0005-0000-0000-00008D180000}"/>
    <cellStyle name="백_구미내역서(표지목차WBS참조)" xfId="1061" xr:uid="{00000000-0005-0000-0000-00008E180000}"/>
    <cellStyle name="백_구미내역서(표지목차WBS참조)_구미정수장A(건축)(최종)(1)" xfId="1062" xr:uid="{00000000-0005-0000-0000-00008F180000}"/>
    <cellStyle name="백_구미내역서(표지목차WBS참조)_구미정수장A(건축)(최종)(1) 2" xfId="1063" xr:uid="{00000000-0005-0000-0000-000090180000}"/>
    <cellStyle name="백_구미내역서(표지목차WBS참조)_구미정수장A(건축)(최종)(1)_설계변경내역서(100928)-4" xfId="1064" xr:uid="{00000000-0005-0000-0000-000091180000}"/>
    <cellStyle name="백_구미정수장A(건축)(최종)(1)" xfId="1065" xr:uid="{00000000-0005-0000-0000-000092180000}"/>
    <cellStyle name="백_구미정수장A(건축)(최종)(1) 2" xfId="1066" xr:uid="{00000000-0005-0000-0000-000093180000}"/>
    <cellStyle name="백_구미정수장A(건축)(최종)(1)_설계변경내역서(100928)-4" xfId="1067" xr:uid="{00000000-0005-0000-0000-000094180000}"/>
    <cellStyle name="백_구미정수장a(건축,총괄집계표까지참조)" xfId="1068" xr:uid="{00000000-0005-0000-0000-000095180000}"/>
    <cellStyle name="백_구미정수장a(건축,총괄집계표까지참조)_구미정수장A(건축)(최종)(1)" xfId="1069" xr:uid="{00000000-0005-0000-0000-000096180000}"/>
    <cellStyle name="백_구미정수장a(건축,총괄집계표까지참조)_구미정수장A(건축)(최종)(1) 2" xfId="1070" xr:uid="{00000000-0005-0000-0000-000097180000}"/>
    <cellStyle name="백_구미정수장a(건축,총괄집계표까지참조)_구미정수장A(건축)(최종)(1)_설계변경내역서(100928)-4" xfId="1071" xr:uid="{00000000-0005-0000-0000-000098180000}"/>
    <cellStyle name="백_구미정수장B(건축,기계,토목)" xfId="1072" xr:uid="{00000000-0005-0000-0000-000099180000}"/>
    <cellStyle name="백_구미정수장B(건축,기계,토목)_구미정수장A(건축)(최종)(1)" xfId="1073" xr:uid="{00000000-0005-0000-0000-00009A180000}"/>
    <cellStyle name="백_구미정수장B(건축,기계,토목)_구미정수장A(건축)(최종)(1) 2" xfId="1074" xr:uid="{00000000-0005-0000-0000-00009B180000}"/>
    <cellStyle name="백_구미정수장B(건축,기계,토목)_구미정수장A(건축)(최종)(1)_설계변경내역서(100928)-4" xfId="1075" xr:uid="{00000000-0005-0000-0000-00009C180000}"/>
    <cellStyle name="백_내역서(포항)" xfId="1076" xr:uid="{00000000-0005-0000-0000-00009D180000}"/>
    <cellStyle name="백_사진대지" xfId="1077" xr:uid="{00000000-0005-0000-0000-00009E180000}"/>
    <cellStyle name="백_사진대지 2" xfId="8405" xr:uid="{00000000-0005-0000-0000-00009F180000}"/>
    <cellStyle name="백_사진대지_구미정수장A(건축)(최종)(1)" xfId="1078" xr:uid="{00000000-0005-0000-0000-0000A0180000}"/>
    <cellStyle name="백_사진대지_구미정수장A(건축)(최종)(1) 2" xfId="8406" xr:uid="{00000000-0005-0000-0000-0000A1180000}"/>
    <cellStyle name="백_석성정수장WBS(최종)" xfId="1079" xr:uid="{00000000-0005-0000-0000-0000A2180000}"/>
    <cellStyle name="백_석성정수장WBS(최종) 2" xfId="1080" xr:uid="{00000000-0005-0000-0000-0000A3180000}"/>
    <cellStyle name="백_석성정수장WBS(최종)_설계변경내역서(100928)-4" xfId="1081" xr:uid="{00000000-0005-0000-0000-0000A4180000}"/>
    <cellStyle name="백_오수공수량산출서" xfId="1082" xr:uid="{00000000-0005-0000-0000-0000A5180000}"/>
    <cellStyle name="백_오수공수량산출서_구미정수장A(건축)(최종)(1)" xfId="1083" xr:uid="{00000000-0005-0000-0000-0000A6180000}"/>
    <cellStyle name="백_오수공수량산출서_구미정수장A(건축)(최종)(1) 2" xfId="1084" xr:uid="{00000000-0005-0000-0000-0000A7180000}"/>
    <cellStyle name="백_오수공수량산출서_구미정수장A(건축)(최종)(1)_설계변경내역서(100928)-4" xfId="1085" xr:uid="{00000000-0005-0000-0000-0000A8180000}"/>
    <cellStyle name="백_오수공수량산출서_석성정수장WBS(최종)" xfId="1086" xr:uid="{00000000-0005-0000-0000-0000A9180000}"/>
    <cellStyle name="백_오수공수량산출서_석성정수장WBS(최종) 2" xfId="1087" xr:uid="{00000000-0005-0000-0000-0000AA180000}"/>
    <cellStyle name="백_오수공수량산출서_석성정수장WBS(최종)_설계변경내역서(100928)-4" xfId="1088" xr:uid="{00000000-0005-0000-0000-0000AB180000}"/>
    <cellStyle name="백_일위대가양식" xfId="1089" xr:uid="{00000000-0005-0000-0000-0000AC180000}"/>
    <cellStyle name="백_토목내역" xfId="1090" xr:uid="{00000000-0005-0000-0000-0000AD180000}"/>
    <cellStyle name="백_토목내역 2" xfId="7020" xr:uid="{00000000-0005-0000-0000-0000AE180000}"/>
    <cellStyle name="백_황령산 봉수대 용역내역서" xfId="6153" xr:uid="{00000000-0005-0000-0000-0000AF180000}"/>
    <cellStyle name="백분율" xfId="1321" builtinId="5"/>
    <cellStyle name="백분율 [△1]" xfId="1091" xr:uid="{00000000-0005-0000-0000-0000B1180000}"/>
    <cellStyle name="백분율 [△2]" xfId="1092" xr:uid="{00000000-0005-0000-0000-0000B2180000}"/>
    <cellStyle name="백분율 [0]" xfId="1093" xr:uid="{00000000-0005-0000-0000-0000B3180000}"/>
    <cellStyle name="백분율 [0] 2" xfId="3575" xr:uid="{00000000-0005-0000-0000-0000B4180000}"/>
    <cellStyle name="백분율 [2]" xfId="1094" xr:uid="{00000000-0005-0000-0000-0000B5180000}"/>
    <cellStyle name="백분율 [2] 2" xfId="3576" xr:uid="{00000000-0005-0000-0000-0000B6180000}"/>
    <cellStyle name="백분율 10" xfId="3577" xr:uid="{00000000-0005-0000-0000-0000B7180000}"/>
    <cellStyle name="백분율 11" xfId="3578" xr:uid="{00000000-0005-0000-0000-0000B8180000}"/>
    <cellStyle name="백분율 12" xfId="3579" xr:uid="{00000000-0005-0000-0000-0000B9180000}"/>
    <cellStyle name="백분율 12 2" xfId="8503" xr:uid="{00000000-0005-0000-0000-0000BA180000}"/>
    <cellStyle name="백분율 13" xfId="7021" xr:uid="{00000000-0005-0000-0000-0000BB180000}"/>
    <cellStyle name="백분율 14" xfId="7074" xr:uid="{00000000-0005-0000-0000-0000BC180000}"/>
    <cellStyle name="백분율 15" xfId="7016" xr:uid="{00000000-0005-0000-0000-0000BD180000}"/>
    <cellStyle name="백분율 16" xfId="8229" xr:uid="{00000000-0005-0000-0000-0000BE180000}"/>
    <cellStyle name="백분율 17" xfId="8230" xr:uid="{00000000-0005-0000-0000-0000BF180000}"/>
    <cellStyle name="백분율 18" xfId="8231" xr:uid="{00000000-0005-0000-0000-0000C0180000}"/>
    <cellStyle name="백분율 19" xfId="8232" xr:uid="{00000000-0005-0000-0000-0000C1180000}"/>
    <cellStyle name="백분율 2" xfId="1319" xr:uid="{00000000-0005-0000-0000-0000C2180000}"/>
    <cellStyle name="백분율 2 2" xfId="3580" xr:uid="{00000000-0005-0000-0000-0000C3180000}"/>
    <cellStyle name="백분율 2 2 2" xfId="3581" xr:uid="{00000000-0005-0000-0000-0000C4180000}"/>
    <cellStyle name="백분율 2 2 2 2" xfId="8494" xr:uid="{00000000-0005-0000-0000-0000C5180000}"/>
    <cellStyle name="백분율 2 3" xfId="8233" xr:uid="{00000000-0005-0000-0000-0000C6180000}"/>
    <cellStyle name="백분율 2 4" xfId="8234" xr:uid="{00000000-0005-0000-0000-0000C7180000}"/>
    <cellStyle name="백분율 2 5" xfId="8502" xr:uid="{00000000-0005-0000-0000-0000C8180000}"/>
    <cellStyle name="백분율 20" xfId="8235" xr:uid="{00000000-0005-0000-0000-0000C9180000}"/>
    <cellStyle name="백분율 21" xfId="8236" xr:uid="{00000000-0005-0000-0000-0000CA180000}"/>
    <cellStyle name="백분율 22" xfId="8237" xr:uid="{00000000-0005-0000-0000-0000CB180000}"/>
    <cellStyle name="백분율 23" xfId="8451" xr:uid="{00000000-0005-0000-0000-0000CC180000}"/>
    <cellStyle name="백분율 24" xfId="8464" xr:uid="{00000000-0005-0000-0000-0000CD180000}"/>
    <cellStyle name="백분율 3" xfId="1565" xr:uid="{00000000-0005-0000-0000-0000CE180000}"/>
    <cellStyle name="백분율 3 2" xfId="7022" xr:uid="{00000000-0005-0000-0000-0000CF180000}"/>
    <cellStyle name="백분율 4" xfId="1566" xr:uid="{00000000-0005-0000-0000-0000D0180000}"/>
    <cellStyle name="백분율 4 2" xfId="7023" xr:uid="{00000000-0005-0000-0000-0000D1180000}"/>
    <cellStyle name="백분율 43" xfId="8458" xr:uid="{00000000-0005-0000-0000-0000D2180000}"/>
    <cellStyle name="백분율 5" xfId="1567" xr:uid="{00000000-0005-0000-0000-0000D3180000}"/>
    <cellStyle name="백분율 5 2" xfId="8238" xr:uid="{00000000-0005-0000-0000-0000D4180000}"/>
    <cellStyle name="백분율 6" xfId="1642" xr:uid="{00000000-0005-0000-0000-0000D5180000}"/>
    <cellStyle name="백분율 6 2" xfId="8239" xr:uid="{00000000-0005-0000-0000-0000D6180000}"/>
    <cellStyle name="백분율 63" xfId="8456" xr:uid="{00000000-0005-0000-0000-0000D7180000}"/>
    <cellStyle name="백분율 7" xfId="3582" xr:uid="{00000000-0005-0000-0000-0000D8180000}"/>
    <cellStyle name="백분율 8" xfId="3583" xr:uid="{00000000-0005-0000-0000-0000D9180000}"/>
    <cellStyle name="백분율 9" xfId="3584" xr:uid="{00000000-0005-0000-0000-0000DA180000}"/>
    <cellStyle name="백분율［△1］" xfId="1095" xr:uid="{00000000-0005-0000-0000-0000DB180000}"/>
    <cellStyle name="백분율［△1］ 2" xfId="7024" xr:uid="{00000000-0005-0000-0000-0000DC180000}"/>
    <cellStyle name="백분율［△2］" xfId="1096" xr:uid="{00000000-0005-0000-0000-0000DD180000}"/>
    <cellStyle name="범위" xfId="1568" xr:uid="{00000000-0005-0000-0000-0000DE180000}"/>
    <cellStyle name="범위 2" xfId="8240" xr:uid="{00000000-0005-0000-0000-0000DF180000}"/>
    <cellStyle name="보통 2" xfId="1097" xr:uid="{00000000-0005-0000-0000-0000E0180000}"/>
    <cellStyle name="보통 2 2" xfId="1569" xr:uid="{00000000-0005-0000-0000-0000E1180000}"/>
    <cellStyle name="보통 3" xfId="1570" xr:uid="{00000000-0005-0000-0000-0000E2180000}"/>
    <cellStyle name="凤준" xfId="1098" xr:uid="{00000000-0005-0000-0000-0000E3180000}"/>
    <cellStyle name="凤준 2" xfId="8241" xr:uid="{00000000-0005-0000-0000-0000E4180000}"/>
    <cellStyle name="분기" xfId="3585" xr:uid="{00000000-0005-0000-0000-0000E5180000}"/>
    <cellStyle name="분수" xfId="1099" xr:uid="{00000000-0005-0000-0000-0000E6180000}"/>
    <cellStyle name="뷭?" xfId="3586" xr:uid="{00000000-0005-0000-0000-0000E7180000}"/>
    <cellStyle name="뷭? 2" xfId="8242" xr:uid="{00000000-0005-0000-0000-0000E8180000}"/>
    <cellStyle name="뷭? 3" xfId="8243" xr:uid="{00000000-0005-0000-0000-0000E9180000}"/>
    <cellStyle name="빨간색" xfId="3587" xr:uid="{00000000-0005-0000-0000-0000EA180000}"/>
    <cellStyle name="빨강" xfId="6154" xr:uid="{00000000-0005-0000-0000-0000EB180000}"/>
    <cellStyle name="빨강 2" xfId="7025" xr:uid="{00000000-0005-0000-0000-0000EC180000}"/>
    <cellStyle name="빨강 3" xfId="8244" xr:uid="{00000000-0005-0000-0000-0000ED180000}"/>
    <cellStyle name="산출식" xfId="3588" xr:uid="{00000000-0005-0000-0000-0000EE180000}"/>
    <cellStyle name="常规_OPTION_9910" xfId="6155" xr:uid="{00000000-0005-0000-0000-0000EF180000}"/>
    <cellStyle name="선택영역" xfId="1571" xr:uid="{00000000-0005-0000-0000-0000F0180000}"/>
    <cellStyle name="선택영역 가운데" xfId="3589" xr:uid="{00000000-0005-0000-0000-0000F1180000}"/>
    <cellStyle name="선택영역의 가운데" xfId="3590" xr:uid="{00000000-0005-0000-0000-0000F2180000}"/>
    <cellStyle name="선택영역의 가운데로" xfId="1100" xr:uid="{00000000-0005-0000-0000-0000F3180000}"/>
    <cellStyle name="선택영영" xfId="3591" xr:uid="{00000000-0005-0000-0000-0000F4180000}"/>
    <cellStyle name="설계서" xfId="1101" xr:uid="{00000000-0005-0000-0000-0000F5180000}"/>
    <cellStyle name="설계서 2" xfId="8245" xr:uid="{00000000-0005-0000-0000-0000F6180000}"/>
    <cellStyle name="설계서-내용" xfId="6156" xr:uid="{00000000-0005-0000-0000-0000F7180000}"/>
    <cellStyle name="설계서-내용-소수점" xfId="6157" xr:uid="{00000000-0005-0000-0000-0000F8180000}"/>
    <cellStyle name="설계서-내용-우" xfId="6158" xr:uid="{00000000-0005-0000-0000-0000F9180000}"/>
    <cellStyle name="설계서-내용-좌" xfId="6159" xr:uid="{00000000-0005-0000-0000-0000FA180000}"/>
    <cellStyle name="설계서-소제목" xfId="6160" xr:uid="{00000000-0005-0000-0000-0000FB180000}"/>
    <cellStyle name="설계서-타이틀" xfId="6161" xr:uid="{00000000-0005-0000-0000-0000FC180000}"/>
    <cellStyle name="설계서-항목" xfId="6162" xr:uid="{00000000-0005-0000-0000-0000FD180000}"/>
    <cellStyle name="설명 텍스트 2" xfId="1572" xr:uid="{00000000-0005-0000-0000-0000FE180000}"/>
    <cellStyle name="설명 텍스트 3" xfId="1573" xr:uid="{00000000-0005-0000-0000-0000FF180000}"/>
    <cellStyle name="셀 확인 2" xfId="1574" xr:uid="{00000000-0005-0000-0000-000000190000}"/>
    <cellStyle name="셀 확인 2 2" xfId="8246" xr:uid="{00000000-0005-0000-0000-000001190000}"/>
    <cellStyle name="셀 확인 3" xfId="1575" xr:uid="{00000000-0005-0000-0000-000002190000}"/>
    <cellStyle name="소공종" xfId="3592" xr:uid="{00000000-0005-0000-0000-000003190000}"/>
    <cellStyle name="소수" xfId="6163" xr:uid="{00000000-0005-0000-0000-000004190000}"/>
    <cellStyle name="소수 2" xfId="7026" xr:uid="{00000000-0005-0000-0000-000005190000}"/>
    <cellStyle name="소수3" xfId="6164" xr:uid="{00000000-0005-0000-0000-000006190000}"/>
    <cellStyle name="소수3 2" xfId="8247" xr:uid="{00000000-0005-0000-0000-000007190000}"/>
    <cellStyle name="소수4" xfId="6165" xr:uid="{00000000-0005-0000-0000-000008190000}"/>
    <cellStyle name="소수4 2" xfId="7027" xr:uid="{00000000-0005-0000-0000-000009190000}"/>
    <cellStyle name="소수점" xfId="6166" xr:uid="{00000000-0005-0000-0000-00000A190000}"/>
    <cellStyle name="소수점 2" xfId="7028" xr:uid="{00000000-0005-0000-0000-00000B190000}"/>
    <cellStyle name="수량" xfId="1102" xr:uid="{00000000-0005-0000-0000-00000C190000}"/>
    <cellStyle name="수량 2" xfId="8248" xr:uid="{00000000-0005-0000-0000-00000D190000}"/>
    <cellStyle name="수량1" xfId="3593" xr:uid="{00000000-0005-0000-0000-00000E190000}"/>
    <cellStyle name="수목명" xfId="3594" xr:uid="{00000000-0005-0000-0000-00000F190000}"/>
    <cellStyle name="숨김" xfId="6167" xr:uid="{00000000-0005-0000-0000-000010190000}"/>
    <cellStyle name="숫자" xfId="1576" xr:uid="{00000000-0005-0000-0000-000011190000}"/>
    <cellStyle name="숫자(R)" xfId="1103" xr:uid="{00000000-0005-0000-0000-000012190000}"/>
    <cellStyle name="숫자(R) 2" xfId="1577" xr:uid="{00000000-0005-0000-0000-000013190000}"/>
    <cellStyle name="숫자(R) 3" xfId="7029" xr:uid="{00000000-0005-0000-0000-000014190000}"/>
    <cellStyle name="숫자_~MGHvl9Vl" xfId="6168" xr:uid="{00000000-0005-0000-0000-000015190000}"/>
    <cellStyle name="숫자1" xfId="1578" xr:uid="{00000000-0005-0000-0000-000016190000}"/>
    <cellStyle name="숫자3" xfId="1579" xr:uid="{00000000-0005-0000-0000-000017190000}"/>
    <cellStyle name="쉼표 [0]" xfId="1" builtinId="6"/>
    <cellStyle name="쉼표 [0] 10" xfId="8249" xr:uid="{00000000-0005-0000-0000-000019190000}"/>
    <cellStyle name="쉼표 [0] 10 2" xfId="8250" xr:uid="{00000000-0005-0000-0000-00001A190000}"/>
    <cellStyle name="쉼표 [0] 10 2 2" xfId="7078" xr:uid="{00000000-0005-0000-0000-00001B190000}"/>
    <cellStyle name="쉼표 [0] 10 2 2 2" xfId="8481" xr:uid="{00000000-0005-0000-0000-00001C190000}"/>
    <cellStyle name="쉼표 [0] 10 3" xfId="8251" xr:uid="{00000000-0005-0000-0000-00001D190000}"/>
    <cellStyle name="쉼표 [0] 10 3 2" xfId="8491" xr:uid="{00000000-0005-0000-0000-00001E190000}"/>
    <cellStyle name="쉼표 [0] 11" xfId="8252" xr:uid="{00000000-0005-0000-0000-00001F190000}"/>
    <cellStyle name="쉼표 [0] 11 2" xfId="8444" xr:uid="{00000000-0005-0000-0000-000020190000}"/>
    <cellStyle name="쉼표 [0] 12" xfId="7081" xr:uid="{00000000-0005-0000-0000-000021190000}"/>
    <cellStyle name="쉼표 [0] 12 2" xfId="8438" xr:uid="{00000000-0005-0000-0000-000022190000}"/>
    <cellStyle name="쉼표 [0] 13" xfId="8453" xr:uid="{00000000-0005-0000-0000-000023190000}"/>
    <cellStyle name="쉼표 [0] 14" xfId="8253" xr:uid="{00000000-0005-0000-0000-000024190000}"/>
    <cellStyle name="쉼표 [0] 14 2" xfId="8487" xr:uid="{00000000-0005-0000-0000-000025190000}"/>
    <cellStyle name="쉼표 [0] 15" xfId="8461" xr:uid="{00000000-0005-0000-0000-000026190000}"/>
    <cellStyle name="쉼표 [0] 16" xfId="8498" xr:uid="{00000000-0005-0000-0000-000027190000}"/>
    <cellStyle name="쉼표 [0] 2" xfId="3" xr:uid="{00000000-0005-0000-0000-000028190000}"/>
    <cellStyle name="쉼표 [0] 2 2" xfId="1104" xr:uid="{00000000-0005-0000-0000-000029190000}"/>
    <cellStyle name="쉼표 [0] 2 2 2" xfId="3595" xr:uid="{00000000-0005-0000-0000-00002A190000}"/>
    <cellStyle name="쉼표 [0] 2 2 3" xfId="7031" xr:uid="{00000000-0005-0000-0000-00002B190000}"/>
    <cellStyle name="쉼표 [0] 2 2 4" xfId="8450" xr:uid="{00000000-0005-0000-0000-00002C190000}"/>
    <cellStyle name="쉼표 [0] 2 3" xfId="3596" xr:uid="{00000000-0005-0000-0000-00002D190000}"/>
    <cellStyle name="쉼표 [0] 2 3 2" xfId="3597" xr:uid="{00000000-0005-0000-0000-00002E190000}"/>
    <cellStyle name="쉼표 [0] 2 3 3" xfId="8470" xr:uid="{00000000-0005-0000-0000-00002F190000}"/>
    <cellStyle name="쉼표 [0] 2 4" xfId="7030" xr:uid="{00000000-0005-0000-0000-000030190000}"/>
    <cellStyle name="쉼표 [0] 2 4 2" xfId="8254" xr:uid="{00000000-0005-0000-0000-000031190000}"/>
    <cellStyle name="쉼표 [0] 2 5" xfId="8255" xr:uid="{00000000-0005-0000-0000-000032190000}"/>
    <cellStyle name="쉼표 [0] 2 6" xfId="8509" xr:uid="{00000000-0005-0000-0000-000033190000}"/>
    <cellStyle name="쉼표 [0] 2 7" xfId="8506" xr:uid="{00000000-0005-0000-0000-000034190000}"/>
    <cellStyle name="쉼표 [0] 2_091110 안성천권역(중하류) 설계내역서" xfId="8256" xr:uid="{00000000-0005-0000-0000-000035190000}"/>
    <cellStyle name="쉼표 [0] 28" xfId="8257" xr:uid="{00000000-0005-0000-0000-000036190000}"/>
    <cellStyle name="쉼표 [0] 3" xfId="1105" xr:uid="{00000000-0005-0000-0000-000037190000}"/>
    <cellStyle name="쉼표 [0] 3 2" xfId="1580" xr:uid="{00000000-0005-0000-0000-000038190000}"/>
    <cellStyle name="쉼표 [0] 3 2 2" xfId="8447" xr:uid="{00000000-0005-0000-0000-000039190000}"/>
    <cellStyle name="쉼표 [0] 3 2 3" xfId="8511" xr:uid="{00000000-0005-0000-0000-00003A190000}"/>
    <cellStyle name="쉼표 [0] 3 3" xfId="3598" xr:uid="{00000000-0005-0000-0000-00003B190000}"/>
    <cellStyle name="쉼표 [0] 3 4" xfId="7032" xr:uid="{00000000-0005-0000-0000-00003C190000}"/>
    <cellStyle name="쉼표 [0] 3 5" xfId="8258" xr:uid="{00000000-0005-0000-0000-00003D190000}"/>
    <cellStyle name="쉼표 [0] 4" xfId="1106" xr:uid="{00000000-0005-0000-0000-00003E190000}"/>
    <cellStyle name="쉼표 [0] 4 2" xfId="7034" xr:uid="{00000000-0005-0000-0000-00003F190000}"/>
    <cellStyle name="쉼표 [0] 4 3" xfId="7033" xr:uid="{00000000-0005-0000-0000-000040190000}"/>
    <cellStyle name="쉼표 [0] 4 4" xfId="8259" xr:uid="{00000000-0005-0000-0000-000041190000}"/>
    <cellStyle name="쉼표 [0] 5" xfId="1581" xr:uid="{00000000-0005-0000-0000-000042190000}"/>
    <cellStyle name="쉼표 [0] 5 2" xfId="8260" xr:uid="{00000000-0005-0000-0000-000043190000}"/>
    <cellStyle name="쉼표 [0] 5 2 2" xfId="8445" xr:uid="{00000000-0005-0000-0000-000044190000}"/>
    <cellStyle name="쉼표 [0] 5 3" xfId="8261" xr:uid="{00000000-0005-0000-0000-000045190000}"/>
    <cellStyle name="쉼표 [0] 5 4" xfId="8262" xr:uid="{00000000-0005-0000-0000-000046190000}"/>
    <cellStyle name="쉼표 [0] 53" xfId="8457" xr:uid="{00000000-0005-0000-0000-000047190000}"/>
    <cellStyle name="쉼표 [0] 6" xfId="1641" xr:uid="{00000000-0005-0000-0000-000048190000}"/>
    <cellStyle name="쉼표 [0] 6 2" xfId="8263" xr:uid="{00000000-0005-0000-0000-000049190000}"/>
    <cellStyle name="쉼표 [0] 6 2 2" xfId="8264" xr:uid="{00000000-0005-0000-0000-00004A190000}"/>
    <cellStyle name="쉼표 [0] 6 2 3" xfId="8479" xr:uid="{00000000-0005-0000-0000-00004B190000}"/>
    <cellStyle name="쉼표 [0] 6 3" xfId="8265" xr:uid="{00000000-0005-0000-0000-00004C190000}"/>
    <cellStyle name="쉼표 [0] 7" xfId="4433" xr:uid="{00000000-0005-0000-0000-00004D190000}"/>
    <cellStyle name="쉼표 [0] 7 2" xfId="8266" xr:uid="{00000000-0005-0000-0000-00004E190000}"/>
    <cellStyle name="쉼표 [0] 8" xfId="8267" xr:uid="{00000000-0005-0000-0000-00004F190000}"/>
    <cellStyle name="쉼표 [0] 8 2" xfId="8268" xr:uid="{00000000-0005-0000-0000-000050190000}"/>
    <cellStyle name="쉼표 [0] 8 3" xfId="8452" xr:uid="{00000000-0005-0000-0000-000051190000}"/>
    <cellStyle name="쉼표 [0] 9" xfId="8269" xr:uid="{00000000-0005-0000-0000-000052190000}"/>
    <cellStyle name="쉼표 [0] 9 2" xfId="8270" xr:uid="{00000000-0005-0000-0000-000053190000}"/>
    <cellStyle name="쉼표 [0] 9 3" xfId="8463" xr:uid="{00000000-0005-0000-0000-000054190000}"/>
    <cellStyle name="쉼표 [0]_붙임5_설계내역서(110216 215백만원)" xfId="8514" xr:uid="{00000000-0005-0000-0000-000055190000}"/>
    <cellStyle name="쉼표 10" xfId="3599" xr:uid="{00000000-0005-0000-0000-000056190000}"/>
    <cellStyle name="쉼표 11" xfId="3600" xr:uid="{00000000-0005-0000-0000-000057190000}"/>
    <cellStyle name="쉼표 2" xfId="1107" xr:uid="{00000000-0005-0000-0000-000058190000}"/>
    <cellStyle name="쉼표 3" xfId="3601" xr:uid="{00000000-0005-0000-0000-000059190000}"/>
    <cellStyle name="쉼표 4" xfId="3602" xr:uid="{00000000-0005-0000-0000-00005A190000}"/>
    <cellStyle name="쉼표 5" xfId="3603" xr:uid="{00000000-0005-0000-0000-00005B190000}"/>
    <cellStyle name="쉼표 6" xfId="3604" xr:uid="{00000000-0005-0000-0000-00005C190000}"/>
    <cellStyle name="쉼표 7" xfId="3605" xr:uid="{00000000-0005-0000-0000-00005D190000}"/>
    <cellStyle name="쉼표 8" xfId="3606" xr:uid="{00000000-0005-0000-0000-00005E190000}"/>
    <cellStyle name="쉼표 9" xfId="3607" xr:uid="{00000000-0005-0000-0000-00005F190000}"/>
    <cellStyle name="스타일 1" xfId="1108" xr:uid="{00000000-0005-0000-0000-000060190000}"/>
    <cellStyle name="스타일 1 2" xfId="1582" xr:uid="{00000000-0005-0000-0000-000061190000}"/>
    <cellStyle name="스타일 1 3" xfId="7035" xr:uid="{00000000-0005-0000-0000-000062190000}"/>
    <cellStyle name="스타일 1 4" xfId="8271" xr:uid="{00000000-0005-0000-0000-000063190000}"/>
    <cellStyle name="스타일 1_발리천기본계획수립및재해위험지구정비사업(발리지구)실시설계-내역서" xfId="8272" xr:uid="{00000000-0005-0000-0000-000064190000}"/>
    <cellStyle name="스타일 10" xfId="6169" xr:uid="{00000000-0005-0000-0000-000065190000}"/>
    <cellStyle name="스타일 11" xfId="6170" xr:uid="{00000000-0005-0000-0000-000066190000}"/>
    <cellStyle name="스타일 2" xfId="1109" xr:uid="{00000000-0005-0000-0000-000067190000}"/>
    <cellStyle name="스타일 2 2" xfId="7036" xr:uid="{00000000-0005-0000-0000-000068190000}"/>
    <cellStyle name="스타일 3" xfId="3608" xr:uid="{00000000-0005-0000-0000-000069190000}"/>
    <cellStyle name="스타일 3 2" xfId="8273" xr:uid="{00000000-0005-0000-0000-00006A190000}"/>
    <cellStyle name="스타일 4" xfId="3609" xr:uid="{00000000-0005-0000-0000-00006B190000}"/>
    <cellStyle name="스타일 4 2" xfId="8274" xr:uid="{00000000-0005-0000-0000-00006C190000}"/>
    <cellStyle name="스타일 5" xfId="6171" xr:uid="{00000000-0005-0000-0000-00006D190000}"/>
    <cellStyle name="스타일 5 2" xfId="8275" xr:uid="{00000000-0005-0000-0000-00006E190000}"/>
    <cellStyle name="스타일 6" xfId="6172" xr:uid="{00000000-0005-0000-0000-00006F190000}"/>
    <cellStyle name="스타일 7" xfId="6173" xr:uid="{00000000-0005-0000-0000-000070190000}"/>
    <cellStyle name="스타일 8" xfId="6174" xr:uid="{00000000-0005-0000-0000-000071190000}"/>
    <cellStyle name="스타일 9" xfId="6175" xr:uid="{00000000-0005-0000-0000-000072190000}"/>
    <cellStyle name="식" xfId="3610" xr:uid="{00000000-0005-0000-0000-000073190000}"/>
    <cellStyle name="식_1차 본협상자료(황)" xfId="3611" xr:uid="{00000000-0005-0000-0000-000074190000}"/>
    <cellStyle name="식_1차 본협상자료(황)_1차 본협상자료(0830)" xfId="3612" xr:uid="{00000000-0005-0000-0000-000075190000}"/>
    <cellStyle name="식_1차 본협상자료(황)_1차 본협상자료(0830)_김제축산(365일)" xfId="3613" xr:uid="{00000000-0005-0000-0000-000076190000}"/>
    <cellStyle name="식_1차 본협상자료(황)_1차 본협상자료(0830)_김제축산(365일)_시운전비내역(산청군)" xfId="3614" xr:uid="{00000000-0005-0000-0000-000077190000}"/>
    <cellStyle name="식_1차 본협상자료(황)_1차 본협상자료(0830)_김제축산(365일)_시운전비내역(산청군)_시운전비내역(산청군)" xfId="3615" xr:uid="{00000000-0005-0000-0000-000078190000}"/>
    <cellStyle name="식_1차 본협상자료(황)_1차 본협상자료(0830)_시운전비내역(산청군)" xfId="3616" xr:uid="{00000000-0005-0000-0000-000079190000}"/>
    <cellStyle name="식_1차 본협상자료(황)_1차 본협상자료(0830)_시운전비내역(산청군)_시운전비내역(산청군)" xfId="3617" xr:uid="{00000000-0005-0000-0000-00007A190000}"/>
    <cellStyle name="식_1차 본협상자료(황)_1차 본협상자료(0830)_정읍분뇨축산" xfId="3618" xr:uid="{00000000-0005-0000-0000-00007B190000}"/>
    <cellStyle name="식_1차 본협상자료(황)_1차 본협상자료(0830)_정읍분뇨축산(365일)" xfId="3619" xr:uid="{00000000-0005-0000-0000-00007C190000}"/>
    <cellStyle name="식_1차 본협상자료(황)_1차 본협상자료(0830)_정읍분뇨축산(365일)_시운전비내역(산청군)" xfId="3620" xr:uid="{00000000-0005-0000-0000-00007D190000}"/>
    <cellStyle name="식_1차 본협상자료(황)_1차 본협상자료(0830)_정읍분뇨축산(365일)_시운전비내역(산청군)_시운전비내역(산청군)" xfId="3621" xr:uid="{00000000-0005-0000-0000-00007E190000}"/>
    <cellStyle name="식_1차 본협상자료(황)_1차 본협상자료(0830)_정읍분뇨축산_시운전비내역(산청군)" xfId="3622" xr:uid="{00000000-0005-0000-0000-00007F190000}"/>
    <cellStyle name="식_1차 본협상자료(황)_1차 본협상자료(0830)_정읍분뇨축산_시운전비내역(산청군)_시운전비내역(산청군)" xfId="3623" xr:uid="{00000000-0005-0000-0000-000080190000}"/>
    <cellStyle name="식_1차 본협상자료(황)_1차 본협상자료(0830)_축산운영비(0117-2002년)" xfId="3624" xr:uid="{00000000-0005-0000-0000-000081190000}"/>
    <cellStyle name="식_1차 본협상자료(황)_1차 본협상자료(0830)_축산운영비(0117-2002년)_시운전비내역(산청군)" xfId="3625" xr:uid="{00000000-0005-0000-0000-000082190000}"/>
    <cellStyle name="식_1차 본협상자료(황)_1차 본협상자료(0830)_축산운영비(0117-2002년)_시운전비내역(산청군)_시운전비내역(산청군)" xfId="3626" xr:uid="{00000000-0005-0000-0000-000083190000}"/>
    <cellStyle name="식_1차 본협상자료(황)_1차 본협상자료(0830)_축산운영비(1116)" xfId="3627" xr:uid="{00000000-0005-0000-0000-000084190000}"/>
    <cellStyle name="식_1차 본협상자료(황)_1차 본협상자료(0830)_축산운영비(1116)_김제축산(365일)" xfId="3628" xr:uid="{00000000-0005-0000-0000-000085190000}"/>
    <cellStyle name="식_1차 본협상자료(황)_1차 본협상자료(0830)_축산운영비(1116)_김제축산(365일)_시운전비내역(산청군)" xfId="3629" xr:uid="{00000000-0005-0000-0000-000086190000}"/>
    <cellStyle name="식_1차 본협상자료(황)_1차 본협상자료(0830)_축산운영비(1116)_김제축산(365일)_시운전비내역(산청군)_시운전비내역(산청군)" xfId="3630" xr:uid="{00000000-0005-0000-0000-000087190000}"/>
    <cellStyle name="식_1차 본협상자료(황)_1차 본협상자료(0830)_축산운영비(1116)_시운전비내역(산청군)" xfId="3631" xr:uid="{00000000-0005-0000-0000-000088190000}"/>
    <cellStyle name="식_1차 본협상자료(황)_1차 본협상자료(0830)_축산운영비(1116)_시운전비내역(산청군)_시운전비내역(산청군)" xfId="3632" xr:uid="{00000000-0005-0000-0000-000089190000}"/>
    <cellStyle name="식_1차 본협상자료(황)_1차 본협상자료(0830)_축산운영비(1116)_정읍분뇨축산" xfId="3633" xr:uid="{00000000-0005-0000-0000-00008A190000}"/>
    <cellStyle name="식_1차 본협상자료(황)_1차 본협상자료(0830)_축산운영비(1116)_정읍분뇨축산(365일)" xfId="3634" xr:uid="{00000000-0005-0000-0000-00008B190000}"/>
    <cellStyle name="식_1차 본협상자료(황)_1차 본협상자료(0830)_축산운영비(1116)_정읍분뇨축산(365일)_시운전비내역(산청군)" xfId="3635" xr:uid="{00000000-0005-0000-0000-00008C190000}"/>
    <cellStyle name="식_1차 본협상자료(황)_1차 본협상자료(0830)_축산운영비(1116)_정읍분뇨축산(365일)_시운전비내역(산청군)_시운전비내역(산청군)" xfId="3636" xr:uid="{00000000-0005-0000-0000-00008D190000}"/>
    <cellStyle name="식_1차 본협상자료(황)_1차 본협상자료(0830)_축산운영비(1116)_정읍분뇨축산_시운전비내역(산청군)" xfId="3637" xr:uid="{00000000-0005-0000-0000-00008E190000}"/>
    <cellStyle name="식_1차 본협상자료(황)_1차 본협상자료(0830)_축산운영비(1116)_정읍분뇨축산_시운전비내역(산청군)_시운전비내역(산청군)" xfId="3638" xr:uid="{00000000-0005-0000-0000-00008F190000}"/>
    <cellStyle name="식_1차 본협상자료(황)_1차 본협상자료(0830)_축산운영비(1116)_축산운영비(0117-2002년)" xfId="3639" xr:uid="{00000000-0005-0000-0000-000090190000}"/>
    <cellStyle name="식_1차 본협상자료(황)_1차 본협상자료(0830)_축산운영비(1116)_축산운영비(0117-2002년)_시운전비내역(산청군)" xfId="3640" xr:uid="{00000000-0005-0000-0000-000091190000}"/>
    <cellStyle name="식_1차 본협상자료(황)_1차 본협상자료(0830)_축산운영비(1116)_축산운영비(0117-2002년)_시운전비내역(산청군)_시운전비내역(산청군)" xfId="3641" xr:uid="{00000000-0005-0000-0000-000092190000}"/>
    <cellStyle name="식_1차 본협상자료(황)_1차 본협상자료(0830)_축산운영비(1219)" xfId="3642" xr:uid="{00000000-0005-0000-0000-000093190000}"/>
    <cellStyle name="식_1차 본협상자료(황)_1차 본협상자료(0830)_축산운영비(1219)_김제축산(365일)" xfId="3643" xr:uid="{00000000-0005-0000-0000-000094190000}"/>
    <cellStyle name="식_1차 본협상자료(황)_1차 본협상자료(0830)_축산운영비(1219)_김제축산(365일)_시운전비내역(산청군)" xfId="3644" xr:uid="{00000000-0005-0000-0000-000095190000}"/>
    <cellStyle name="식_1차 본협상자료(황)_1차 본협상자료(0830)_축산운영비(1219)_김제축산(365일)_시운전비내역(산청군)_시운전비내역(산청군)" xfId="3645" xr:uid="{00000000-0005-0000-0000-000096190000}"/>
    <cellStyle name="식_1차 본협상자료(황)_1차 본협상자료(0830)_축산운영비(1219)_시운전비내역(산청군)" xfId="3646" xr:uid="{00000000-0005-0000-0000-000097190000}"/>
    <cellStyle name="식_1차 본협상자료(황)_1차 본협상자료(0830)_축산운영비(1219)_시운전비내역(산청군)_시운전비내역(산청군)" xfId="3647" xr:uid="{00000000-0005-0000-0000-000098190000}"/>
    <cellStyle name="식_1차 본협상자료(황)_1차 본협상자료(0830)_축산운영비(1219)_정읍분뇨축산" xfId="3648" xr:uid="{00000000-0005-0000-0000-000099190000}"/>
    <cellStyle name="식_1차 본협상자료(황)_1차 본협상자료(0830)_축산운영비(1219)_정읍분뇨축산(365일)" xfId="3649" xr:uid="{00000000-0005-0000-0000-00009A190000}"/>
    <cellStyle name="식_1차 본협상자료(황)_1차 본협상자료(0830)_축산운영비(1219)_정읍분뇨축산(365일)_시운전비내역(산청군)" xfId="3650" xr:uid="{00000000-0005-0000-0000-00009B190000}"/>
    <cellStyle name="식_1차 본협상자료(황)_1차 본협상자료(0830)_축산운영비(1219)_정읍분뇨축산(365일)_시운전비내역(산청군)_시운전비내역(산청군)" xfId="3651" xr:uid="{00000000-0005-0000-0000-00009C190000}"/>
    <cellStyle name="식_1차 본협상자료(황)_1차 본협상자료(0830)_축산운영비(1219)_정읍분뇨축산_시운전비내역(산청군)" xfId="3652" xr:uid="{00000000-0005-0000-0000-00009D190000}"/>
    <cellStyle name="식_1차 본협상자료(황)_1차 본협상자료(0830)_축산운영비(1219)_정읍분뇨축산_시운전비내역(산청군)_시운전비내역(산청군)" xfId="3653" xr:uid="{00000000-0005-0000-0000-00009E190000}"/>
    <cellStyle name="식_1차 본협상자료(황)_1차 본협상자료(0830)_축산운영비(1219)_축산운영비(0117-2002년)" xfId="3654" xr:uid="{00000000-0005-0000-0000-00009F190000}"/>
    <cellStyle name="식_1차 본협상자료(황)_1차 본협상자료(0830)_축산운영비(1219)_축산운영비(0117-2002년)_시운전비내역(산청군)" xfId="3655" xr:uid="{00000000-0005-0000-0000-0000A0190000}"/>
    <cellStyle name="식_1차 본협상자료(황)_1차 본협상자료(0830)_축산운영비(1219)_축산운영비(0117-2002년)_시운전비내역(산청군)_시운전비내역(산청군)" xfId="3656" xr:uid="{00000000-0005-0000-0000-0000A1190000}"/>
    <cellStyle name="식_1차 본협상자료(황)_김제축산(365일)" xfId="3657" xr:uid="{00000000-0005-0000-0000-0000A2190000}"/>
    <cellStyle name="식_1차 본협상자료(황)_김제축산(365일)_시운전비내역(산청군)" xfId="3658" xr:uid="{00000000-0005-0000-0000-0000A3190000}"/>
    <cellStyle name="식_1차 본협상자료(황)_김제축산(365일)_시운전비내역(산청군)_시운전비내역(산청군)" xfId="3659" xr:uid="{00000000-0005-0000-0000-0000A4190000}"/>
    <cellStyle name="식_1차 본협상자료(황)_시운전비내역(산청군)" xfId="3660" xr:uid="{00000000-0005-0000-0000-0000A5190000}"/>
    <cellStyle name="식_1차 본협상자료(황)_시운전비내역(산청군)_시운전비내역(산청군)" xfId="3661" xr:uid="{00000000-0005-0000-0000-0000A6190000}"/>
    <cellStyle name="식_1차 본협상자료(황)_정읍분뇨축산" xfId="3662" xr:uid="{00000000-0005-0000-0000-0000A7190000}"/>
    <cellStyle name="식_1차 본협상자료(황)_정읍분뇨축산(365일)" xfId="3663" xr:uid="{00000000-0005-0000-0000-0000A8190000}"/>
    <cellStyle name="식_1차 본협상자료(황)_정읍분뇨축산(365일)_시운전비내역(산청군)" xfId="3664" xr:uid="{00000000-0005-0000-0000-0000A9190000}"/>
    <cellStyle name="식_1차 본협상자료(황)_정읍분뇨축산(365일)_시운전비내역(산청군)_시운전비내역(산청군)" xfId="3665" xr:uid="{00000000-0005-0000-0000-0000AA190000}"/>
    <cellStyle name="식_1차 본협상자료(황)_정읍분뇨축산_시운전비내역(산청군)" xfId="3666" xr:uid="{00000000-0005-0000-0000-0000AB190000}"/>
    <cellStyle name="식_1차 본협상자료(황)_정읍분뇨축산_시운전비내역(산청군)_시운전비내역(산청군)" xfId="3667" xr:uid="{00000000-0005-0000-0000-0000AC190000}"/>
    <cellStyle name="식_1차 본협상자료(황)_축산운영비(0117-2002년)" xfId="3668" xr:uid="{00000000-0005-0000-0000-0000AD190000}"/>
    <cellStyle name="식_1차 본협상자료(황)_축산운영비(0117-2002년)_시운전비내역(산청군)" xfId="3669" xr:uid="{00000000-0005-0000-0000-0000AE190000}"/>
    <cellStyle name="식_1차 본협상자료(황)_축산운영비(0117-2002년)_시운전비내역(산청군)_시운전비내역(산청군)" xfId="3670" xr:uid="{00000000-0005-0000-0000-0000AF190000}"/>
    <cellStyle name="식_1차 본협상자료(황)_축산운영비(1116)" xfId="3671" xr:uid="{00000000-0005-0000-0000-0000B0190000}"/>
    <cellStyle name="식_1차 본협상자료(황)_축산운영비(1116)_김제축산(365일)" xfId="3672" xr:uid="{00000000-0005-0000-0000-0000B1190000}"/>
    <cellStyle name="식_1차 본협상자료(황)_축산운영비(1116)_김제축산(365일)_시운전비내역(산청군)" xfId="3673" xr:uid="{00000000-0005-0000-0000-0000B2190000}"/>
    <cellStyle name="식_1차 본협상자료(황)_축산운영비(1116)_김제축산(365일)_시운전비내역(산청군)_시운전비내역(산청군)" xfId="3674" xr:uid="{00000000-0005-0000-0000-0000B3190000}"/>
    <cellStyle name="식_1차 본협상자료(황)_축산운영비(1116)_시운전비내역(산청군)" xfId="3675" xr:uid="{00000000-0005-0000-0000-0000B4190000}"/>
    <cellStyle name="식_1차 본협상자료(황)_축산운영비(1116)_시운전비내역(산청군)_시운전비내역(산청군)" xfId="3676" xr:uid="{00000000-0005-0000-0000-0000B5190000}"/>
    <cellStyle name="식_1차 본협상자료(황)_축산운영비(1116)_정읍분뇨축산" xfId="3677" xr:uid="{00000000-0005-0000-0000-0000B6190000}"/>
    <cellStyle name="식_1차 본협상자료(황)_축산운영비(1116)_정읍분뇨축산(365일)" xfId="3678" xr:uid="{00000000-0005-0000-0000-0000B7190000}"/>
    <cellStyle name="식_1차 본협상자료(황)_축산운영비(1116)_정읍분뇨축산(365일)_시운전비내역(산청군)" xfId="3679" xr:uid="{00000000-0005-0000-0000-0000B8190000}"/>
    <cellStyle name="식_1차 본협상자료(황)_축산운영비(1116)_정읍분뇨축산(365일)_시운전비내역(산청군)_시운전비내역(산청군)" xfId="3680" xr:uid="{00000000-0005-0000-0000-0000B9190000}"/>
    <cellStyle name="식_1차 본협상자료(황)_축산운영비(1116)_정읍분뇨축산_시운전비내역(산청군)" xfId="3681" xr:uid="{00000000-0005-0000-0000-0000BA190000}"/>
    <cellStyle name="식_1차 본협상자료(황)_축산운영비(1116)_정읍분뇨축산_시운전비내역(산청군)_시운전비내역(산청군)" xfId="3682" xr:uid="{00000000-0005-0000-0000-0000BB190000}"/>
    <cellStyle name="식_1차 본협상자료(황)_축산운영비(1116)_축산운영비(0117-2002년)" xfId="3683" xr:uid="{00000000-0005-0000-0000-0000BC190000}"/>
    <cellStyle name="식_1차 본협상자료(황)_축산운영비(1116)_축산운영비(0117-2002년)_시운전비내역(산청군)" xfId="3684" xr:uid="{00000000-0005-0000-0000-0000BD190000}"/>
    <cellStyle name="식_1차 본협상자료(황)_축산운영비(1116)_축산운영비(0117-2002년)_시운전비내역(산청군)_시운전비내역(산청군)" xfId="3685" xr:uid="{00000000-0005-0000-0000-0000BE190000}"/>
    <cellStyle name="식_1차 본협상자료(황)_축산운영비(1219)" xfId="3686" xr:uid="{00000000-0005-0000-0000-0000BF190000}"/>
    <cellStyle name="식_1차 본협상자료(황)_축산운영비(1219)_김제축산(365일)" xfId="3687" xr:uid="{00000000-0005-0000-0000-0000C0190000}"/>
    <cellStyle name="식_1차 본협상자료(황)_축산운영비(1219)_김제축산(365일)_시운전비내역(산청군)" xfId="3688" xr:uid="{00000000-0005-0000-0000-0000C1190000}"/>
    <cellStyle name="식_1차 본협상자료(황)_축산운영비(1219)_김제축산(365일)_시운전비내역(산청군)_시운전비내역(산청군)" xfId="3689" xr:uid="{00000000-0005-0000-0000-0000C2190000}"/>
    <cellStyle name="식_1차 본협상자료(황)_축산운영비(1219)_시운전비내역(산청군)" xfId="3690" xr:uid="{00000000-0005-0000-0000-0000C3190000}"/>
    <cellStyle name="식_1차 본협상자료(황)_축산운영비(1219)_시운전비내역(산청군)_시운전비내역(산청군)" xfId="3691" xr:uid="{00000000-0005-0000-0000-0000C4190000}"/>
    <cellStyle name="식_1차 본협상자료(황)_축산운영비(1219)_정읍분뇨축산" xfId="3692" xr:uid="{00000000-0005-0000-0000-0000C5190000}"/>
    <cellStyle name="식_1차 본협상자료(황)_축산운영비(1219)_정읍분뇨축산(365일)" xfId="3693" xr:uid="{00000000-0005-0000-0000-0000C6190000}"/>
    <cellStyle name="식_1차 본협상자료(황)_축산운영비(1219)_정읍분뇨축산(365일)_시운전비내역(산청군)" xfId="3694" xr:uid="{00000000-0005-0000-0000-0000C7190000}"/>
    <cellStyle name="식_1차 본협상자료(황)_축산운영비(1219)_정읍분뇨축산(365일)_시운전비내역(산청군)_시운전비내역(산청군)" xfId="3695" xr:uid="{00000000-0005-0000-0000-0000C8190000}"/>
    <cellStyle name="식_1차 본협상자료(황)_축산운영비(1219)_정읍분뇨축산_시운전비내역(산청군)" xfId="3696" xr:uid="{00000000-0005-0000-0000-0000C9190000}"/>
    <cellStyle name="식_1차 본협상자료(황)_축산운영비(1219)_정읍분뇨축산_시운전비내역(산청군)_시운전비내역(산청군)" xfId="3697" xr:uid="{00000000-0005-0000-0000-0000CA190000}"/>
    <cellStyle name="식_1차 본협상자료(황)_축산운영비(1219)_축산운영비(0117-2002년)" xfId="3698" xr:uid="{00000000-0005-0000-0000-0000CB190000}"/>
    <cellStyle name="식_1차 본협상자료(황)_축산운영비(1219)_축산운영비(0117-2002년)_시운전비내역(산청군)" xfId="3699" xr:uid="{00000000-0005-0000-0000-0000CC190000}"/>
    <cellStyle name="식_1차 본협상자료(황)_축산운영비(1219)_축산운영비(0117-2002년)_시운전비내역(산청군)_시운전비내역(산청군)" xfId="3700" xr:uid="{00000000-0005-0000-0000-0000CD190000}"/>
    <cellStyle name="식_Book2" xfId="3701" xr:uid="{00000000-0005-0000-0000-0000CE190000}"/>
    <cellStyle name="식_Book2_1차 본협상자료(0830)" xfId="3702" xr:uid="{00000000-0005-0000-0000-0000CF190000}"/>
    <cellStyle name="식_Book2_1차 본협상자료(0830)_김제축산(365일)" xfId="3703" xr:uid="{00000000-0005-0000-0000-0000D0190000}"/>
    <cellStyle name="식_Book2_1차 본협상자료(0830)_김제축산(365일)_시운전비내역(산청군)" xfId="3704" xr:uid="{00000000-0005-0000-0000-0000D1190000}"/>
    <cellStyle name="식_Book2_1차 본협상자료(0830)_김제축산(365일)_시운전비내역(산청군)_시운전비내역(산청군)" xfId="3705" xr:uid="{00000000-0005-0000-0000-0000D2190000}"/>
    <cellStyle name="식_Book2_1차 본협상자료(0830)_시운전비내역(산청군)" xfId="3706" xr:uid="{00000000-0005-0000-0000-0000D3190000}"/>
    <cellStyle name="식_Book2_1차 본협상자료(0830)_시운전비내역(산청군)_시운전비내역(산청군)" xfId="3707" xr:uid="{00000000-0005-0000-0000-0000D4190000}"/>
    <cellStyle name="식_Book2_1차 본협상자료(0830)_정읍분뇨축산" xfId="3708" xr:uid="{00000000-0005-0000-0000-0000D5190000}"/>
    <cellStyle name="식_Book2_1차 본협상자료(0830)_정읍분뇨축산(365일)" xfId="3709" xr:uid="{00000000-0005-0000-0000-0000D6190000}"/>
    <cellStyle name="식_Book2_1차 본협상자료(0830)_정읍분뇨축산(365일)_시운전비내역(산청군)" xfId="3710" xr:uid="{00000000-0005-0000-0000-0000D7190000}"/>
    <cellStyle name="식_Book2_1차 본협상자료(0830)_정읍분뇨축산(365일)_시운전비내역(산청군)_시운전비내역(산청군)" xfId="3711" xr:uid="{00000000-0005-0000-0000-0000D8190000}"/>
    <cellStyle name="식_Book2_1차 본협상자료(0830)_정읍분뇨축산_시운전비내역(산청군)" xfId="3712" xr:uid="{00000000-0005-0000-0000-0000D9190000}"/>
    <cellStyle name="식_Book2_1차 본협상자료(0830)_정읍분뇨축산_시운전비내역(산청군)_시운전비내역(산청군)" xfId="3713" xr:uid="{00000000-0005-0000-0000-0000DA190000}"/>
    <cellStyle name="식_Book2_1차 본협상자료(0830)_축산운영비(0117-2002년)" xfId="3714" xr:uid="{00000000-0005-0000-0000-0000DB190000}"/>
    <cellStyle name="식_Book2_1차 본협상자료(0830)_축산운영비(0117-2002년)_시운전비내역(산청군)" xfId="3715" xr:uid="{00000000-0005-0000-0000-0000DC190000}"/>
    <cellStyle name="식_Book2_1차 본협상자료(0830)_축산운영비(0117-2002년)_시운전비내역(산청군)_시운전비내역(산청군)" xfId="3716" xr:uid="{00000000-0005-0000-0000-0000DD190000}"/>
    <cellStyle name="식_Book2_1차 본협상자료(0830)_축산운영비(1116)" xfId="3717" xr:uid="{00000000-0005-0000-0000-0000DE190000}"/>
    <cellStyle name="식_Book2_1차 본협상자료(0830)_축산운영비(1116)_김제축산(365일)" xfId="3718" xr:uid="{00000000-0005-0000-0000-0000DF190000}"/>
    <cellStyle name="식_Book2_1차 본협상자료(0830)_축산운영비(1116)_김제축산(365일)_시운전비내역(산청군)" xfId="3719" xr:uid="{00000000-0005-0000-0000-0000E0190000}"/>
    <cellStyle name="식_Book2_1차 본협상자료(0830)_축산운영비(1116)_김제축산(365일)_시운전비내역(산청군)_시운전비내역(산청군)" xfId="3720" xr:uid="{00000000-0005-0000-0000-0000E1190000}"/>
    <cellStyle name="식_Book2_1차 본협상자료(0830)_축산운영비(1116)_시운전비내역(산청군)" xfId="3721" xr:uid="{00000000-0005-0000-0000-0000E2190000}"/>
    <cellStyle name="식_Book2_1차 본협상자료(0830)_축산운영비(1116)_시운전비내역(산청군)_시운전비내역(산청군)" xfId="3722" xr:uid="{00000000-0005-0000-0000-0000E3190000}"/>
    <cellStyle name="식_Book2_1차 본협상자료(0830)_축산운영비(1116)_정읍분뇨축산" xfId="3723" xr:uid="{00000000-0005-0000-0000-0000E4190000}"/>
    <cellStyle name="식_Book2_1차 본협상자료(0830)_축산운영비(1116)_정읍분뇨축산(365일)" xfId="3724" xr:uid="{00000000-0005-0000-0000-0000E5190000}"/>
    <cellStyle name="식_Book2_1차 본협상자료(0830)_축산운영비(1116)_정읍분뇨축산(365일)_시운전비내역(산청군)" xfId="3725" xr:uid="{00000000-0005-0000-0000-0000E6190000}"/>
    <cellStyle name="식_Book2_1차 본협상자료(0830)_축산운영비(1116)_정읍분뇨축산(365일)_시운전비내역(산청군)_시운전비내역(산청군)" xfId="3726" xr:uid="{00000000-0005-0000-0000-0000E7190000}"/>
    <cellStyle name="식_Book2_1차 본협상자료(0830)_축산운영비(1116)_정읍분뇨축산_시운전비내역(산청군)" xfId="3727" xr:uid="{00000000-0005-0000-0000-0000E8190000}"/>
    <cellStyle name="식_Book2_1차 본협상자료(0830)_축산운영비(1116)_정읍분뇨축산_시운전비내역(산청군)_시운전비내역(산청군)" xfId="3728" xr:uid="{00000000-0005-0000-0000-0000E9190000}"/>
    <cellStyle name="식_Book2_1차 본협상자료(0830)_축산운영비(1116)_축산운영비(0117-2002년)" xfId="3729" xr:uid="{00000000-0005-0000-0000-0000EA190000}"/>
    <cellStyle name="식_Book2_1차 본협상자료(0830)_축산운영비(1116)_축산운영비(0117-2002년)_시운전비내역(산청군)" xfId="3730" xr:uid="{00000000-0005-0000-0000-0000EB190000}"/>
    <cellStyle name="식_Book2_1차 본협상자료(0830)_축산운영비(1116)_축산운영비(0117-2002년)_시운전비내역(산청군)_시운전비내역(산청군)" xfId="3731" xr:uid="{00000000-0005-0000-0000-0000EC190000}"/>
    <cellStyle name="식_Book2_1차 본협상자료(0830)_축산운영비(1219)" xfId="3732" xr:uid="{00000000-0005-0000-0000-0000ED190000}"/>
    <cellStyle name="식_Book2_1차 본협상자료(0830)_축산운영비(1219)_김제축산(365일)" xfId="3733" xr:uid="{00000000-0005-0000-0000-0000EE190000}"/>
    <cellStyle name="식_Book2_1차 본협상자료(0830)_축산운영비(1219)_김제축산(365일)_시운전비내역(산청군)" xfId="3734" xr:uid="{00000000-0005-0000-0000-0000EF190000}"/>
    <cellStyle name="식_Book2_1차 본협상자료(0830)_축산운영비(1219)_김제축산(365일)_시운전비내역(산청군)_시운전비내역(산청군)" xfId="3735" xr:uid="{00000000-0005-0000-0000-0000F0190000}"/>
    <cellStyle name="식_Book2_1차 본협상자료(0830)_축산운영비(1219)_시운전비내역(산청군)" xfId="3736" xr:uid="{00000000-0005-0000-0000-0000F1190000}"/>
    <cellStyle name="식_Book2_1차 본협상자료(0830)_축산운영비(1219)_시운전비내역(산청군)_시운전비내역(산청군)" xfId="3737" xr:uid="{00000000-0005-0000-0000-0000F2190000}"/>
    <cellStyle name="식_Book2_1차 본협상자료(0830)_축산운영비(1219)_정읍분뇨축산" xfId="3738" xr:uid="{00000000-0005-0000-0000-0000F3190000}"/>
    <cellStyle name="식_Book2_1차 본협상자료(0830)_축산운영비(1219)_정읍분뇨축산(365일)" xfId="3739" xr:uid="{00000000-0005-0000-0000-0000F4190000}"/>
    <cellStyle name="식_Book2_1차 본협상자료(0830)_축산운영비(1219)_정읍분뇨축산(365일)_시운전비내역(산청군)" xfId="3740" xr:uid="{00000000-0005-0000-0000-0000F5190000}"/>
    <cellStyle name="식_Book2_1차 본협상자료(0830)_축산운영비(1219)_정읍분뇨축산(365일)_시운전비내역(산청군)_시운전비내역(산청군)" xfId="3741" xr:uid="{00000000-0005-0000-0000-0000F6190000}"/>
    <cellStyle name="식_Book2_1차 본협상자료(0830)_축산운영비(1219)_정읍분뇨축산_시운전비내역(산청군)" xfId="3742" xr:uid="{00000000-0005-0000-0000-0000F7190000}"/>
    <cellStyle name="식_Book2_1차 본협상자료(0830)_축산운영비(1219)_정읍분뇨축산_시운전비내역(산청군)_시운전비내역(산청군)" xfId="3743" xr:uid="{00000000-0005-0000-0000-0000F8190000}"/>
    <cellStyle name="식_Book2_1차 본협상자료(0830)_축산운영비(1219)_축산운영비(0117-2002년)" xfId="3744" xr:uid="{00000000-0005-0000-0000-0000F9190000}"/>
    <cellStyle name="식_Book2_1차 본협상자료(0830)_축산운영비(1219)_축산운영비(0117-2002년)_시운전비내역(산청군)" xfId="3745" xr:uid="{00000000-0005-0000-0000-0000FA190000}"/>
    <cellStyle name="식_Book2_1차 본협상자료(0830)_축산운영비(1219)_축산운영비(0117-2002년)_시운전비내역(산청군)_시운전비내역(산청군)" xfId="3746" xr:uid="{00000000-0005-0000-0000-0000FB190000}"/>
    <cellStyle name="식_Book2_김제축산(365일)" xfId="3747" xr:uid="{00000000-0005-0000-0000-0000FC190000}"/>
    <cellStyle name="식_Book2_김제축산(365일)_시운전비내역(산청군)" xfId="3748" xr:uid="{00000000-0005-0000-0000-0000FD190000}"/>
    <cellStyle name="식_Book2_김제축산(365일)_시운전비내역(산청군)_시운전비내역(산청군)" xfId="3749" xr:uid="{00000000-0005-0000-0000-0000FE190000}"/>
    <cellStyle name="식_Book2_시운전비내역(산청군)" xfId="3750" xr:uid="{00000000-0005-0000-0000-0000FF190000}"/>
    <cellStyle name="식_Book2_시운전비내역(산청군)_시운전비내역(산청군)" xfId="3751" xr:uid="{00000000-0005-0000-0000-0000001A0000}"/>
    <cellStyle name="식_Book2_정읍분뇨축산" xfId="3752" xr:uid="{00000000-0005-0000-0000-0000011A0000}"/>
    <cellStyle name="식_Book2_정읍분뇨축산(365일)" xfId="3753" xr:uid="{00000000-0005-0000-0000-0000021A0000}"/>
    <cellStyle name="식_Book2_정읍분뇨축산(365일)_시운전비내역(산청군)" xfId="3754" xr:uid="{00000000-0005-0000-0000-0000031A0000}"/>
    <cellStyle name="식_Book2_정읍분뇨축산(365일)_시운전비내역(산청군)_시운전비내역(산청군)" xfId="3755" xr:uid="{00000000-0005-0000-0000-0000041A0000}"/>
    <cellStyle name="식_Book2_정읍분뇨축산_시운전비내역(산청군)" xfId="3756" xr:uid="{00000000-0005-0000-0000-0000051A0000}"/>
    <cellStyle name="식_Book2_정읍분뇨축산_시운전비내역(산청군)_시운전비내역(산청군)" xfId="3757" xr:uid="{00000000-0005-0000-0000-0000061A0000}"/>
    <cellStyle name="식_Book2_축산운영비(0117-2002년)" xfId="3758" xr:uid="{00000000-0005-0000-0000-0000071A0000}"/>
    <cellStyle name="식_Book2_축산운영비(0117-2002년)_시운전비내역(산청군)" xfId="3759" xr:uid="{00000000-0005-0000-0000-0000081A0000}"/>
    <cellStyle name="식_Book2_축산운영비(0117-2002년)_시운전비내역(산청군)_시운전비내역(산청군)" xfId="3760" xr:uid="{00000000-0005-0000-0000-0000091A0000}"/>
    <cellStyle name="식_Book2_축산운영비(1116)" xfId="3761" xr:uid="{00000000-0005-0000-0000-00000A1A0000}"/>
    <cellStyle name="식_Book2_축산운영비(1116)_김제축산(365일)" xfId="3762" xr:uid="{00000000-0005-0000-0000-00000B1A0000}"/>
    <cellStyle name="식_Book2_축산운영비(1116)_김제축산(365일)_시운전비내역(산청군)" xfId="3763" xr:uid="{00000000-0005-0000-0000-00000C1A0000}"/>
    <cellStyle name="식_Book2_축산운영비(1116)_김제축산(365일)_시운전비내역(산청군)_시운전비내역(산청군)" xfId="3764" xr:uid="{00000000-0005-0000-0000-00000D1A0000}"/>
    <cellStyle name="식_Book2_축산운영비(1116)_시운전비내역(산청군)" xfId="3765" xr:uid="{00000000-0005-0000-0000-00000E1A0000}"/>
    <cellStyle name="식_Book2_축산운영비(1116)_시운전비내역(산청군)_시운전비내역(산청군)" xfId="3766" xr:uid="{00000000-0005-0000-0000-00000F1A0000}"/>
    <cellStyle name="식_Book2_축산운영비(1116)_정읍분뇨축산" xfId="3767" xr:uid="{00000000-0005-0000-0000-0000101A0000}"/>
    <cellStyle name="식_Book2_축산운영비(1116)_정읍분뇨축산(365일)" xfId="3768" xr:uid="{00000000-0005-0000-0000-0000111A0000}"/>
    <cellStyle name="식_Book2_축산운영비(1116)_정읍분뇨축산(365일)_시운전비내역(산청군)" xfId="3769" xr:uid="{00000000-0005-0000-0000-0000121A0000}"/>
    <cellStyle name="식_Book2_축산운영비(1116)_정읍분뇨축산(365일)_시운전비내역(산청군)_시운전비내역(산청군)" xfId="3770" xr:uid="{00000000-0005-0000-0000-0000131A0000}"/>
    <cellStyle name="식_Book2_축산운영비(1116)_정읍분뇨축산_시운전비내역(산청군)" xfId="3771" xr:uid="{00000000-0005-0000-0000-0000141A0000}"/>
    <cellStyle name="식_Book2_축산운영비(1116)_정읍분뇨축산_시운전비내역(산청군)_시운전비내역(산청군)" xfId="3772" xr:uid="{00000000-0005-0000-0000-0000151A0000}"/>
    <cellStyle name="식_Book2_축산운영비(1116)_축산운영비(0117-2002년)" xfId="3773" xr:uid="{00000000-0005-0000-0000-0000161A0000}"/>
    <cellStyle name="식_Book2_축산운영비(1116)_축산운영비(0117-2002년)_시운전비내역(산청군)" xfId="3774" xr:uid="{00000000-0005-0000-0000-0000171A0000}"/>
    <cellStyle name="식_Book2_축산운영비(1116)_축산운영비(0117-2002년)_시운전비내역(산청군)_시운전비내역(산청군)" xfId="3775" xr:uid="{00000000-0005-0000-0000-0000181A0000}"/>
    <cellStyle name="식_Book2_축산운영비(1219)" xfId="3776" xr:uid="{00000000-0005-0000-0000-0000191A0000}"/>
    <cellStyle name="식_Book2_축산운영비(1219)_김제축산(365일)" xfId="3777" xr:uid="{00000000-0005-0000-0000-00001A1A0000}"/>
    <cellStyle name="식_Book2_축산운영비(1219)_김제축산(365일)_시운전비내역(산청군)" xfId="3778" xr:uid="{00000000-0005-0000-0000-00001B1A0000}"/>
    <cellStyle name="식_Book2_축산운영비(1219)_김제축산(365일)_시운전비내역(산청군)_시운전비내역(산청군)" xfId="3779" xr:uid="{00000000-0005-0000-0000-00001C1A0000}"/>
    <cellStyle name="식_Book2_축산운영비(1219)_시운전비내역(산청군)" xfId="3780" xr:uid="{00000000-0005-0000-0000-00001D1A0000}"/>
    <cellStyle name="식_Book2_축산운영비(1219)_시운전비내역(산청군)_시운전비내역(산청군)" xfId="3781" xr:uid="{00000000-0005-0000-0000-00001E1A0000}"/>
    <cellStyle name="식_Book2_축산운영비(1219)_정읍분뇨축산" xfId="3782" xr:uid="{00000000-0005-0000-0000-00001F1A0000}"/>
    <cellStyle name="식_Book2_축산운영비(1219)_정읍분뇨축산(365일)" xfId="3783" xr:uid="{00000000-0005-0000-0000-0000201A0000}"/>
    <cellStyle name="식_Book2_축산운영비(1219)_정읍분뇨축산(365일)_시운전비내역(산청군)" xfId="3784" xr:uid="{00000000-0005-0000-0000-0000211A0000}"/>
    <cellStyle name="식_Book2_축산운영비(1219)_정읍분뇨축산(365일)_시운전비내역(산청군)_시운전비내역(산청군)" xfId="3785" xr:uid="{00000000-0005-0000-0000-0000221A0000}"/>
    <cellStyle name="식_Book2_축산운영비(1219)_정읍분뇨축산_시운전비내역(산청군)" xfId="3786" xr:uid="{00000000-0005-0000-0000-0000231A0000}"/>
    <cellStyle name="식_Book2_축산운영비(1219)_정읍분뇨축산_시운전비내역(산청군)_시운전비내역(산청군)" xfId="3787" xr:uid="{00000000-0005-0000-0000-0000241A0000}"/>
    <cellStyle name="식_Book2_축산운영비(1219)_축산운영비(0117-2002년)" xfId="3788" xr:uid="{00000000-0005-0000-0000-0000251A0000}"/>
    <cellStyle name="식_Book2_축산운영비(1219)_축산운영비(0117-2002년)_시운전비내역(산청군)" xfId="3789" xr:uid="{00000000-0005-0000-0000-0000261A0000}"/>
    <cellStyle name="식_Book2_축산운영비(1219)_축산운영비(0117-2002년)_시운전비내역(산청군)_시운전비내역(산청군)" xfId="3790" xr:uid="{00000000-0005-0000-0000-0000271A0000}"/>
    <cellStyle name="식_Sheet1" xfId="3791" xr:uid="{00000000-0005-0000-0000-0000281A0000}"/>
    <cellStyle name="식_Sheet1_1차 본협상자료(0830)" xfId="3792" xr:uid="{00000000-0005-0000-0000-0000291A0000}"/>
    <cellStyle name="식_Sheet1_1차 본협상자료(0830)_김제축산(365일)" xfId="3793" xr:uid="{00000000-0005-0000-0000-00002A1A0000}"/>
    <cellStyle name="식_Sheet1_1차 본협상자료(0830)_김제축산(365일)_시운전비내역(산청군)" xfId="3794" xr:uid="{00000000-0005-0000-0000-00002B1A0000}"/>
    <cellStyle name="식_Sheet1_1차 본협상자료(0830)_김제축산(365일)_시운전비내역(산청군)_시운전비내역(산청군)" xfId="3795" xr:uid="{00000000-0005-0000-0000-00002C1A0000}"/>
    <cellStyle name="식_Sheet1_1차 본협상자료(0830)_시운전비내역(산청군)" xfId="3796" xr:uid="{00000000-0005-0000-0000-00002D1A0000}"/>
    <cellStyle name="식_Sheet1_1차 본협상자료(0830)_시운전비내역(산청군)_시운전비내역(산청군)" xfId="3797" xr:uid="{00000000-0005-0000-0000-00002E1A0000}"/>
    <cellStyle name="식_Sheet1_1차 본협상자료(0830)_정읍분뇨축산" xfId="3798" xr:uid="{00000000-0005-0000-0000-00002F1A0000}"/>
    <cellStyle name="식_Sheet1_1차 본협상자료(0830)_정읍분뇨축산(365일)" xfId="3799" xr:uid="{00000000-0005-0000-0000-0000301A0000}"/>
    <cellStyle name="식_Sheet1_1차 본협상자료(0830)_정읍분뇨축산(365일)_시운전비내역(산청군)" xfId="3800" xr:uid="{00000000-0005-0000-0000-0000311A0000}"/>
    <cellStyle name="식_Sheet1_1차 본협상자료(0830)_정읍분뇨축산(365일)_시운전비내역(산청군)_시운전비내역(산청군)" xfId="3801" xr:uid="{00000000-0005-0000-0000-0000321A0000}"/>
    <cellStyle name="식_Sheet1_1차 본협상자료(0830)_정읍분뇨축산_시운전비내역(산청군)" xfId="3802" xr:uid="{00000000-0005-0000-0000-0000331A0000}"/>
    <cellStyle name="식_Sheet1_1차 본협상자료(0830)_정읍분뇨축산_시운전비내역(산청군)_시운전비내역(산청군)" xfId="3803" xr:uid="{00000000-0005-0000-0000-0000341A0000}"/>
    <cellStyle name="식_Sheet1_1차 본협상자료(0830)_축산운영비(0117-2002년)" xfId="3804" xr:uid="{00000000-0005-0000-0000-0000351A0000}"/>
    <cellStyle name="식_Sheet1_1차 본협상자료(0830)_축산운영비(0117-2002년)_시운전비내역(산청군)" xfId="3805" xr:uid="{00000000-0005-0000-0000-0000361A0000}"/>
    <cellStyle name="식_Sheet1_1차 본협상자료(0830)_축산운영비(0117-2002년)_시운전비내역(산청군)_시운전비내역(산청군)" xfId="3806" xr:uid="{00000000-0005-0000-0000-0000371A0000}"/>
    <cellStyle name="식_Sheet1_1차 본협상자료(0830)_축산운영비(1116)" xfId="3807" xr:uid="{00000000-0005-0000-0000-0000381A0000}"/>
    <cellStyle name="식_Sheet1_1차 본협상자료(0830)_축산운영비(1116)_김제축산(365일)" xfId="3808" xr:uid="{00000000-0005-0000-0000-0000391A0000}"/>
    <cellStyle name="식_Sheet1_1차 본협상자료(0830)_축산운영비(1116)_김제축산(365일)_시운전비내역(산청군)" xfId="3809" xr:uid="{00000000-0005-0000-0000-00003A1A0000}"/>
    <cellStyle name="식_Sheet1_1차 본협상자료(0830)_축산운영비(1116)_김제축산(365일)_시운전비내역(산청군)_시운전비내역(산청군)" xfId="3810" xr:uid="{00000000-0005-0000-0000-00003B1A0000}"/>
    <cellStyle name="식_Sheet1_1차 본협상자료(0830)_축산운영비(1116)_시운전비내역(산청군)" xfId="3811" xr:uid="{00000000-0005-0000-0000-00003C1A0000}"/>
    <cellStyle name="식_Sheet1_1차 본협상자료(0830)_축산운영비(1116)_시운전비내역(산청군)_시운전비내역(산청군)" xfId="3812" xr:uid="{00000000-0005-0000-0000-00003D1A0000}"/>
    <cellStyle name="식_Sheet1_1차 본협상자료(0830)_축산운영비(1116)_정읍분뇨축산" xfId="3813" xr:uid="{00000000-0005-0000-0000-00003E1A0000}"/>
    <cellStyle name="식_Sheet1_1차 본협상자료(0830)_축산운영비(1116)_정읍분뇨축산(365일)" xfId="3814" xr:uid="{00000000-0005-0000-0000-00003F1A0000}"/>
    <cellStyle name="식_Sheet1_1차 본협상자료(0830)_축산운영비(1116)_정읍분뇨축산(365일)_시운전비내역(산청군)" xfId="3815" xr:uid="{00000000-0005-0000-0000-0000401A0000}"/>
    <cellStyle name="식_Sheet1_1차 본협상자료(0830)_축산운영비(1116)_정읍분뇨축산(365일)_시운전비내역(산청군)_시운전비내역(산청군)" xfId="3816" xr:uid="{00000000-0005-0000-0000-0000411A0000}"/>
    <cellStyle name="식_Sheet1_1차 본협상자료(0830)_축산운영비(1116)_정읍분뇨축산_시운전비내역(산청군)" xfId="3817" xr:uid="{00000000-0005-0000-0000-0000421A0000}"/>
    <cellStyle name="식_Sheet1_1차 본협상자료(0830)_축산운영비(1116)_정읍분뇨축산_시운전비내역(산청군)_시운전비내역(산청군)" xfId="3818" xr:uid="{00000000-0005-0000-0000-0000431A0000}"/>
    <cellStyle name="식_Sheet1_1차 본협상자료(0830)_축산운영비(1116)_축산운영비(0117-2002년)" xfId="3819" xr:uid="{00000000-0005-0000-0000-0000441A0000}"/>
    <cellStyle name="식_Sheet1_1차 본협상자료(0830)_축산운영비(1116)_축산운영비(0117-2002년)_시운전비내역(산청군)" xfId="3820" xr:uid="{00000000-0005-0000-0000-0000451A0000}"/>
    <cellStyle name="식_Sheet1_1차 본협상자료(0830)_축산운영비(1116)_축산운영비(0117-2002년)_시운전비내역(산청군)_시운전비내역(산청군)" xfId="3821" xr:uid="{00000000-0005-0000-0000-0000461A0000}"/>
    <cellStyle name="식_Sheet1_1차 본협상자료(0830)_축산운영비(1219)" xfId="3822" xr:uid="{00000000-0005-0000-0000-0000471A0000}"/>
    <cellStyle name="식_Sheet1_1차 본협상자료(0830)_축산운영비(1219)_김제축산(365일)" xfId="3823" xr:uid="{00000000-0005-0000-0000-0000481A0000}"/>
    <cellStyle name="식_Sheet1_1차 본협상자료(0830)_축산운영비(1219)_김제축산(365일)_시운전비내역(산청군)" xfId="3824" xr:uid="{00000000-0005-0000-0000-0000491A0000}"/>
    <cellStyle name="식_Sheet1_1차 본협상자료(0830)_축산운영비(1219)_김제축산(365일)_시운전비내역(산청군)_시운전비내역(산청군)" xfId="3825" xr:uid="{00000000-0005-0000-0000-00004A1A0000}"/>
    <cellStyle name="식_Sheet1_1차 본협상자료(0830)_축산운영비(1219)_시운전비내역(산청군)" xfId="3826" xr:uid="{00000000-0005-0000-0000-00004B1A0000}"/>
    <cellStyle name="식_Sheet1_1차 본협상자료(0830)_축산운영비(1219)_시운전비내역(산청군)_시운전비내역(산청군)" xfId="3827" xr:uid="{00000000-0005-0000-0000-00004C1A0000}"/>
    <cellStyle name="식_Sheet1_1차 본협상자료(0830)_축산운영비(1219)_정읍분뇨축산" xfId="3828" xr:uid="{00000000-0005-0000-0000-00004D1A0000}"/>
    <cellStyle name="식_Sheet1_1차 본협상자료(0830)_축산운영비(1219)_정읍분뇨축산(365일)" xfId="3829" xr:uid="{00000000-0005-0000-0000-00004E1A0000}"/>
    <cellStyle name="식_Sheet1_1차 본협상자료(0830)_축산운영비(1219)_정읍분뇨축산(365일)_시운전비내역(산청군)" xfId="3830" xr:uid="{00000000-0005-0000-0000-00004F1A0000}"/>
    <cellStyle name="식_Sheet1_1차 본협상자료(0830)_축산운영비(1219)_정읍분뇨축산(365일)_시운전비내역(산청군)_시운전비내역(산청군)" xfId="3831" xr:uid="{00000000-0005-0000-0000-0000501A0000}"/>
    <cellStyle name="식_Sheet1_1차 본협상자료(0830)_축산운영비(1219)_정읍분뇨축산_시운전비내역(산청군)" xfId="3832" xr:uid="{00000000-0005-0000-0000-0000511A0000}"/>
    <cellStyle name="식_Sheet1_1차 본협상자료(0830)_축산운영비(1219)_정읍분뇨축산_시운전비내역(산청군)_시운전비내역(산청군)" xfId="3833" xr:uid="{00000000-0005-0000-0000-0000521A0000}"/>
    <cellStyle name="식_Sheet1_1차 본협상자료(0830)_축산운영비(1219)_축산운영비(0117-2002년)" xfId="3834" xr:uid="{00000000-0005-0000-0000-0000531A0000}"/>
    <cellStyle name="식_Sheet1_1차 본협상자료(0830)_축산운영비(1219)_축산운영비(0117-2002년)_시운전비내역(산청군)" xfId="3835" xr:uid="{00000000-0005-0000-0000-0000541A0000}"/>
    <cellStyle name="식_Sheet1_1차 본협상자료(0830)_축산운영비(1219)_축산운영비(0117-2002년)_시운전비내역(산청군)_시운전비내역(산청군)" xfId="3836" xr:uid="{00000000-0005-0000-0000-0000551A0000}"/>
    <cellStyle name="식_Sheet1_김제축산(365일)" xfId="3837" xr:uid="{00000000-0005-0000-0000-0000561A0000}"/>
    <cellStyle name="식_Sheet1_김제축산(365일)_시운전비내역(산청군)" xfId="3838" xr:uid="{00000000-0005-0000-0000-0000571A0000}"/>
    <cellStyle name="식_Sheet1_김제축산(365일)_시운전비내역(산청군)_시운전비내역(산청군)" xfId="3839" xr:uid="{00000000-0005-0000-0000-0000581A0000}"/>
    <cellStyle name="식_Sheet1_시운전비내역(산청군)" xfId="3840" xr:uid="{00000000-0005-0000-0000-0000591A0000}"/>
    <cellStyle name="식_Sheet1_시운전비내역(산청군)_시운전비내역(산청군)" xfId="3841" xr:uid="{00000000-0005-0000-0000-00005A1A0000}"/>
    <cellStyle name="식_Sheet1_정읍분뇨축산" xfId="3842" xr:uid="{00000000-0005-0000-0000-00005B1A0000}"/>
    <cellStyle name="식_Sheet1_정읍분뇨축산(365일)" xfId="3843" xr:uid="{00000000-0005-0000-0000-00005C1A0000}"/>
    <cellStyle name="식_Sheet1_정읍분뇨축산(365일)_시운전비내역(산청군)" xfId="3844" xr:uid="{00000000-0005-0000-0000-00005D1A0000}"/>
    <cellStyle name="식_Sheet1_정읍분뇨축산(365일)_시운전비내역(산청군)_시운전비내역(산청군)" xfId="3845" xr:uid="{00000000-0005-0000-0000-00005E1A0000}"/>
    <cellStyle name="식_Sheet1_정읍분뇨축산_시운전비내역(산청군)" xfId="3846" xr:uid="{00000000-0005-0000-0000-00005F1A0000}"/>
    <cellStyle name="식_Sheet1_정읍분뇨축산_시운전비내역(산청군)_시운전비내역(산청군)" xfId="3847" xr:uid="{00000000-0005-0000-0000-0000601A0000}"/>
    <cellStyle name="식_Sheet1_축산운영비(0117-2002년)" xfId="3848" xr:uid="{00000000-0005-0000-0000-0000611A0000}"/>
    <cellStyle name="식_Sheet1_축산운영비(0117-2002년)_시운전비내역(산청군)" xfId="3849" xr:uid="{00000000-0005-0000-0000-0000621A0000}"/>
    <cellStyle name="식_Sheet1_축산운영비(0117-2002년)_시운전비내역(산청군)_시운전비내역(산청군)" xfId="3850" xr:uid="{00000000-0005-0000-0000-0000631A0000}"/>
    <cellStyle name="식_Sheet1_축산운영비(1116)" xfId="3851" xr:uid="{00000000-0005-0000-0000-0000641A0000}"/>
    <cellStyle name="식_Sheet1_축산운영비(1116)_김제축산(365일)" xfId="3852" xr:uid="{00000000-0005-0000-0000-0000651A0000}"/>
    <cellStyle name="식_Sheet1_축산운영비(1116)_김제축산(365일)_시운전비내역(산청군)" xfId="3853" xr:uid="{00000000-0005-0000-0000-0000661A0000}"/>
    <cellStyle name="식_Sheet1_축산운영비(1116)_김제축산(365일)_시운전비내역(산청군)_시운전비내역(산청군)" xfId="3854" xr:uid="{00000000-0005-0000-0000-0000671A0000}"/>
    <cellStyle name="식_Sheet1_축산운영비(1116)_시운전비내역(산청군)" xfId="3855" xr:uid="{00000000-0005-0000-0000-0000681A0000}"/>
    <cellStyle name="식_Sheet1_축산운영비(1116)_시운전비내역(산청군)_시운전비내역(산청군)" xfId="3856" xr:uid="{00000000-0005-0000-0000-0000691A0000}"/>
    <cellStyle name="식_Sheet1_축산운영비(1116)_정읍분뇨축산" xfId="3857" xr:uid="{00000000-0005-0000-0000-00006A1A0000}"/>
    <cellStyle name="식_Sheet1_축산운영비(1116)_정읍분뇨축산(365일)" xfId="3858" xr:uid="{00000000-0005-0000-0000-00006B1A0000}"/>
    <cellStyle name="식_Sheet1_축산운영비(1116)_정읍분뇨축산(365일)_시운전비내역(산청군)" xfId="3859" xr:uid="{00000000-0005-0000-0000-00006C1A0000}"/>
    <cellStyle name="식_Sheet1_축산운영비(1116)_정읍분뇨축산(365일)_시운전비내역(산청군)_시운전비내역(산청군)" xfId="3860" xr:uid="{00000000-0005-0000-0000-00006D1A0000}"/>
    <cellStyle name="식_Sheet1_축산운영비(1116)_정읍분뇨축산_시운전비내역(산청군)" xfId="3861" xr:uid="{00000000-0005-0000-0000-00006E1A0000}"/>
    <cellStyle name="식_Sheet1_축산운영비(1116)_정읍분뇨축산_시운전비내역(산청군)_시운전비내역(산청군)" xfId="3862" xr:uid="{00000000-0005-0000-0000-00006F1A0000}"/>
    <cellStyle name="식_Sheet1_축산운영비(1116)_축산운영비(0117-2002년)" xfId="3863" xr:uid="{00000000-0005-0000-0000-0000701A0000}"/>
    <cellStyle name="식_Sheet1_축산운영비(1116)_축산운영비(0117-2002년)_시운전비내역(산청군)" xfId="3864" xr:uid="{00000000-0005-0000-0000-0000711A0000}"/>
    <cellStyle name="식_Sheet1_축산운영비(1116)_축산운영비(0117-2002년)_시운전비내역(산청군)_시운전비내역(산청군)" xfId="3865" xr:uid="{00000000-0005-0000-0000-0000721A0000}"/>
    <cellStyle name="식_Sheet1_축산운영비(1219)" xfId="3866" xr:uid="{00000000-0005-0000-0000-0000731A0000}"/>
    <cellStyle name="식_Sheet1_축산운영비(1219)_김제축산(365일)" xfId="3867" xr:uid="{00000000-0005-0000-0000-0000741A0000}"/>
    <cellStyle name="식_Sheet1_축산운영비(1219)_김제축산(365일)_시운전비내역(산청군)" xfId="3868" xr:uid="{00000000-0005-0000-0000-0000751A0000}"/>
    <cellStyle name="식_Sheet1_축산운영비(1219)_김제축산(365일)_시운전비내역(산청군)_시운전비내역(산청군)" xfId="3869" xr:uid="{00000000-0005-0000-0000-0000761A0000}"/>
    <cellStyle name="식_Sheet1_축산운영비(1219)_시운전비내역(산청군)" xfId="3870" xr:uid="{00000000-0005-0000-0000-0000771A0000}"/>
    <cellStyle name="식_Sheet1_축산운영비(1219)_시운전비내역(산청군)_시운전비내역(산청군)" xfId="3871" xr:uid="{00000000-0005-0000-0000-0000781A0000}"/>
    <cellStyle name="식_Sheet1_축산운영비(1219)_정읍분뇨축산" xfId="3872" xr:uid="{00000000-0005-0000-0000-0000791A0000}"/>
    <cellStyle name="식_Sheet1_축산운영비(1219)_정읍분뇨축산(365일)" xfId="3873" xr:uid="{00000000-0005-0000-0000-00007A1A0000}"/>
    <cellStyle name="식_Sheet1_축산운영비(1219)_정읍분뇨축산(365일)_시운전비내역(산청군)" xfId="3874" xr:uid="{00000000-0005-0000-0000-00007B1A0000}"/>
    <cellStyle name="식_Sheet1_축산운영비(1219)_정읍분뇨축산(365일)_시운전비내역(산청군)_시운전비내역(산청군)" xfId="3875" xr:uid="{00000000-0005-0000-0000-00007C1A0000}"/>
    <cellStyle name="식_Sheet1_축산운영비(1219)_정읍분뇨축산_시운전비내역(산청군)" xfId="3876" xr:uid="{00000000-0005-0000-0000-00007D1A0000}"/>
    <cellStyle name="식_Sheet1_축산운영비(1219)_정읍분뇨축산_시운전비내역(산청군)_시운전비내역(산청군)" xfId="3877" xr:uid="{00000000-0005-0000-0000-00007E1A0000}"/>
    <cellStyle name="식_Sheet1_축산운영비(1219)_축산운영비(0117-2002년)" xfId="3878" xr:uid="{00000000-0005-0000-0000-00007F1A0000}"/>
    <cellStyle name="식_Sheet1_축산운영비(1219)_축산운영비(0117-2002년)_시운전비내역(산청군)" xfId="3879" xr:uid="{00000000-0005-0000-0000-0000801A0000}"/>
    <cellStyle name="식_Sheet1_축산운영비(1219)_축산운영비(0117-2002년)_시운전비내역(산청군)_시운전비내역(산청군)" xfId="3880" xr:uid="{00000000-0005-0000-0000-0000811A0000}"/>
    <cellStyle name="식_김제축산(365일)" xfId="3881" xr:uid="{00000000-0005-0000-0000-0000821A0000}"/>
    <cellStyle name="식_김제축산(365일)_시운전비내역(산청군)" xfId="3882" xr:uid="{00000000-0005-0000-0000-0000831A0000}"/>
    <cellStyle name="식_김제축산(365일)_시운전비내역(산청군)_시운전비내역(산청군)" xfId="3883" xr:uid="{00000000-0005-0000-0000-0000841A0000}"/>
    <cellStyle name="식_붙임6" xfId="3884" xr:uid="{00000000-0005-0000-0000-0000851A0000}"/>
    <cellStyle name="식_붙임6_1차 본협상자료(0830)" xfId="3885" xr:uid="{00000000-0005-0000-0000-0000861A0000}"/>
    <cellStyle name="식_붙임6_1차 본협상자료(0830)_김제축산(365일)" xfId="3886" xr:uid="{00000000-0005-0000-0000-0000871A0000}"/>
    <cellStyle name="식_붙임6_1차 본협상자료(0830)_김제축산(365일)_시운전비내역(산청군)" xfId="3887" xr:uid="{00000000-0005-0000-0000-0000881A0000}"/>
    <cellStyle name="식_붙임6_1차 본협상자료(0830)_김제축산(365일)_시운전비내역(산청군)_시운전비내역(산청군)" xfId="3888" xr:uid="{00000000-0005-0000-0000-0000891A0000}"/>
    <cellStyle name="식_붙임6_1차 본협상자료(0830)_시운전비내역(산청군)" xfId="3889" xr:uid="{00000000-0005-0000-0000-00008A1A0000}"/>
    <cellStyle name="식_붙임6_1차 본협상자료(0830)_시운전비내역(산청군)_시운전비내역(산청군)" xfId="3890" xr:uid="{00000000-0005-0000-0000-00008B1A0000}"/>
    <cellStyle name="식_붙임6_1차 본협상자료(0830)_정읍분뇨축산" xfId="3891" xr:uid="{00000000-0005-0000-0000-00008C1A0000}"/>
    <cellStyle name="식_붙임6_1차 본협상자료(0830)_정읍분뇨축산(365일)" xfId="3892" xr:uid="{00000000-0005-0000-0000-00008D1A0000}"/>
    <cellStyle name="식_붙임6_1차 본협상자료(0830)_정읍분뇨축산(365일)_시운전비내역(산청군)" xfId="3893" xr:uid="{00000000-0005-0000-0000-00008E1A0000}"/>
    <cellStyle name="식_붙임6_1차 본협상자료(0830)_정읍분뇨축산(365일)_시운전비내역(산청군)_시운전비내역(산청군)" xfId="3894" xr:uid="{00000000-0005-0000-0000-00008F1A0000}"/>
    <cellStyle name="식_붙임6_1차 본협상자료(0830)_정읍분뇨축산_시운전비내역(산청군)" xfId="3895" xr:uid="{00000000-0005-0000-0000-0000901A0000}"/>
    <cellStyle name="식_붙임6_1차 본협상자료(0830)_정읍분뇨축산_시운전비내역(산청군)_시운전비내역(산청군)" xfId="3896" xr:uid="{00000000-0005-0000-0000-0000911A0000}"/>
    <cellStyle name="식_붙임6_1차 본협상자료(0830)_축산운영비(0117-2002년)" xfId="3897" xr:uid="{00000000-0005-0000-0000-0000921A0000}"/>
    <cellStyle name="식_붙임6_1차 본협상자료(0830)_축산운영비(0117-2002년)_시운전비내역(산청군)" xfId="3898" xr:uid="{00000000-0005-0000-0000-0000931A0000}"/>
    <cellStyle name="식_붙임6_1차 본협상자료(0830)_축산운영비(0117-2002년)_시운전비내역(산청군)_시운전비내역(산청군)" xfId="3899" xr:uid="{00000000-0005-0000-0000-0000941A0000}"/>
    <cellStyle name="식_붙임6_1차 본협상자료(0830)_축산운영비(1116)" xfId="3900" xr:uid="{00000000-0005-0000-0000-0000951A0000}"/>
    <cellStyle name="식_붙임6_1차 본협상자료(0830)_축산운영비(1116)_김제축산(365일)" xfId="3901" xr:uid="{00000000-0005-0000-0000-0000961A0000}"/>
    <cellStyle name="식_붙임6_1차 본협상자료(0830)_축산운영비(1116)_김제축산(365일)_시운전비내역(산청군)" xfId="3902" xr:uid="{00000000-0005-0000-0000-0000971A0000}"/>
    <cellStyle name="식_붙임6_1차 본협상자료(0830)_축산운영비(1116)_김제축산(365일)_시운전비내역(산청군)_시운전비내역(산청군)" xfId="3903" xr:uid="{00000000-0005-0000-0000-0000981A0000}"/>
    <cellStyle name="식_붙임6_1차 본협상자료(0830)_축산운영비(1116)_시운전비내역(산청군)" xfId="3904" xr:uid="{00000000-0005-0000-0000-0000991A0000}"/>
    <cellStyle name="식_붙임6_1차 본협상자료(0830)_축산운영비(1116)_시운전비내역(산청군)_시운전비내역(산청군)" xfId="3905" xr:uid="{00000000-0005-0000-0000-00009A1A0000}"/>
    <cellStyle name="식_붙임6_1차 본협상자료(0830)_축산운영비(1116)_정읍분뇨축산" xfId="3906" xr:uid="{00000000-0005-0000-0000-00009B1A0000}"/>
    <cellStyle name="식_붙임6_1차 본협상자료(0830)_축산운영비(1116)_정읍분뇨축산(365일)" xfId="3907" xr:uid="{00000000-0005-0000-0000-00009C1A0000}"/>
    <cellStyle name="식_붙임6_1차 본협상자료(0830)_축산운영비(1116)_정읍분뇨축산(365일)_시운전비내역(산청군)" xfId="3908" xr:uid="{00000000-0005-0000-0000-00009D1A0000}"/>
    <cellStyle name="식_붙임6_1차 본협상자료(0830)_축산운영비(1116)_정읍분뇨축산(365일)_시운전비내역(산청군)_시운전비내역(산청군)" xfId="3909" xr:uid="{00000000-0005-0000-0000-00009E1A0000}"/>
    <cellStyle name="식_붙임6_1차 본협상자료(0830)_축산운영비(1116)_정읍분뇨축산_시운전비내역(산청군)" xfId="3910" xr:uid="{00000000-0005-0000-0000-00009F1A0000}"/>
    <cellStyle name="식_붙임6_1차 본협상자료(0830)_축산운영비(1116)_정읍분뇨축산_시운전비내역(산청군)_시운전비내역(산청군)" xfId="3911" xr:uid="{00000000-0005-0000-0000-0000A01A0000}"/>
    <cellStyle name="식_붙임6_1차 본협상자료(0830)_축산운영비(1116)_축산운영비(0117-2002년)" xfId="3912" xr:uid="{00000000-0005-0000-0000-0000A11A0000}"/>
    <cellStyle name="식_붙임6_1차 본협상자료(0830)_축산운영비(1116)_축산운영비(0117-2002년)_시운전비내역(산청군)" xfId="3913" xr:uid="{00000000-0005-0000-0000-0000A21A0000}"/>
    <cellStyle name="식_붙임6_1차 본협상자료(0830)_축산운영비(1116)_축산운영비(0117-2002년)_시운전비내역(산청군)_시운전비내역(산청군)" xfId="3914" xr:uid="{00000000-0005-0000-0000-0000A31A0000}"/>
    <cellStyle name="식_붙임6_1차 본협상자료(0830)_축산운영비(1219)" xfId="3915" xr:uid="{00000000-0005-0000-0000-0000A41A0000}"/>
    <cellStyle name="식_붙임6_1차 본협상자료(0830)_축산운영비(1219)_김제축산(365일)" xfId="3916" xr:uid="{00000000-0005-0000-0000-0000A51A0000}"/>
    <cellStyle name="식_붙임6_1차 본협상자료(0830)_축산운영비(1219)_김제축산(365일)_시운전비내역(산청군)" xfId="3917" xr:uid="{00000000-0005-0000-0000-0000A61A0000}"/>
    <cellStyle name="식_붙임6_1차 본협상자료(0830)_축산운영비(1219)_김제축산(365일)_시운전비내역(산청군)_시운전비내역(산청군)" xfId="3918" xr:uid="{00000000-0005-0000-0000-0000A71A0000}"/>
    <cellStyle name="식_붙임6_1차 본협상자료(0830)_축산운영비(1219)_시운전비내역(산청군)" xfId="3919" xr:uid="{00000000-0005-0000-0000-0000A81A0000}"/>
    <cellStyle name="식_붙임6_1차 본협상자료(0830)_축산운영비(1219)_시운전비내역(산청군)_시운전비내역(산청군)" xfId="3920" xr:uid="{00000000-0005-0000-0000-0000A91A0000}"/>
    <cellStyle name="식_붙임6_1차 본협상자료(0830)_축산운영비(1219)_정읍분뇨축산" xfId="3921" xr:uid="{00000000-0005-0000-0000-0000AA1A0000}"/>
    <cellStyle name="식_붙임6_1차 본협상자료(0830)_축산운영비(1219)_정읍분뇨축산(365일)" xfId="3922" xr:uid="{00000000-0005-0000-0000-0000AB1A0000}"/>
    <cellStyle name="식_붙임6_1차 본협상자료(0830)_축산운영비(1219)_정읍분뇨축산(365일)_시운전비내역(산청군)" xfId="3923" xr:uid="{00000000-0005-0000-0000-0000AC1A0000}"/>
    <cellStyle name="식_붙임6_1차 본협상자료(0830)_축산운영비(1219)_정읍분뇨축산(365일)_시운전비내역(산청군)_시운전비내역(산청군)" xfId="3924" xr:uid="{00000000-0005-0000-0000-0000AD1A0000}"/>
    <cellStyle name="식_붙임6_1차 본협상자료(0830)_축산운영비(1219)_정읍분뇨축산_시운전비내역(산청군)" xfId="3925" xr:uid="{00000000-0005-0000-0000-0000AE1A0000}"/>
    <cellStyle name="식_붙임6_1차 본협상자료(0830)_축산운영비(1219)_정읍분뇨축산_시운전비내역(산청군)_시운전비내역(산청군)" xfId="3926" xr:uid="{00000000-0005-0000-0000-0000AF1A0000}"/>
    <cellStyle name="식_붙임6_1차 본협상자료(0830)_축산운영비(1219)_축산운영비(0117-2002년)" xfId="3927" xr:uid="{00000000-0005-0000-0000-0000B01A0000}"/>
    <cellStyle name="식_붙임6_1차 본협상자료(0830)_축산운영비(1219)_축산운영비(0117-2002년)_시운전비내역(산청군)" xfId="3928" xr:uid="{00000000-0005-0000-0000-0000B11A0000}"/>
    <cellStyle name="식_붙임6_1차 본협상자료(0830)_축산운영비(1219)_축산운영비(0117-2002년)_시운전비내역(산청군)_시운전비내역(산청군)" xfId="3929" xr:uid="{00000000-0005-0000-0000-0000B21A0000}"/>
    <cellStyle name="식_붙임6_김제축산(365일)" xfId="3930" xr:uid="{00000000-0005-0000-0000-0000B31A0000}"/>
    <cellStyle name="식_붙임6_김제축산(365일)_시운전비내역(산청군)" xfId="3931" xr:uid="{00000000-0005-0000-0000-0000B41A0000}"/>
    <cellStyle name="식_붙임6_김제축산(365일)_시운전비내역(산청군)_시운전비내역(산청군)" xfId="3932" xr:uid="{00000000-0005-0000-0000-0000B51A0000}"/>
    <cellStyle name="식_붙임6_시운전비내역(산청군)" xfId="3933" xr:uid="{00000000-0005-0000-0000-0000B61A0000}"/>
    <cellStyle name="식_붙임6_시운전비내역(산청군)_시운전비내역(산청군)" xfId="3934" xr:uid="{00000000-0005-0000-0000-0000B71A0000}"/>
    <cellStyle name="식_붙임6_정읍분뇨축산" xfId="3935" xr:uid="{00000000-0005-0000-0000-0000B81A0000}"/>
    <cellStyle name="식_붙임6_정읍분뇨축산(365일)" xfId="3936" xr:uid="{00000000-0005-0000-0000-0000B91A0000}"/>
    <cellStyle name="식_붙임6_정읍분뇨축산(365일)_시운전비내역(산청군)" xfId="3937" xr:uid="{00000000-0005-0000-0000-0000BA1A0000}"/>
    <cellStyle name="식_붙임6_정읍분뇨축산(365일)_시운전비내역(산청군)_시운전비내역(산청군)" xfId="3938" xr:uid="{00000000-0005-0000-0000-0000BB1A0000}"/>
    <cellStyle name="식_붙임6_정읍분뇨축산_시운전비내역(산청군)" xfId="3939" xr:uid="{00000000-0005-0000-0000-0000BC1A0000}"/>
    <cellStyle name="식_붙임6_정읍분뇨축산_시운전비내역(산청군)_시운전비내역(산청군)" xfId="3940" xr:uid="{00000000-0005-0000-0000-0000BD1A0000}"/>
    <cellStyle name="식_붙임6_축산운영비(0117-2002년)" xfId="3941" xr:uid="{00000000-0005-0000-0000-0000BE1A0000}"/>
    <cellStyle name="식_붙임6_축산운영비(0117-2002년)_시운전비내역(산청군)" xfId="3942" xr:uid="{00000000-0005-0000-0000-0000BF1A0000}"/>
    <cellStyle name="식_붙임6_축산운영비(0117-2002년)_시운전비내역(산청군)_시운전비내역(산청군)" xfId="3943" xr:uid="{00000000-0005-0000-0000-0000C01A0000}"/>
    <cellStyle name="식_붙임6_축산운영비(1116)" xfId="3944" xr:uid="{00000000-0005-0000-0000-0000C11A0000}"/>
    <cellStyle name="식_붙임6_축산운영비(1116)_김제축산(365일)" xfId="3945" xr:uid="{00000000-0005-0000-0000-0000C21A0000}"/>
    <cellStyle name="식_붙임6_축산운영비(1116)_김제축산(365일)_시운전비내역(산청군)" xfId="3946" xr:uid="{00000000-0005-0000-0000-0000C31A0000}"/>
    <cellStyle name="식_붙임6_축산운영비(1116)_김제축산(365일)_시운전비내역(산청군)_시운전비내역(산청군)" xfId="3947" xr:uid="{00000000-0005-0000-0000-0000C41A0000}"/>
    <cellStyle name="식_붙임6_축산운영비(1116)_시운전비내역(산청군)" xfId="3948" xr:uid="{00000000-0005-0000-0000-0000C51A0000}"/>
    <cellStyle name="식_붙임6_축산운영비(1116)_시운전비내역(산청군)_시운전비내역(산청군)" xfId="3949" xr:uid="{00000000-0005-0000-0000-0000C61A0000}"/>
    <cellStyle name="식_붙임6_축산운영비(1116)_정읍분뇨축산" xfId="3950" xr:uid="{00000000-0005-0000-0000-0000C71A0000}"/>
    <cellStyle name="식_붙임6_축산운영비(1116)_정읍분뇨축산(365일)" xfId="3951" xr:uid="{00000000-0005-0000-0000-0000C81A0000}"/>
    <cellStyle name="식_붙임6_축산운영비(1116)_정읍분뇨축산(365일)_시운전비내역(산청군)" xfId="3952" xr:uid="{00000000-0005-0000-0000-0000C91A0000}"/>
    <cellStyle name="식_붙임6_축산운영비(1116)_정읍분뇨축산(365일)_시운전비내역(산청군)_시운전비내역(산청군)" xfId="3953" xr:uid="{00000000-0005-0000-0000-0000CA1A0000}"/>
    <cellStyle name="식_붙임6_축산운영비(1116)_정읍분뇨축산_시운전비내역(산청군)" xfId="3954" xr:uid="{00000000-0005-0000-0000-0000CB1A0000}"/>
    <cellStyle name="식_붙임6_축산운영비(1116)_정읍분뇨축산_시운전비내역(산청군)_시운전비내역(산청군)" xfId="3955" xr:uid="{00000000-0005-0000-0000-0000CC1A0000}"/>
    <cellStyle name="식_붙임6_축산운영비(1116)_축산운영비(0117-2002년)" xfId="3956" xr:uid="{00000000-0005-0000-0000-0000CD1A0000}"/>
    <cellStyle name="식_붙임6_축산운영비(1116)_축산운영비(0117-2002년)_시운전비내역(산청군)" xfId="3957" xr:uid="{00000000-0005-0000-0000-0000CE1A0000}"/>
    <cellStyle name="식_붙임6_축산운영비(1116)_축산운영비(0117-2002년)_시운전비내역(산청군)_시운전비내역(산청군)" xfId="3958" xr:uid="{00000000-0005-0000-0000-0000CF1A0000}"/>
    <cellStyle name="식_붙임6_축산운영비(1219)" xfId="3959" xr:uid="{00000000-0005-0000-0000-0000D01A0000}"/>
    <cellStyle name="식_붙임6_축산운영비(1219)_김제축산(365일)" xfId="3960" xr:uid="{00000000-0005-0000-0000-0000D11A0000}"/>
    <cellStyle name="식_붙임6_축산운영비(1219)_김제축산(365일)_시운전비내역(산청군)" xfId="3961" xr:uid="{00000000-0005-0000-0000-0000D21A0000}"/>
    <cellStyle name="식_붙임6_축산운영비(1219)_김제축산(365일)_시운전비내역(산청군)_시운전비내역(산청군)" xfId="3962" xr:uid="{00000000-0005-0000-0000-0000D31A0000}"/>
    <cellStyle name="식_붙임6_축산운영비(1219)_시운전비내역(산청군)" xfId="3963" xr:uid="{00000000-0005-0000-0000-0000D41A0000}"/>
    <cellStyle name="식_붙임6_축산운영비(1219)_시운전비내역(산청군)_시운전비내역(산청군)" xfId="3964" xr:uid="{00000000-0005-0000-0000-0000D51A0000}"/>
    <cellStyle name="식_붙임6_축산운영비(1219)_정읍분뇨축산" xfId="3965" xr:uid="{00000000-0005-0000-0000-0000D61A0000}"/>
    <cellStyle name="식_붙임6_축산운영비(1219)_정읍분뇨축산(365일)" xfId="3966" xr:uid="{00000000-0005-0000-0000-0000D71A0000}"/>
    <cellStyle name="식_붙임6_축산운영비(1219)_정읍분뇨축산(365일)_시운전비내역(산청군)" xfId="3967" xr:uid="{00000000-0005-0000-0000-0000D81A0000}"/>
    <cellStyle name="식_붙임6_축산운영비(1219)_정읍분뇨축산(365일)_시운전비내역(산청군)_시운전비내역(산청군)" xfId="3968" xr:uid="{00000000-0005-0000-0000-0000D91A0000}"/>
    <cellStyle name="식_붙임6_축산운영비(1219)_정읍분뇨축산_시운전비내역(산청군)" xfId="3969" xr:uid="{00000000-0005-0000-0000-0000DA1A0000}"/>
    <cellStyle name="식_붙임6_축산운영비(1219)_정읍분뇨축산_시운전비내역(산청군)_시운전비내역(산청군)" xfId="3970" xr:uid="{00000000-0005-0000-0000-0000DB1A0000}"/>
    <cellStyle name="식_붙임6_축산운영비(1219)_축산운영비(0117-2002년)" xfId="3971" xr:uid="{00000000-0005-0000-0000-0000DC1A0000}"/>
    <cellStyle name="식_붙임6_축산운영비(1219)_축산운영비(0117-2002년)_시운전비내역(산청군)" xfId="3972" xr:uid="{00000000-0005-0000-0000-0000DD1A0000}"/>
    <cellStyle name="식_붙임6_축산운영비(1219)_축산운영비(0117-2002년)_시운전비내역(산청군)_시운전비내역(산청군)" xfId="3973" xr:uid="{00000000-0005-0000-0000-0000DE1A0000}"/>
    <cellStyle name="식_시운전비내역(산청군)" xfId="3974" xr:uid="{00000000-0005-0000-0000-0000DF1A0000}"/>
    <cellStyle name="식_시운전비내역(산청군)_시운전비내역(산청군)" xfId="3975" xr:uid="{00000000-0005-0000-0000-0000E01A0000}"/>
    <cellStyle name="식_정읍분뇨축산" xfId="3976" xr:uid="{00000000-0005-0000-0000-0000E11A0000}"/>
    <cellStyle name="식_정읍분뇨축산(365일)" xfId="3977" xr:uid="{00000000-0005-0000-0000-0000E21A0000}"/>
    <cellStyle name="식_정읍분뇨축산(365일)_시운전비내역(산청군)" xfId="3978" xr:uid="{00000000-0005-0000-0000-0000E31A0000}"/>
    <cellStyle name="식_정읍분뇨축산(365일)_시운전비내역(산청군)_시운전비내역(산청군)" xfId="3979" xr:uid="{00000000-0005-0000-0000-0000E41A0000}"/>
    <cellStyle name="식_정읍분뇨축산_시운전비내역(산청군)" xfId="3980" xr:uid="{00000000-0005-0000-0000-0000E51A0000}"/>
    <cellStyle name="식_정읍분뇨축산_시운전비내역(산청군)_시운전비내역(산청군)" xfId="3981" xr:uid="{00000000-0005-0000-0000-0000E61A0000}"/>
    <cellStyle name="식_축산운영비(0117-2002년)" xfId="3982" xr:uid="{00000000-0005-0000-0000-0000E71A0000}"/>
    <cellStyle name="식_축산운영비(0117-2002년)_시운전비내역(산청군)" xfId="3983" xr:uid="{00000000-0005-0000-0000-0000E81A0000}"/>
    <cellStyle name="식_축산운영비(0117-2002년)_시운전비내역(산청군)_시운전비내역(산청군)" xfId="3984" xr:uid="{00000000-0005-0000-0000-0000E91A0000}"/>
    <cellStyle name="식_축산운영비(1116)" xfId="3985" xr:uid="{00000000-0005-0000-0000-0000EA1A0000}"/>
    <cellStyle name="식_축산운영비(1116)_김제축산(365일)" xfId="3986" xr:uid="{00000000-0005-0000-0000-0000EB1A0000}"/>
    <cellStyle name="식_축산운영비(1116)_김제축산(365일)_시운전비내역(산청군)" xfId="3987" xr:uid="{00000000-0005-0000-0000-0000EC1A0000}"/>
    <cellStyle name="식_축산운영비(1116)_김제축산(365일)_시운전비내역(산청군)_시운전비내역(산청군)" xfId="3988" xr:uid="{00000000-0005-0000-0000-0000ED1A0000}"/>
    <cellStyle name="식_축산운영비(1116)_시운전비내역(산청군)" xfId="3989" xr:uid="{00000000-0005-0000-0000-0000EE1A0000}"/>
    <cellStyle name="식_축산운영비(1116)_시운전비내역(산청군)_시운전비내역(산청군)" xfId="3990" xr:uid="{00000000-0005-0000-0000-0000EF1A0000}"/>
    <cellStyle name="식_축산운영비(1116)_정읍분뇨축산" xfId="3991" xr:uid="{00000000-0005-0000-0000-0000F01A0000}"/>
    <cellStyle name="식_축산운영비(1116)_정읍분뇨축산(365일)" xfId="3992" xr:uid="{00000000-0005-0000-0000-0000F11A0000}"/>
    <cellStyle name="식_축산운영비(1116)_정읍분뇨축산(365일)_시운전비내역(산청군)" xfId="3993" xr:uid="{00000000-0005-0000-0000-0000F21A0000}"/>
    <cellStyle name="식_축산운영비(1116)_정읍분뇨축산(365일)_시운전비내역(산청군)_시운전비내역(산청군)" xfId="3994" xr:uid="{00000000-0005-0000-0000-0000F31A0000}"/>
    <cellStyle name="식_축산운영비(1116)_정읍분뇨축산_시운전비내역(산청군)" xfId="3995" xr:uid="{00000000-0005-0000-0000-0000F41A0000}"/>
    <cellStyle name="식_축산운영비(1116)_정읍분뇨축산_시운전비내역(산청군)_시운전비내역(산청군)" xfId="3996" xr:uid="{00000000-0005-0000-0000-0000F51A0000}"/>
    <cellStyle name="식_축산운영비(1116)_축산운영비(0117-2002년)" xfId="3997" xr:uid="{00000000-0005-0000-0000-0000F61A0000}"/>
    <cellStyle name="식_축산운영비(1116)_축산운영비(0117-2002년)_시운전비내역(산청군)" xfId="3998" xr:uid="{00000000-0005-0000-0000-0000F71A0000}"/>
    <cellStyle name="식_축산운영비(1116)_축산운영비(0117-2002년)_시운전비내역(산청군)_시운전비내역(산청군)" xfId="3999" xr:uid="{00000000-0005-0000-0000-0000F81A0000}"/>
    <cellStyle name="식_축산운영비(1219)" xfId="4000" xr:uid="{00000000-0005-0000-0000-0000F91A0000}"/>
    <cellStyle name="식_축산운영비(1219)_김제축산(365일)" xfId="4001" xr:uid="{00000000-0005-0000-0000-0000FA1A0000}"/>
    <cellStyle name="식_축산운영비(1219)_김제축산(365일)_시운전비내역(산청군)" xfId="4002" xr:uid="{00000000-0005-0000-0000-0000FB1A0000}"/>
    <cellStyle name="식_축산운영비(1219)_김제축산(365일)_시운전비내역(산청군)_시운전비내역(산청군)" xfId="4003" xr:uid="{00000000-0005-0000-0000-0000FC1A0000}"/>
    <cellStyle name="식_축산운영비(1219)_시운전비내역(산청군)" xfId="4004" xr:uid="{00000000-0005-0000-0000-0000FD1A0000}"/>
    <cellStyle name="식_축산운영비(1219)_시운전비내역(산청군)_시운전비내역(산청군)" xfId="4005" xr:uid="{00000000-0005-0000-0000-0000FE1A0000}"/>
    <cellStyle name="식_축산운영비(1219)_정읍분뇨축산" xfId="4006" xr:uid="{00000000-0005-0000-0000-0000FF1A0000}"/>
    <cellStyle name="식_축산운영비(1219)_정읍분뇨축산(365일)" xfId="4007" xr:uid="{00000000-0005-0000-0000-0000001B0000}"/>
    <cellStyle name="식_축산운영비(1219)_정읍분뇨축산(365일)_시운전비내역(산청군)" xfId="4008" xr:uid="{00000000-0005-0000-0000-0000011B0000}"/>
    <cellStyle name="식_축산운영비(1219)_정읍분뇨축산(365일)_시운전비내역(산청군)_시운전비내역(산청군)" xfId="4009" xr:uid="{00000000-0005-0000-0000-0000021B0000}"/>
    <cellStyle name="식_축산운영비(1219)_정읍분뇨축산_시운전비내역(산청군)" xfId="4010" xr:uid="{00000000-0005-0000-0000-0000031B0000}"/>
    <cellStyle name="식_축산운영비(1219)_정읍분뇨축산_시운전비내역(산청군)_시운전비내역(산청군)" xfId="4011" xr:uid="{00000000-0005-0000-0000-0000041B0000}"/>
    <cellStyle name="식_축산운영비(1219)_축산운영비(0117-2002년)" xfId="4012" xr:uid="{00000000-0005-0000-0000-0000051B0000}"/>
    <cellStyle name="식_축산운영비(1219)_축산운영비(0117-2002년)_시운전비내역(산청군)" xfId="4013" xr:uid="{00000000-0005-0000-0000-0000061B0000}"/>
    <cellStyle name="식_축산운영비(1219)_축산운영비(0117-2002년)_시운전비내역(산청군)_시운전비내역(산청군)" xfId="4014" xr:uid="{00000000-0005-0000-0000-0000071B0000}"/>
    <cellStyle name="안건회계법인" xfId="1110" xr:uid="{00000000-0005-0000-0000-0000081B0000}"/>
    <cellStyle name="안건회계법인 2" xfId="8276" xr:uid="{00000000-0005-0000-0000-0000091B0000}"/>
    <cellStyle name="양식-타이틀" xfId="4015" xr:uid="{00000000-0005-0000-0000-00000A1B0000}"/>
    <cellStyle name="연결된 셀 2" xfId="1583" xr:uid="{00000000-0005-0000-0000-00000B1B0000}"/>
    <cellStyle name="연결된 셀 3" xfId="1584" xr:uid="{00000000-0005-0000-0000-00000C1B0000}"/>
    <cellStyle name="열어본 하이퍼링크" xfId="1645" xr:uid="{00000000-0005-0000-0000-00000D1B0000}"/>
    <cellStyle name="왼" xfId="6176" xr:uid="{00000000-0005-0000-0000-00000E1B0000}"/>
    <cellStyle name="왼 2" xfId="8277" xr:uid="{00000000-0005-0000-0000-00000F1B0000}"/>
    <cellStyle name="왼쪽2" xfId="1111" xr:uid="{00000000-0005-0000-0000-0000101B0000}"/>
    <cellStyle name="왼쪽2 2" xfId="7037" xr:uid="{00000000-0005-0000-0000-0000111B0000}"/>
    <cellStyle name="왼쪽5" xfId="6177" xr:uid="{00000000-0005-0000-0000-0000121B0000}"/>
    <cellStyle name="요약 2" xfId="1585" xr:uid="{00000000-0005-0000-0000-0000131B0000}"/>
    <cellStyle name="요약 3" xfId="1586" xr:uid="{00000000-0005-0000-0000-0000141B0000}"/>
    <cellStyle name="우괄호_박심배수구조물공" xfId="6178" xr:uid="{00000000-0005-0000-0000-0000151B0000}"/>
    <cellStyle name="우측양괄호" xfId="6179" xr:uid="{00000000-0005-0000-0000-0000161B0000}"/>
    <cellStyle name="원" xfId="1112" xr:uid="{00000000-0005-0000-0000-0000171B0000}"/>
    <cellStyle name="원 2" xfId="1587" xr:uid="{00000000-0005-0000-0000-0000181B0000}"/>
    <cellStyle name="원_0009김포공항LED교체공사(광일)" xfId="1588" xr:uid="{00000000-0005-0000-0000-0000191B0000}"/>
    <cellStyle name="원_0011긴급전화기정산(99년형광일)" xfId="1589" xr:uid="{00000000-0005-0000-0000-00001A1B0000}"/>
    <cellStyle name="원_0011부산종합경기장전광판" xfId="1590" xr:uid="{00000000-0005-0000-0000-00001B1B0000}"/>
    <cellStyle name="원_경안천고향의강설계내역서 (version 1)" xfId="6180" xr:uid="{00000000-0005-0000-0000-00001C1B0000}"/>
    <cellStyle name="원_경포천(호) 생태유수지 설계용역-계약내역서" xfId="1591" xr:uid="{00000000-0005-0000-0000-00001D1B0000}"/>
    <cellStyle name="원_광주생활직영시행" xfId="6181" xr:uid="{00000000-0005-0000-0000-00001E1B0000}"/>
    <cellStyle name="원_광주생활직영시행 2" xfId="8278" xr:uid="{00000000-0005-0000-0000-00001F1B0000}"/>
    <cellStyle name="원_교량공1-1" xfId="8279" xr:uid="{00000000-0005-0000-0000-0000201B0000}"/>
    <cellStyle name="원_남강하도 공사비(요율수정)" xfId="6182" xr:uid="{00000000-0005-0000-0000-0000211B0000}"/>
    <cellStyle name="원_대장_작성_용역_설계내역서-계약(1)" xfId="6183" xr:uid="{00000000-0005-0000-0000-0000221B0000}"/>
    <cellStyle name="원_도시계획시설내역서(방재시설)" xfId="6184" xr:uid="{00000000-0005-0000-0000-0000231B0000}"/>
    <cellStyle name="원_설계내역서1(1)" xfId="6185" xr:uid="{00000000-0005-0000-0000-0000241B0000}"/>
    <cellStyle name="원_심사내역서1" xfId="6186" xr:uid="{00000000-0005-0000-0000-0000251B0000}"/>
    <cellStyle name="원_심사내역서1 2" xfId="8280" xr:uid="{00000000-0005-0000-0000-0000261B0000}"/>
    <cellStyle name="원_오로보완(0111)" xfId="6187" xr:uid="{00000000-0005-0000-0000-0000271B0000}"/>
    <cellStyle name="원_인흥공사비(수지예산서)" xfId="1113" xr:uid="{00000000-0005-0000-0000-0000281B0000}"/>
    <cellStyle name="원_전기 수량" xfId="6188" xr:uid="{00000000-0005-0000-0000-0000291B0000}"/>
    <cellStyle name="원_점리내역" xfId="1114" xr:uid="{00000000-0005-0000-0000-00002A1B0000}"/>
    <cellStyle name="원_창봉지급자재단가" xfId="1115" xr:uid="{00000000-0005-0000-0000-00002B1B0000}"/>
    <cellStyle name="원_황계(0203)" xfId="6189" xr:uid="{00000000-0005-0000-0000-00002C1B0000}"/>
    <cellStyle name="원_횡배수관수량집계" xfId="8281" xr:uid="{00000000-0005-0000-0000-00002D1B0000}"/>
    <cellStyle name="원_횡배수관수량집계 2" xfId="8446" xr:uid="{00000000-0005-0000-0000-00002E1B0000}"/>
    <cellStyle name="유1" xfId="1116" xr:uid="{00000000-0005-0000-0000-00002F1B0000}"/>
    <cellStyle name="일반" xfId="1592" xr:uid="{00000000-0005-0000-0000-0000301B0000}"/>
    <cellStyle name="一般_010820" xfId="6190" xr:uid="{00000000-0005-0000-0000-0000311B0000}"/>
    <cellStyle name="일반_대장_작성_용역_설계내역서-계약(1)" xfId="6191" xr:uid="{00000000-0005-0000-0000-0000321B0000}"/>
    <cellStyle name="일위대가" xfId="1117" xr:uid="{00000000-0005-0000-0000-0000331B0000}"/>
    <cellStyle name="입력 2" xfId="1593" xr:uid="{00000000-0005-0000-0000-0000341B0000}"/>
    <cellStyle name="입력 2 2" xfId="8282" xr:uid="{00000000-0005-0000-0000-0000351B0000}"/>
    <cellStyle name="입력 3" xfId="1594" xr:uid="{00000000-0005-0000-0000-0000361B0000}"/>
    <cellStyle name="자리수" xfId="1118" xr:uid="{00000000-0005-0000-0000-0000371B0000}"/>
    <cellStyle name="자리수 - 유형1" xfId="1119" xr:uid="{00000000-0005-0000-0000-0000381B0000}"/>
    <cellStyle name="자리수 2" xfId="8283" xr:uid="{00000000-0005-0000-0000-0000391B0000}"/>
    <cellStyle name="자리수 3" xfId="8284" xr:uid="{00000000-0005-0000-0000-00003A1B0000}"/>
    <cellStyle name="자리수 4" xfId="8285" xr:uid="{00000000-0005-0000-0000-00003B1B0000}"/>
    <cellStyle name="자리수 5" xfId="8286" xr:uid="{00000000-0005-0000-0000-00003C1B0000}"/>
    <cellStyle name="자리수 6" xfId="8287" xr:uid="{00000000-0005-0000-0000-00003D1B0000}"/>
    <cellStyle name="자리수 7" xfId="8288" xr:uid="{00000000-0005-0000-0000-00003E1B0000}"/>
    <cellStyle name="자리수 8" xfId="8289" xr:uid="{00000000-0005-0000-0000-00003F1B0000}"/>
    <cellStyle name="자리수_(수정중) 모형플랜트가설건물" xfId="1120" xr:uid="{00000000-0005-0000-0000-0000401B0000}"/>
    <cellStyle name="자리수0" xfId="1121" xr:uid="{00000000-0005-0000-0000-0000411B0000}"/>
    <cellStyle name="자리수0 2" xfId="1595" xr:uid="{00000000-0005-0000-0000-0000421B0000}"/>
    <cellStyle name="자리수0 3" xfId="7038" xr:uid="{00000000-0005-0000-0000-0000431B0000}"/>
    <cellStyle name="자리수0 4" xfId="8290" xr:uid="{00000000-0005-0000-0000-0000441B0000}"/>
    <cellStyle name="정비" xfId="6192" xr:uid="{00000000-0005-0000-0000-0000451B0000}"/>
    <cellStyle name="제곱" xfId="6193" xr:uid="{00000000-0005-0000-0000-0000461B0000}"/>
    <cellStyle name="제목 1 1" xfId="7039" xr:uid="{00000000-0005-0000-0000-0000471B0000}"/>
    <cellStyle name="제목 1 2" xfId="1596" xr:uid="{00000000-0005-0000-0000-0000481B0000}"/>
    <cellStyle name="제목 1 3" xfId="1597" xr:uid="{00000000-0005-0000-0000-0000491B0000}"/>
    <cellStyle name="제목 2 2" xfId="1598" xr:uid="{00000000-0005-0000-0000-00004A1B0000}"/>
    <cellStyle name="제목 2 3" xfId="1599" xr:uid="{00000000-0005-0000-0000-00004B1B0000}"/>
    <cellStyle name="제목 3 2" xfId="1600" xr:uid="{00000000-0005-0000-0000-00004C1B0000}"/>
    <cellStyle name="제목 3 3" xfId="1601" xr:uid="{00000000-0005-0000-0000-00004D1B0000}"/>
    <cellStyle name="제목 4 2" xfId="1602" xr:uid="{00000000-0005-0000-0000-00004E1B0000}"/>
    <cellStyle name="제목 4 3" xfId="1603" xr:uid="{00000000-0005-0000-0000-00004F1B0000}"/>
    <cellStyle name="제목 5" xfId="1604" xr:uid="{00000000-0005-0000-0000-0000501B0000}"/>
    <cellStyle name="제목 6" xfId="1605" xr:uid="{00000000-0005-0000-0000-0000511B0000}"/>
    <cellStyle name="제목[1 줄]" xfId="1606" xr:uid="{00000000-0005-0000-0000-0000521B0000}"/>
    <cellStyle name="제목[1 줄] 2" xfId="8291" xr:uid="{00000000-0005-0000-0000-0000531B0000}"/>
    <cellStyle name="제목[2줄 아래]" xfId="1607" xr:uid="{00000000-0005-0000-0000-0000541B0000}"/>
    <cellStyle name="제목[2줄 아래] 2" xfId="8292" xr:uid="{00000000-0005-0000-0000-0000551B0000}"/>
    <cellStyle name="제목[2줄 위]" xfId="1608" xr:uid="{00000000-0005-0000-0000-0000561B0000}"/>
    <cellStyle name="제목[2줄 위] 2" xfId="8293" xr:uid="{00000000-0005-0000-0000-0000571B0000}"/>
    <cellStyle name="제목1" xfId="1609" xr:uid="{00000000-0005-0000-0000-0000581B0000}"/>
    <cellStyle name="제목1 2" xfId="8294" xr:uid="{00000000-0005-0000-0000-0000591B0000}"/>
    <cellStyle name="좋음 2" xfId="1610" xr:uid="{00000000-0005-0000-0000-00005A1B0000}"/>
    <cellStyle name="좋음 2 2" xfId="8295" xr:uid="{00000000-0005-0000-0000-00005B1B0000}"/>
    <cellStyle name="좋음 3" xfId="1611" xr:uid="{00000000-0005-0000-0000-00005C1B0000}"/>
    <cellStyle name="좌괄호_박심배수구조물공" xfId="6194" xr:uid="{00000000-0005-0000-0000-00005D1B0000}"/>
    <cellStyle name="좌측양괄호" xfId="6195" xr:uid="{00000000-0005-0000-0000-00005E1B0000}"/>
    <cellStyle name="지정되지 않음" xfId="1122" xr:uid="{00000000-0005-0000-0000-00005F1B0000}"/>
    <cellStyle name="지정되지 않음 2" xfId="8296" xr:uid="{00000000-0005-0000-0000-0000601B0000}"/>
    <cellStyle name="지하철정렬" xfId="4016" xr:uid="{00000000-0005-0000-0000-0000611B0000}"/>
    <cellStyle name="千分位[0]_GARMENT STEP FORM HK" xfId="1612" xr:uid="{00000000-0005-0000-0000-0000621B0000}"/>
    <cellStyle name="千分位_GARMENT STEP FORM HK" xfId="1613" xr:uid="{00000000-0005-0000-0000-0000631B0000}"/>
    <cellStyle name="출력 2" xfId="1614" xr:uid="{00000000-0005-0000-0000-0000641B0000}"/>
    <cellStyle name="출력 2 2" xfId="8297" xr:uid="{00000000-0005-0000-0000-0000651B0000}"/>
    <cellStyle name="출력 3" xfId="1615" xr:uid="{00000000-0005-0000-0000-0000661B0000}"/>
    <cellStyle name="측점" xfId="6196" xr:uid="{00000000-0005-0000-0000-0000671B0000}"/>
    <cellStyle name="측점 2" xfId="7040" xr:uid="{00000000-0005-0000-0000-0000681B0000}"/>
    <cellStyle name="콤" xfId="1123" xr:uid="{00000000-0005-0000-0000-0000691B0000}"/>
    <cellStyle name="콤 2" xfId="1616" xr:uid="{00000000-0005-0000-0000-00006A1B0000}"/>
    <cellStyle name="콤 2 2" xfId="8425" xr:uid="{00000000-0005-0000-0000-00006B1B0000}"/>
    <cellStyle name="콤 3" xfId="7041" xr:uid="{00000000-0005-0000-0000-00006C1B0000}"/>
    <cellStyle name="콤 4" xfId="8407" xr:uid="{00000000-0005-0000-0000-00006D1B0000}"/>
    <cellStyle name="콤_(수정중) 모형플랜트가설건물" xfId="1124" xr:uid="{00000000-0005-0000-0000-00006E1B0000}"/>
    <cellStyle name="콤_002 욱수천정비공사실시설계 내역서_090113" xfId="6197" xr:uid="{00000000-0005-0000-0000-00006F1B0000}"/>
    <cellStyle name="콤_01 백곡천내역서(낙찰내역)" xfId="6198" xr:uid="{00000000-0005-0000-0000-0000701B0000}"/>
    <cellStyle name="콤_01 백곡천내역서(낙찰내역) 2" xfId="8298" xr:uid="{00000000-0005-0000-0000-0000711B0000}"/>
    <cellStyle name="콤_01.설계내역서" xfId="8299" xr:uid="{00000000-0005-0000-0000-0000721B0000}"/>
    <cellStyle name="콤_01.신천 생태하천 설계변경내역서" xfId="6199" xr:uid="{00000000-0005-0000-0000-0000731B0000}"/>
    <cellStyle name="콤_01.신천 생태하천 설계변경내역서_01 내역서(진건천)" xfId="6200" xr:uid="{00000000-0005-0000-0000-0000741B0000}"/>
    <cellStyle name="콤_01.신천 생태하천 설계변경내역서_01 유성천 수해상습지(기본계획 변경)" xfId="6201" xr:uid="{00000000-0005-0000-0000-0000751B0000}"/>
    <cellStyle name="콤_01.신천 생태하천 설계변경내역서_01 유성천 수해상습지(기본계획 변경)_01.내역서(원당천)환경수정" xfId="6202" xr:uid="{00000000-0005-0000-0000-0000761B0000}"/>
    <cellStyle name="콤_01.신천 생태하천 설계변경내역서_01 유성천 수해상습지_내역서" xfId="6203" xr:uid="{00000000-0005-0000-0000-0000771B0000}"/>
    <cellStyle name="콤_01.신천 생태하천 설계변경내역서_01 유성천 수해상습지_내역서_01.내역서(원당천)환경수정" xfId="6204" xr:uid="{00000000-0005-0000-0000-0000781B0000}"/>
    <cellStyle name="콤_01.신천 생태하천 설계변경내역서_고향의강(진잠천)_실시설계_용역_내역서(발주내역)" xfId="6205" xr:uid="{00000000-0005-0000-0000-0000791B0000}"/>
    <cellStyle name="콤_01.신천 생태하천 설계변경내역서_유성천_수해상습지(인건비+측정)_내역서" xfId="6206" xr:uid="{00000000-0005-0000-0000-00007A1B0000}"/>
    <cellStyle name="콤_01.신천 생태하천 설계변경내역서_정생천_수해상습지_개선사업_기본및실시설계용역" xfId="6207" xr:uid="{00000000-0005-0000-0000-00007B1B0000}"/>
    <cellStyle name="콤_01.신천 생태하천 설계변경내역서_하천내구조물설치에따른 수리수문분석_내역서(최종)" xfId="6208" xr:uid="{00000000-0005-0000-0000-00007C1B0000}"/>
    <cellStyle name="콤_1.전기공사 내역서(구미정수장)" xfId="1125" xr:uid="{00000000-0005-0000-0000-00007D1B0000}"/>
    <cellStyle name="콤_1.전기공사 내역서(구미정수장)_구미정수장A(건축)(최종)(1)" xfId="1126" xr:uid="{00000000-0005-0000-0000-00007E1B0000}"/>
    <cellStyle name="콤_1.통신공사 내역서(구미정수장)" xfId="1127" xr:uid="{00000000-0005-0000-0000-00007F1B0000}"/>
    <cellStyle name="콤_1.통신공사 내역서(구미정수장)_구미정수장A(건축)(최종)(1)" xfId="1128" xr:uid="{00000000-0005-0000-0000-0000801B0000}"/>
    <cellStyle name="콤_2회설변전체내역서" xfId="1129" xr:uid="{00000000-0005-0000-0000-0000811B0000}"/>
    <cellStyle name="콤_2회설변전체내역서 2" xfId="7042" xr:uid="{00000000-0005-0000-0000-0000821B0000}"/>
    <cellStyle name="콤_3.우수" xfId="1130" xr:uid="{00000000-0005-0000-0000-0000831B0000}"/>
    <cellStyle name="콤_3.우수_구미정수장A(건축)(최종)(1)" xfId="1131" xr:uid="{00000000-0005-0000-0000-0000841B0000}"/>
    <cellStyle name="콤_3.우수_구미정수장A(건축)(최종)(1) 2" xfId="1132" xr:uid="{00000000-0005-0000-0000-0000851B0000}"/>
    <cellStyle name="콤_3.우수_구미정수장A(건축)(최종)(1)_설계변경내역서(100928)-4" xfId="1133" xr:uid="{00000000-0005-0000-0000-0000861B0000}"/>
    <cellStyle name="콤_3.우수_석성정수장WBS(최종)" xfId="1134" xr:uid="{00000000-0005-0000-0000-0000871B0000}"/>
    <cellStyle name="콤_3.우수_석성정수장WBS(최종) 2" xfId="1135" xr:uid="{00000000-0005-0000-0000-0000881B0000}"/>
    <cellStyle name="콤_3.우수_석성정수장WBS(최종)_설계변경내역서(100928)-4" xfId="1136" xr:uid="{00000000-0005-0000-0000-0000891B0000}"/>
    <cellStyle name="콤_4. 기본및실시설계용역내역서_옥정호" xfId="6209" xr:uid="{00000000-0005-0000-0000-00008A1B0000}"/>
    <cellStyle name="콤_4. 기본및실시설계용역내역서_옥정호 2" xfId="8300" xr:uid="{00000000-0005-0000-0000-00008B1B0000}"/>
    <cellStyle name="콤_4.오수" xfId="1137" xr:uid="{00000000-0005-0000-0000-00008C1B0000}"/>
    <cellStyle name="콤_4.오수_구미정수장A(건축)(최종)(1)" xfId="1138" xr:uid="{00000000-0005-0000-0000-00008D1B0000}"/>
    <cellStyle name="콤_4.오수_구미정수장A(건축)(최종)(1) 2" xfId="1139" xr:uid="{00000000-0005-0000-0000-00008E1B0000}"/>
    <cellStyle name="콤_4.오수_구미정수장A(건축)(최종)(1)_설계변경내역서(100928)-4" xfId="1140" xr:uid="{00000000-0005-0000-0000-00008F1B0000}"/>
    <cellStyle name="콤_4.오수_석성정수장WBS(최종)" xfId="1141" xr:uid="{00000000-0005-0000-0000-0000901B0000}"/>
    <cellStyle name="콤_4.오수_석성정수장WBS(최종) 2" xfId="1142" xr:uid="{00000000-0005-0000-0000-0000911B0000}"/>
    <cellStyle name="콤_4.오수_석성정수장WBS(최종)_설계변경내역서(100928)-4" xfId="1143" xr:uid="{00000000-0005-0000-0000-0000921B0000}"/>
    <cellStyle name="콤_4_구미_내역서(최종)" xfId="1144" xr:uid="{00000000-0005-0000-0000-0000931B0000}"/>
    <cellStyle name="콤_4_구미_내역서(최종) 2" xfId="8408" xr:uid="{00000000-0005-0000-0000-0000941B0000}"/>
    <cellStyle name="콤_Book1" xfId="1145" xr:uid="{00000000-0005-0000-0000-0000951B0000}"/>
    <cellStyle name="콤_Book1_구미정수장A(건축)(최종)(1)" xfId="1146" xr:uid="{00000000-0005-0000-0000-0000961B0000}"/>
    <cellStyle name="콤_고향의_강_내역(환경)" xfId="6210" xr:uid="{00000000-0005-0000-0000-0000971B0000}"/>
    <cellStyle name="콤_고향의_강_내역(환경)_01 내역서(진건천)" xfId="6211" xr:uid="{00000000-0005-0000-0000-0000981B0000}"/>
    <cellStyle name="콤_고향의_강_내역(환경)_01 유성천 수해상습지(기본계획 변경)" xfId="6212" xr:uid="{00000000-0005-0000-0000-0000991B0000}"/>
    <cellStyle name="콤_고향의_강_내역(환경)_01 유성천 수해상습지(기본계획 변경)_01.내역서(원당천)환경수정" xfId="6213" xr:uid="{00000000-0005-0000-0000-00009A1B0000}"/>
    <cellStyle name="콤_고향의_강_내역(환경)_01 유성천 수해상습지_내역서" xfId="6214" xr:uid="{00000000-0005-0000-0000-00009B1B0000}"/>
    <cellStyle name="콤_고향의_강_내역(환경)_01 유성천 수해상습지_내역서_01.내역서(원당천)환경수정" xfId="6215" xr:uid="{00000000-0005-0000-0000-00009C1B0000}"/>
    <cellStyle name="콤_고향의_강_내역(환경)_고향의강(진잠천)_실시설계_용역_내역서(발주내역)" xfId="6216" xr:uid="{00000000-0005-0000-0000-00009D1B0000}"/>
    <cellStyle name="콤_고향의_강_내역(환경)_유성천_수해상습지(인건비+측정)_내역서" xfId="6217" xr:uid="{00000000-0005-0000-0000-00009E1B0000}"/>
    <cellStyle name="콤_고향의_강_내역(환경)_정생천_수해상습지_개선사업_기본및실시설계용역" xfId="6218" xr:uid="{00000000-0005-0000-0000-00009F1B0000}"/>
    <cellStyle name="콤_교통성검토" xfId="6219" xr:uid="{00000000-0005-0000-0000-0000A01B0000}"/>
    <cellStyle name="콤_구미내역서(최종)" xfId="1147" xr:uid="{00000000-0005-0000-0000-0000A11B0000}"/>
    <cellStyle name="콤_구미내역서(최종) 2" xfId="8409" xr:uid="{00000000-0005-0000-0000-0000A21B0000}"/>
    <cellStyle name="콤_구미내역서(표지목차WBS참조)" xfId="1148" xr:uid="{00000000-0005-0000-0000-0000A31B0000}"/>
    <cellStyle name="콤_구미내역서(표지목차WBS참조)_구미정수장A(건축)(최종)(1)" xfId="1149" xr:uid="{00000000-0005-0000-0000-0000A41B0000}"/>
    <cellStyle name="콤_구미내역서(표지목차WBS참조)_구미정수장A(건축)(최종)(1) 2" xfId="1150" xr:uid="{00000000-0005-0000-0000-0000A51B0000}"/>
    <cellStyle name="콤_구미내역서(표지목차WBS참조)_구미정수장A(건축)(최종)(1)_설계변경내역서(100928)-4" xfId="1151" xr:uid="{00000000-0005-0000-0000-0000A61B0000}"/>
    <cellStyle name="콤_구미정수장A(건축)(최종)(1)" xfId="1152" xr:uid="{00000000-0005-0000-0000-0000A71B0000}"/>
    <cellStyle name="콤_구미정수장A(건축)(최종)(1) 2" xfId="1153" xr:uid="{00000000-0005-0000-0000-0000A81B0000}"/>
    <cellStyle name="콤_구미정수장A(건축)(최종)(1)_설계변경내역서(100928)-4" xfId="1154" xr:uid="{00000000-0005-0000-0000-0000A91B0000}"/>
    <cellStyle name="콤_구미정수장a(건축,총괄집계표까지참조)" xfId="1155" xr:uid="{00000000-0005-0000-0000-0000AA1B0000}"/>
    <cellStyle name="콤_구미정수장a(건축,총괄집계표까지참조)_구미정수장A(건축)(최종)(1)" xfId="1156" xr:uid="{00000000-0005-0000-0000-0000AB1B0000}"/>
    <cellStyle name="콤_구미정수장a(건축,총괄집계표까지참조)_구미정수장A(건축)(최종)(1) 2" xfId="1157" xr:uid="{00000000-0005-0000-0000-0000AC1B0000}"/>
    <cellStyle name="콤_구미정수장a(건축,총괄집계표까지참조)_구미정수장A(건축)(최종)(1)_설계변경내역서(100928)-4" xfId="1158" xr:uid="{00000000-0005-0000-0000-0000AD1B0000}"/>
    <cellStyle name="콤_구미정수장B(건축,기계,토목)" xfId="1159" xr:uid="{00000000-0005-0000-0000-0000AE1B0000}"/>
    <cellStyle name="콤_구미정수장B(건축,기계,토목)_구미정수장A(건축)(최종)(1)" xfId="1160" xr:uid="{00000000-0005-0000-0000-0000AF1B0000}"/>
    <cellStyle name="콤_구미정수장B(건축,기계,토목)_구미정수장A(건축)(최종)(1) 2" xfId="1161" xr:uid="{00000000-0005-0000-0000-0000B01B0000}"/>
    <cellStyle name="콤_구미정수장B(건축,기계,토목)_구미정수장A(건축)(최종)(1)_설계변경내역서(100928)-4" xfId="1162" xr:uid="{00000000-0005-0000-0000-0000B11B0000}"/>
    <cellStyle name="콤_내역서(포항)" xfId="1163" xr:uid="{00000000-0005-0000-0000-0000B21B0000}"/>
    <cellStyle name="콤_문경내역(1127)" xfId="6220" xr:uid="{00000000-0005-0000-0000-0000B31B0000}"/>
    <cellStyle name="콤_문경내역(1127)_01.설계내역서" xfId="8301" xr:uid="{00000000-0005-0000-0000-0000B41B0000}"/>
    <cellStyle name="콤_문경내역(1127)_01.신천 생태하천 설계변경내역서" xfId="6221" xr:uid="{00000000-0005-0000-0000-0000B51B0000}"/>
    <cellStyle name="콤_문경내역(1127)_01.신천 생태하천 설계변경내역서_01 내역서(진건천)" xfId="6222" xr:uid="{00000000-0005-0000-0000-0000B61B0000}"/>
    <cellStyle name="콤_문경내역(1127)_01.신천 생태하천 설계변경내역서_01 유성천 수해상습지(기본계획 변경)" xfId="6223" xr:uid="{00000000-0005-0000-0000-0000B71B0000}"/>
    <cellStyle name="콤_문경내역(1127)_01.신천 생태하천 설계변경내역서_01 유성천 수해상습지(기본계획 변경)_01.내역서(원당천)환경수정" xfId="6224" xr:uid="{00000000-0005-0000-0000-0000B81B0000}"/>
    <cellStyle name="콤_문경내역(1127)_01.신천 생태하천 설계변경내역서_01 유성천 수해상습지(기본계획 변경)_01.소요생연 침수방지대책 설계예산서(20121127)" xfId="6225" xr:uid="{00000000-0005-0000-0000-0000B91B0000}"/>
    <cellStyle name="콤_문경내역(1127)_01.신천 생태하천 설계변경내역서_01 유성천 수해상습지(기본계획 변경)_7-2투입인력" xfId="6226" xr:uid="{00000000-0005-0000-0000-0000BA1B0000}"/>
    <cellStyle name="콤_문경내역(1127)_01.신천 생태하천 설계변경내역서_01 유성천 수해상습지(기본계획 변경)_설계내역서_선유3빗물펌프장(20120507)" xfId="6227" xr:uid="{00000000-0005-0000-0000-0000BB1B0000}"/>
    <cellStyle name="콤_문경내역(1127)_01.신천 생태하천 설계변경내역서_01 유성천 수해상습지(기본계획 변경)_연천배수펌프장 개선사업 기본및실시설계용역 내역서-1" xfId="6228" xr:uid="{00000000-0005-0000-0000-0000BC1B0000}"/>
    <cellStyle name="콤_문경내역(1127)_01.신천 생태하천 설계변경내역서_01 유성천 수해상습지_내역서" xfId="6229" xr:uid="{00000000-0005-0000-0000-0000BD1B0000}"/>
    <cellStyle name="콤_문경내역(1127)_01.신천 생태하천 설계변경내역서_01 유성천 수해상습지_내역서_01.내역서(원당천)환경수정" xfId="6230" xr:uid="{00000000-0005-0000-0000-0000BE1B0000}"/>
    <cellStyle name="콤_문경내역(1127)_01.신천 생태하천 설계변경내역서_01 유성천 수해상습지_내역서_01.소요생연 침수방지대책 설계예산서(20121127)" xfId="6231" xr:uid="{00000000-0005-0000-0000-0000BF1B0000}"/>
    <cellStyle name="콤_문경내역(1127)_01.신천 생태하천 설계변경내역서_01 유성천 수해상습지_내역서_7-2투입인력" xfId="6232" xr:uid="{00000000-0005-0000-0000-0000C01B0000}"/>
    <cellStyle name="콤_문경내역(1127)_01.신천 생태하천 설계변경내역서_01 유성천 수해상습지_내역서_설계내역서_선유3빗물펌프장(20120507)" xfId="6233" xr:uid="{00000000-0005-0000-0000-0000C11B0000}"/>
    <cellStyle name="콤_문경내역(1127)_01.신천 생태하천 설계변경내역서_01 유성천 수해상습지_내역서_연천배수펌프장 개선사업 기본및실시설계용역 내역서-1" xfId="6234" xr:uid="{00000000-0005-0000-0000-0000C21B0000}"/>
    <cellStyle name="콤_문경내역(1127)_01.신천 생태하천 설계변경내역서_01.내역서 - 원당천 개선복구" xfId="6235" xr:uid="{00000000-0005-0000-0000-0000C31B0000}"/>
    <cellStyle name="콤_문경내역(1127)_01.신천 생태하천 설계변경내역서_01.내역서(2억원)" xfId="6236" xr:uid="{00000000-0005-0000-0000-0000C41B0000}"/>
    <cellStyle name="콤_문경내역(1127)_01.신천 생태하천 설계변경내역서_01.내역서(선암리,원당천)통합" xfId="6237" xr:uid="{00000000-0005-0000-0000-0000C51B0000}"/>
    <cellStyle name="콤_문경내역(1127)_01.신천 생태하천 설계변경내역서_01.내역서(원당천)" xfId="6238" xr:uid="{00000000-0005-0000-0000-0000C61B0000}"/>
    <cellStyle name="콤_문경내역(1127)_01.신천 생태하천 설계변경내역서_01.내역서(원당천)환경수정" xfId="6239" xr:uid="{00000000-0005-0000-0000-0000C71B0000}"/>
    <cellStyle name="콤_문경내역(1127)_01.신천 생태하천 설계변경내역서_01.세말천_소하천정비공사_내역서(최종)" xfId="6240" xr:uid="{00000000-0005-0000-0000-0000C81B0000}"/>
    <cellStyle name="콤_문경내역(1127)_01.신천 생태하천 설계변경내역서_01.소요생연 침수방지대책 설계예산서(20121127)" xfId="6241" xr:uid="{00000000-0005-0000-0000-0000C91B0000}"/>
    <cellStyle name="콤_문경내역(1127)_01.신천 생태하천 설계변경내역서_7-2투입인력" xfId="6242" xr:uid="{00000000-0005-0000-0000-0000CA1B0000}"/>
    <cellStyle name="콤_문경내역(1127)_01.신천 생태하천 설계변경내역서_고향의강(진잠천)_실시설계_용역_내역서(발주내역)" xfId="6243" xr:uid="{00000000-0005-0000-0000-0000CB1B0000}"/>
    <cellStyle name="콤_문경내역(1127)_01.신천 생태하천 설계변경내역서_고향의강(진잠천)_실시설계_용역_내역서(발주내역)_01.소요생연 침수방지대책 설계예산서(20121127)" xfId="6244" xr:uid="{00000000-0005-0000-0000-0000CC1B0000}"/>
    <cellStyle name="콤_문경내역(1127)_01.신천 생태하천 설계변경내역서_고향의강(진잠천)_실시설계_용역_내역서(발주내역)_7-2투입인력" xfId="6245" xr:uid="{00000000-0005-0000-0000-0000CD1B0000}"/>
    <cellStyle name="콤_문경내역(1127)_01.신천 생태하천 설계변경내역서_고향의강(진잠천)_실시설계_용역_내역서(발주내역)_동두천시_침수방지대책수립실시설계예산서(0823)" xfId="6246" xr:uid="{00000000-0005-0000-0000-0000CE1B0000}"/>
    <cellStyle name="콤_문경내역(1127)_01.신천 생태하천 설계변경내역서_고향의강(진잠천)_실시설계_용역_내역서(발주내역)_설계내역서_선유3빗물펌프장(20120507)" xfId="6247" xr:uid="{00000000-0005-0000-0000-0000CF1B0000}"/>
    <cellStyle name="콤_문경내역(1127)_01.신천 생태하천 설계변경내역서_고향의강(진잠천)_실시설계_용역_내역서(발주내역)_연천배수펌프장 개선사업 기본및실시설계용역 내역서-1" xfId="6248" xr:uid="{00000000-0005-0000-0000-0000D01B0000}"/>
    <cellStyle name="콤_문경내역(1127)_01.신천 생태하천 설계변경내역서_고향의강(진잠천)_실시설계_용역_내역서(발주내역)_침수방지대책_예산서_0823(관거조사포함)" xfId="6249" xr:uid="{00000000-0005-0000-0000-0000D11B0000}"/>
    <cellStyle name="콤_문경내역(1127)_01.신천 생태하천 설계변경내역서_내역서(수해원인조사및분석)" xfId="6250" xr:uid="{00000000-0005-0000-0000-0000D21B0000}"/>
    <cellStyle name="콤_문경내역(1127)_01.신천 생태하천 설계변경내역서_동두천시_침수방지대책수립실시설계예산서(0823)" xfId="6251" xr:uid="{00000000-0005-0000-0000-0000D31B0000}"/>
    <cellStyle name="콤_문경내역(1127)_01.신천 생태하천 설계변경내역서_동두천시침수방지대책수립실시설계예산서(0816)" xfId="6252" xr:uid="{00000000-0005-0000-0000-0000D41B0000}"/>
    <cellStyle name="콤_문경내역(1127)_01.신천 생태하천 설계변경내역서_설계내역서_선유3빗물펌프장(20120507)" xfId="6253" xr:uid="{00000000-0005-0000-0000-0000D51B0000}"/>
    <cellStyle name="콤_문경내역(1127)_01.신천 생태하천 설계변경내역서_연천배수펌프장 개선사업 기본및실시설계용역 내역서-1" xfId="6254" xr:uid="{00000000-0005-0000-0000-0000D61B0000}"/>
    <cellStyle name="콤_문경내역(1127)_01.신천 생태하천 설계변경내역서_유성천_수해상습지(인건비+측정)_내역서" xfId="6255" xr:uid="{00000000-0005-0000-0000-0000D71B0000}"/>
    <cellStyle name="콤_문경내역(1127)_01.신천 생태하천 설계변경내역서_정생천_수해상습지_개선사업_기본및실시설계용역" xfId="6256" xr:uid="{00000000-0005-0000-0000-0000D81B0000}"/>
    <cellStyle name="콤_문경내역(1127)_01.신천 생태하천 설계변경내역서_침수방지대책_예산서_0823(관거조사포함)" xfId="6257" xr:uid="{00000000-0005-0000-0000-0000D91B0000}"/>
    <cellStyle name="콤_문경내역(1127)_01.신천 생태하천 설계변경내역서_하천내구조물설치에따른 수리수문분석_내역서(최종)" xfId="6258" xr:uid="{00000000-0005-0000-0000-0000DA1B0000}"/>
    <cellStyle name="콤_문경내역(1127)_고향의_강_내역(환경)" xfId="6259" xr:uid="{00000000-0005-0000-0000-0000DB1B0000}"/>
    <cellStyle name="콤_문경내역(1127)_고향의_강_내역(환경)_01 내역서(진건천)" xfId="6260" xr:uid="{00000000-0005-0000-0000-0000DC1B0000}"/>
    <cellStyle name="콤_문경내역(1127)_고향의_강_내역(환경)_01 유성천 수해상습지(기본계획 변경)" xfId="6261" xr:uid="{00000000-0005-0000-0000-0000DD1B0000}"/>
    <cellStyle name="콤_문경내역(1127)_고향의_강_내역(환경)_01 유성천 수해상습지(기본계획 변경)_01.내역서(원당천)환경수정" xfId="6262" xr:uid="{00000000-0005-0000-0000-0000DE1B0000}"/>
    <cellStyle name="콤_문경내역(1127)_고향의_강_내역(환경)_01 유성천 수해상습지(기본계획 변경)_01.소요생연 침수방지대책 설계예산서(20121127)" xfId="6263" xr:uid="{00000000-0005-0000-0000-0000DF1B0000}"/>
    <cellStyle name="콤_문경내역(1127)_고향의_강_내역(환경)_01 유성천 수해상습지(기본계획 변경)_7-2투입인력" xfId="6264" xr:uid="{00000000-0005-0000-0000-0000E01B0000}"/>
    <cellStyle name="콤_문경내역(1127)_고향의_강_내역(환경)_01 유성천 수해상습지(기본계획 변경)_설계내역서_선유3빗물펌프장(20120507)" xfId="6265" xr:uid="{00000000-0005-0000-0000-0000E11B0000}"/>
    <cellStyle name="콤_문경내역(1127)_고향의_강_내역(환경)_01 유성천 수해상습지(기본계획 변경)_연천배수펌프장 개선사업 기본및실시설계용역 내역서-1" xfId="6266" xr:uid="{00000000-0005-0000-0000-0000E21B0000}"/>
    <cellStyle name="콤_문경내역(1127)_고향의_강_내역(환경)_01 유성천 수해상습지_내역서" xfId="6267" xr:uid="{00000000-0005-0000-0000-0000E31B0000}"/>
    <cellStyle name="콤_문경내역(1127)_고향의_강_내역(환경)_01 유성천 수해상습지_내역서_01.내역서(원당천)환경수정" xfId="6268" xr:uid="{00000000-0005-0000-0000-0000E41B0000}"/>
    <cellStyle name="콤_문경내역(1127)_고향의_강_내역(환경)_01 유성천 수해상습지_내역서_01.소요생연 침수방지대책 설계예산서(20121127)" xfId="6269" xr:uid="{00000000-0005-0000-0000-0000E51B0000}"/>
    <cellStyle name="콤_문경내역(1127)_고향의_강_내역(환경)_01 유성천 수해상습지_내역서_7-2투입인력" xfId="6270" xr:uid="{00000000-0005-0000-0000-0000E61B0000}"/>
    <cellStyle name="콤_문경내역(1127)_고향의_강_내역(환경)_01 유성천 수해상습지_내역서_설계내역서_선유3빗물펌프장(20120507)" xfId="6271" xr:uid="{00000000-0005-0000-0000-0000E71B0000}"/>
    <cellStyle name="콤_문경내역(1127)_고향의_강_내역(환경)_01 유성천 수해상습지_내역서_연천배수펌프장 개선사업 기본및실시설계용역 내역서-1" xfId="6272" xr:uid="{00000000-0005-0000-0000-0000E81B0000}"/>
    <cellStyle name="콤_문경내역(1127)_고향의_강_내역(환경)_01.내역서 - 원당천 개선복구" xfId="6273" xr:uid="{00000000-0005-0000-0000-0000E91B0000}"/>
    <cellStyle name="콤_문경내역(1127)_고향의_강_내역(환경)_01.내역서(2억원)" xfId="6274" xr:uid="{00000000-0005-0000-0000-0000EA1B0000}"/>
    <cellStyle name="콤_문경내역(1127)_고향의_강_내역(환경)_01.내역서(선암리,원당천)통합" xfId="6275" xr:uid="{00000000-0005-0000-0000-0000EB1B0000}"/>
    <cellStyle name="콤_문경내역(1127)_고향의_강_내역(환경)_01.내역서(원당천)" xfId="6276" xr:uid="{00000000-0005-0000-0000-0000EC1B0000}"/>
    <cellStyle name="콤_문경내역(1127)_고향의_강_내역(환경)_01.내역서(원당천)환경수정" xfId="6277" xr:uid="{00000000-0005-0000-0000-0000ED1B0000}"/>
    <cellStyle name="콤_문경내역(1127)_고향의_강_내역(환경)_01.세말천_소하천정비공사_내역서(최종)" xfId="6278" xr:uid="{00000000-0005-0000-0000-0000EE1B0000}"/>
    <cellStyle name="콤_문경내역(1127)_고향의_강_내역(환경)_01.소요생연 침수방지대책 설계예산서(20121127)" xfId="6279" xr:uid="{00000000-0005-0000-0000-0000EF1B0000}"/>
    <cellStyle name="콤_문경내역(1127)_고향의_강_내역(환경)_7-2투입인력" xfId="6280" xr:uid="{00000000-0005-0000-0000-0000F01B0000}"/>
    <cellStyle name="콤_문경내역(1127)_고향의_강_내역(환경)_고향의강(진잠천)_실시설계_용역_내역서(발주내역)" xfId="6281" xr:uid="{00000000-0005-0000-0000-0000F11B0000}"/>
    <cellStyle name="콤_문경내역(1127)_고향의_강_내역(환경)_고향의강(진잠천)_실시설계_용역_내역서(발주내역)_01.소요생연 침수방지대책 설계예산서(20121127)" xfId="6282" xr:uid="{00000000-0005-0000-0000-0000F21B0000}"/>
    <cellStyle name="콤_문경내역(1127)_고향의_강_내역(환경)_고향의강(진잠천)_실시설계_용역_내역서(발주내역)_7-2투입인력" xfId="6283" xr:uid="{00000000-0005-0000-0000-0000F31B0000}"/>
    <cellStyle name="콤_문경내역(1127)_고향의_강_내역(환경)_고향의강(진잠천)_실시설계_용역_내역서(발주내역)_동두천시_침수방지대책수립실시설계예산서(0823)" xfId="6284" xr:uid="{00000000-0005-0000-0000-0000F41B0000}"/>
    <cellStyle name="콤_문경내역(1127)_고향의_강_내역(환경)_고향의강(진잠천)_실시설계_용역_내역서(발주내역)_설계내역서_선유3빗물펌프장(20120507)" xfId="6285" xr:uid="{00000000-0005-0000-0000-0000F51B0000}"/>
    <cellStyle name="콤_문경내역(1127)_고향의_강_내역(환경)_고향의강(진잠천)_실시설계_용역_내역서(발주내역)_연천배수펌프장 개선사업 기본및실시설계용역 내역서-1" xfId="6286" xr:uid="{00000000-0005-0000-0000-0000F61B0000}"/>
    <cellStyle name="콤_문경내역(1127)_고향의_강_내역(환경)_고향의강(진잠천)_실시설계_용역_내역서(발주내역)_침수방지대책_예산서_0823(관거조사포함)" xfId="6287" xr:uid="{00000000-0005-0000-0000-0000F71B0000}"/>
    <cellStyle name="콤_문경내역(1127)_고향의_강_내역(환경)_내역서(수해원인조사및분석)" xfId="6288" xr:uid="{00000000-0005-0000-0000-0000F81B0000}"/>
    <cellStyle name="콤_문경내역(1127)_고향의_강_내역(환경)_동두천시_침수방지대책수립실시설계예산서(0823)" xfId="6289" xr:uid="{00000000-0005-0000-0000-0000F91B0000}"/>
    <cellStyle name="콤_문경내역(1127)_고향의_강_내역(환경)_동두천시침수방지대책수립실시설계예산서(0816)" xfId="6290" xr:uid="{00000000-0005-0000-0000-0000FA1B0000}"/>
    <cellStyle name="콤_문경내역(1127)_고향의_강_내역(환경)_설계내역서_선유3빗물펌프장(20120507)" xfId="6291" xr:uid="{00000000-0005-0000-0000-0000FB1B0000}"/>
    <cellStyle name="콤_문경내역(1127)_고향의_강_내역(환경)_연천배수펌프장 개선사업 기본및실시설계용역 내역서-1" xfId="6292" xr:uid="{00000000-0005-0000-0000-0000FC1B0000}"/>
    <cellStyle name="콤_문경내역(1127)_고향의_강_내역(환경)_유성천_수해상습지(인건비+측정)_내역서" xfId="6293" xr:uid="{00000000-0005-0000-0000-0000FD1B0000}"/>
    <cellStyle name="콤_문경내역(1127)_고향의_강_내역(환경)_정생천_수해상습지_개선사업_기본및실시설계용역" xfId="6294" xr:uid="{00000000-0005-0000-0000-0000FE1B0000}"/>
    <cellStyle name="콤_문경내역(1127)_고향의_강_내역(환경)_침수방지대책_예산서_0823(관거조사포함)" xfId="6295" xr:uid="{00000000-0005-0000-0000-0000FF1B0000}"/>
    <cellStyle name="콤_문경내역(1127)_설계내역서(변경)" xfId="6296" xr:uid="{00000000-0005-0000-0000-0000001C0000}"/>
    <cellStyle name="콤_문경내역(1127)_설계내역서(변경)_01.내역서(원당천)환경수정" xfId="6297" xr:uid="{00000000-0005-0000-0000-0000011C0000}"/>
    <cellStyle name="콤_문경내역(1127)_설계내역서(변경)_01.소요생연 침수방지대책 설계예산서(20121127)" xfId="6298" xr:uid="{00000000-0005-0000-0000-0000021C0000}"/>
    <cellStyle name="콤_문경내역(1127)_설계내역서(변경)_7-2투입인력" xfId="6299" xr:uid="{00000000-0005-0000-0000-0000031C0000}"/>
    <cellStyle name="콤_문경내역(1127)_설계내역서(변경)_설계내역서_선유3빗물펌프장(20120507)" xfId="6300" xr:uid="{00000000-0005-0000-0000-0000041C0000}"/>
    <cellStyle name="콤_문경내역(1127)_설계내역서(변경)_연천배수펌프장 개선사업 기본및실시설계용역 내역서-1" xfId="6301" xr:uid="{00000000-0005-0000-0000-0000051C0000}"/>
    <cellStyle name="콤_문경내역(1127)_양주복지지구내역서(품셈)" xfId="6302" xr:uid="{00000000-0005-0000-0000-0000061C0000}"/>
    <cellStyle name="콤_문경내역(1127)_양주복지지구내역서(품셈)_설계내역서(정자말)작업(1)" xfId="6303" xr:uid="{00000000-0005-0000-0000-0000071C0000}"/>
    <cellStyle name="콤_문경내역(1127)_의정부_도시관리계획(GB해제,_제1종지구단위계획)_사전환경성검토" xfId="6304" xr:uid="{00000000-0005-0000-0000-0000081C0000}"/>
    <cellStyle name="콤_밀양시소하천_계약내역" xfId="6305" xr:uid="{00000000-0005-0000-0000-0000091C0000}"/>
    <cellStyle name="콤_밀양시소하천_계약내역 2" xfId="8302" xr:uid="{00000000-0005-0000-0000-00000A1C0000}"/>
    <cellStyle name="콤_복사본 동백공원내 군수영부두 이전사업용역내역서" xfId="6306" xr:uid="{00000000-0005-0000-0000-00000B1C0000}"/>
    <cellStyle name="콤_복사본 동백공원내 군수영부두 이전사업용역내역서 2" xfId="8431" xr:uid="{00000000-0005-0000-0000-00000C1C0000}"/>
    <cellStyle name="콤_복사본_동백공원내_군수영부두_이전사업용역내역서" xfId="6307" xr:uid="{00000000-0005-0000-0000-00000D1C0000}"/>
    <cellStyle name="콤_복사본_동백공원내_군수영부두_이전사업용역내역서 2" xfId="8432" xr:uid="{00000000-0005-0000-0000-00000E1C0000}"/>
    <cellStyle name="콤_사진대지" xfId="1164" xr:uid="{00000000-0005-0000-0000-00000F1C0000}"/>
    <cellStyle name="콤_사진대지 2" xfId="8410" xr:uid="{00000000-0005-0000-0000-0000101C0000}"/>
    <cellStyle name="콤_사진대지_구미정수장A(건축)(최종)(1)" xfId="1165" xr:uid="{00000000-0005-0000-0000-0000111C0000}"/>
    <cellStyle name="콤_사진대지_구미정수장A(건축)(최종)(1) 2" xfId="8411" xr:uid="{00000000-0005-0000-0000-0000121C0000}"/>
    <cellStyle name="콤_서울대 바이오테크 설계내역서" xfId="6308" xr:uid="{00000000-0005-0000-0000-0000131C0000}"/>
    <cellStyle name="콤_서울대 바이오테크 설계내역서 2" xfId="8303" xr:uid="{00000000-0005-0000-0000-0000141C0000}"/>
    <cellStyle name="콤_서울대 바이오테크 설계내역서(수정)" xfId="6309" xr:uid="{00000000-0005-0000-0000-0000151C0000}"/>
    <cellStyle name="콤_서울대 바이오테크 설계내역서(수정) 2" xfId="8304" xr:uid="{00000000-0005-0000-0000-0000161C0000}"/>
    <cellStyle name="콤_석성정수장WBS(최종)" xfId="1166" xr:uid="{00000000-0005-0000-0000-0000171C0000}"/>
    <cellStyle name="콤_석성정수장WBS(최종) 2" xfId="1167" xr:uid="{00000000-0005-0000-0000-0000181C0000}"/>
    <cellStyle name="콤_석성정수장WBS(최종)_설계변경내역서(100928)-4" xfId="1168" xr:uid="{00000000-0005-0000-0000-0000191C0000}"/>
    <cellStyle name="콤_설계내역서(변경)" xfId="6310" xr:uid="{00000000-0005-0000-0000-00001A1C0000}"/>
    <cellStyle name="콤_설계내역서(변경)_01.내역서(원당천)환경수정" xfId="6311" xr:uid="{00000000-0005-0000-0000-00001B1C0000}"/>
    <cellStyle name="콤_설계내역서1(1)" xfId="6312" xr:uid="{00000000-0005-0000-0000-00001C1C0000}"/>
    <cellStyle name="콤_섬강 하천기본계획(보완) 수립용역(조정2)" xfId="8305" xr:uid="{00000000-0005-0000-0000-00001D1C0000}"/>
    <cellStyle name="콤_심사내역서1" xfId="6313" xr:uid="{00000000-0005-0000-0000-00001E1C0000}"/>
    <cellStyle name="콤_심사내역서1 2" xfId="8306" xr:uid="{00000000-0005-0000-0000-00001F1C0000}"/>
    <cellStyle name="콤_양주복지지구내역서(품셈)" xfId="6314" xr:uid="{00000000-0005-0000-0000-0000201C0000}"/>
    <cellStyle name="콤_양주복지지구내역서(품셈)_설계내역서(정자말)작업(1)" xfId="6315" xr:uid="{00000000-0005-0000-0000-0000211C0000}"/>
    <cellStyle name="콤_오수공수량산출서" xfId="1169" xr:uid="{00000000-0005-0000-0000-0000221C0000}"/>
    <cellStyle name="콤_오수공수량산출서_구미정수장A(건축)(최종)(1)" xfId="1170" xr:uid="{00000000-0005-0000-0000-0000231C0000}"/>
    <cellStyle name="콤_오수공수량산출서_구미정수장A(건축)(최종)(1) 2" xfId="1171" xr:uid="{00000000-0005-0000-0000-0000241C0000}"/>
    <cellStyle name="콤_오수공수량산출서_구미정수장A(건축)(최종)(1)_설계변경내역서(100928)-4" xfId="1172" xr:uid="{00000000-0005-0000-0000-0000251C0000}"/>
    <cellStyle name="콤_오수공수량산출서_석성정수장WBS(최종)" xfId="1173" xr:uid="{00000000-0005-0000-0000-0000261C0000}"/>
    <cellStyle name="콤_오수공수량산출서_석성정수장WBS(최종) 2" xfId="1174" xr:uid="{00000000-0005-0000-0000-0000271C0000}"/>
    <cellStyle name="콤_오수공수량산출서_석성정수장WBS(최종)_설계변경내역서(100928)-4" xfId="1175" xr:uid="{00000000-0005-0000-0000-0000281C0000}"/>
    <cellStyle name="콤_울산 도시개발사업(교평)" xfId="6316" xr:uid="{00000000-0005-0000-0000-0000291C0000}"/>
    <cellStyle name="콤_울산 도시개발사업(교평)_01.설계내역서" xfId="8307" xr:uid="{00000000-0005-0000-0000-00002A1C0000}"/>
    <cellStyle name="콤_울산 도시개발사업(교평)_01.신천 생태하천 설계변경내역서" xfId="6317" xr:uid="{00000000-0005-0000-0000-00002B1C0000}"/>
    <cellStyle name="콤_울산 도시개발사업(교평)_01.신천 생태하천 설계변경내역서_01 내역서(진건천)" xfId="6318" xr:uid="{00000000-0005-0000-0000-00002C1C0000}"/>
    <cellStyle name="콤_울산 도시개발사업(교평)_01.신천 생태하천 설계변경내역서_01 유성천 수해상습지(기본계획 변경)" xfId="6319" xr:uid="{00000000-0005-0000-0000-00002D1C0000}"/>
    <cellStyle name="콤_울산 도시개발사업(교평)_01.신천 생태하천 설계변경내역서_01 유성천 수해상습지(기본계획 변경)_01.내역서(원당천)환경수정" xfId="6320" xr:uid="{00000000-0005-0000-0000-00002E1C0000}"/>
    <cellStyle name="콤_울산 도시개발사업(교평)_01.신천 생태하천 설계변경내역서_01 유성천 수해상습지(기본계획 변경)_01.소요생연 침수방지대책 설계예산서(20121127)" xfId="6321" xr:uid="{00000000-0005-0000-0000-00002F1C0000}"/>
    <cellStyle name="콤_울산 도시개발사업(교평)_01.신천 생태하천 설계변경내역서_01 유성천 수해상습지(기본계획 변경)_7-2투입인력" xfId="6322" xr:uid="{00000000-0005-0000-0000-0000301C0000}"/>
    <cellStyle name="콤_울산 도시개발사업(교평)_01.신천 생태하천 설계변경내역서_01 유성천 수해상습지(기본계획 변경)_설계내역서_선유3빗물펌프장(20120507)" xfId="6323" xr:uid="{00000000-0005-0000-0000-0000311C0000}"/>
    <cellStyle name="콤_울산 도시개발사업(교평)_01.신천 생태하천 설계변경내역서_01 유성천 수해상습지(기본계획 변경)_연천배수펌프장 개선사업 기본및실시설계용역 내역서-1" xfId="6324" xr:uid="{00000000-0005-0000-0000-0000321C0000}"/>
    <cellStyle name="콤_울산 도시개발사업(교평)_01.신천 생태하천 설계변경내역서_01 유성천 수해상습지_내역서" xfId="6325" xr:uid="{00000000-0005-0000-0000-0000331C0000}"/>
    <cellStyle name="콤_울산 도시개발사업(교평)_01.신천 생태하천 설계변경내역서_01 유성천 수해상습지_내역서_01.내역서(원당천)환경수정" xfId="6326" xr:uid="{00000000-0005-0000-0000-0000341C0000}"/>
    <cellStyle name="콤_울산 도시개발사업(교평)_01.신천 생태하천 설계변경내역서_01 유성천 수해상습지_내역서_01.소요생연 침수방지대책 설계예산서(20121127)" xfId="6327" xr:uid="{00000000-0005-0000-0000-0000351C0000}"/>
    <cellStyle name="콤_울산 도시개발사업(교평)_01.신천 생태하천 설계변경내역서_01 유성천 수해상습지_내역서_7-2투입인력" xfId="6328" xr:uid="{00000000-0005-0000-0000-0000361C0000}"/>
    <cellStyle name="콤_울산 도시개발사업(교평)_01.신천 생태하천 설계변경내역서_01 유성천 수해상습지_내역서_설계내역서_선유3빗물펌프장(20120507)" xfId="6329" xr:uid="{00000000-0005-0000-0000-0000371C0000}"/>
    <cellStyle name="콤_울산 도시개발사업(교평)_01.신천 생태하천 설계변경내역서_01 유성천 수해상습지_내역서_연천배수펌프장 개선사업 기본및실시설계용역 내역서-1" xfId="6330" xr:uid="{00000000-0005-0000-0000-0000381C0000}"/>
    <cellStyle name="콤_울산 도시개발사업(교평)_01.신천 생태하천 설계변경내역서_01.내역서 - 원당천 개선복구" xfId="6331" xr:uid="{00000000-0005-0000-0000-0000391C0000}"/>
    <cellStyle name="콤_울산 도시개발사업(교평)_01.신천 생태하천 설계변경내역서_01.내역서(2억원)" xfId="6332" xr:uid="{00000000-0005-0000-0000-00003A1C0000}"/>
    <cellStyle name="콤_울산 도시개발사업(교평)_01.신천 생태하천 설계변경내역서_01.내역서(선암리,원당천)통합" xfId="6333" xr:uid="{00000000-0005-0000-0000-00003B1C0000}"/>
    <cellStyle name="콤_울산 도시개발사업(교평)_01.신천 생태하천 설계변경내역서_01.내역서(원당천)" xfId="6334" xr:uid="{00000000-0005-0000-0000-00003C1C0000}"/>
    <cellStyle name="콤_울산 도시개발사업(교평)_01.신천 생태하천 설계변경내역서_01.내역서(원당천)환경수정" xfId="6335" xr:uid="{00000000-0005-0000-0000-00003D1C0000}"/>
    <cellStyle name="콤_울산 도시개발사업(교평)_01.신천 생태하천 설계변경내역서_01.세말천_소하천정비공사_내역서(최종)" xfId="6336" xr:uid="{00000000-0005-0000-0000-00003E1C0000}"/>
    <cellStyle name="콤_울산 도시개발사업(교평)_01.신천 생태하천 설계변경내역서_01.소요생연 침수방지대책 설계예산서(20121127)" xfId="6337" xr:uid="{00000000-0005-0000-0000-00003F1C0000}"/>
    <cellStyle name="콤_울산 도시개발사업(교평)_01.신천 생태하천 설계변경내역서_7-2투입인력" xfId="6338" xr:uid="{00000000-0005-0000-0000-0000401C0000}"/>
    <cellStyle name="콤_울산 도시개발사업(교평)_01.신천 생태하천 설계변경내역서_고향의강(진잠천)_실시설계_용역_내역서(발주내역)" xfId="6339" xr:uid="{00000000-0005-0000-0000-0000411C0000}"/>
    <cellStyle name="콤_울산 도시개발사업(교평)_01.신천 생태하천 설계변경내역서_고향의강(진잠천)_실시설계_용역_내역서(발주내역)_01.소요생연 침수방지대책 설계예산서(20121127)" xfId="6340" xr:uid="{00000000-0005-0000-0000-0000421C0000}"/>
    <cellStyle name="콤_울산 도시개발사업(교평)_01.신천 생태하천 설계변경내역서_고향의강(진잠천)_실시설계_용역_내역서(발주내역)_7-2투입인력" xfId="6341" xr:uid="{00000000-0005-0000-0000-0000431C0000}"/>
    <cellStyle name="콤_울산 도시개발사업(교평)_01.신천 생태하천 설계변경내역서_고향의강(진잠천)_실시설계_용역_내역서(발주내역)_동두천시_침수방지대책수립실시설계예산서(0823)" xfId="6342" xr:uid="{00000000-0005-0000-0000-0000441C0000}"/>
    <cellStyle name="콤_울산 도시개발사업(교평)_01.신천 생태하천 설계변경내역서_고향의강(진잠천)_실시설계_용역_내역서(발주내역)_설계내역서_선유3빗물펌프장(20120507)" xfId="6343" xr:uid="{00000000-0005-0000-0000-0000451C0000}"/>
    <cellStyle name="콤_울산 도시개발사업(교평)_01.신천 생태하천 설계변경내역서_고향의강(진잠천)_실시설계_용역_내역서(발주내역)_연천배수펌프장 개선사업 기본및실시설계용역 내역서-1" xfId="6344" xr:uid="{00000000-0005-0000-0000-0000461C0000}"/>
    <cellStyle name="콤_울산 도시개발사업(교평)_01.신천 생태하천 설계변경내역서_고향의강(진잠천)_실시설계_용역_내역서(발주내역)_침수방지대책_예산서_0823(관거조사포함)" xfId="6345" xr:uid="{00000000-0005-0000-0000-0000471C0000}"/>
    <cellStyle name="콤_울산 도시개발사업(교평)_01.신천 생태하천 설계변경내역서_내역서(수해원인조사및분석)" xfId="6346" xr:uid="{00000000-0005-0000-0000-0000481C0000}"/>
    <cellStyle name="콤_울산 도시개발사업(교평)_01.신천 생태하천 설계변경내역서_동두천시_침수방지대책수립실시설계예산서(0823)" xfId="6347" xr:uid="{00000000-0005-0000-0000-0000491C0000}"/>
    <cellStyle name="콤_울산 도시개발사업(교평)_01.신천 생태하천 설계변경내역서_동두천시침수방지대책수립실시설계예산서(0816)" xfId="6348" xr:uid="{00000000-0005-0000-0000-00004A1C0000}"/>
    <cellStyle name="콤_울산 도시개발사업(교평)_01.신천 생태하천 설계변경내역서_설계내역서_선유3빗물펌프장(20120507)" xfId="6349" xr:uid="{00000000-0005-0000-0000-00004B1C0000}"/>
    <cellStyle name="콤_울산 도시개발사업(교평)_01.신천 생태하천 설계변경내역서_연천배수펌프장 개선사업 기본및실시설계용역 내역서-1" xfId="6350" xr:uid="{00000000-0005-0000-0000-00004C1C0000}"/>
    <cellStyle name="콤_울산 도시개발사업(교평)_01.신천 생태하천 설계변경내역서_유성천_수해상습지(인건비+측정)_내역서" xfId="6351" xr:uid="{00000000-0005-0000-0000-00004D1C0000}"/>
    <cellStyle name="콤_울산 도시개발사업(교평)_01.신천 생태하천 설계변경내역서_정생천_수해상습지_개선사업_기본및실시설계용역" xfId="6352" xr:uid="{00000000-0005-0000-0000-00004E1C0000}"/>
    <cellStyle name="콤_울산 도시개발사업(교평)_01.신천 생태하천 설계변경내역서_침수방지대책_예산서_0823(관거조사포함)" xfId="6353" xr:uid="{00000000-0005-0000-0000-00004F1C0000}"/>
    <cellStyle name="콤_울산 도시개발사업(교평)_01.신천 생태하천 설계변경내역서_하천내구조물설치에따른 수리수문분석_내역서(최종)" xfId="6354" xr:uid="{00000000-0005-0000-0000-0000501C0000}"/>
    <cellStyle name="콤_울산 도시개발사업(교평)_고향의_강_내역(환경)" xfId="6355" xr:uid="{00000000-0005-0000-0000-0000511C0000}"/>
    <cellStyle name="콤_울산 도시개발사업(교평)_고향의_강_내역(환경)_01 내역서(진건천)" xfId="6356" xr:uid="{00000000-0005-0000-0000-0000521C0000}"/>
    <cellStyle name="콤_울산 도시개발사업(교평)_고향의_강_내역(환경)_01 유성천 수해상습지(기본계획 변경)" xfId="6357" xr:uid="{00000000-0005-0000-0000-0000531C0000}"/>
    <cellStyle name="콤_울산 도시개발사업(교평)_고향의_강_내역(환경)_01 유성천 수해상습지(기본계획 변경)_01.내역서(원당천)환경수정" xfId="6358" xr:uid="{00000000-0005-0000-0000-0000541C0000}"/>
    <cellStyle name="콤_울산 도시개발사업(교평)_고향의_강_내역(환경)_01 유성천 수해상습지(기본계획 변경)_01.소요생연 침수방지대책 설계예산서(20121127)" xfId="6359" xr:uid="{00000000-0005-0000-0000-0000551C0000}"/>
    <cellStyle name="콤_울산 도시개발사업(교평)_고향의_강_내역(환경)_01 유성천 수해상습지(기본계획 변경)_7-2투입인력" xfId="6360" xr:uid="{00000000-0005-0000-0000-0000561C0000}"/>
    <cellStyle name="콤_울산 도시개발사업(교평)_고향의_강_내역(환경)_01 유성천 수해상습지(기본계획 변경)_설계내역서_선유3빗물펌프장(20120507)" xfId="6361" xr:uid="{00000000-0005-0000-0000-0000571C0000}"/>
    <cellStyle name="콤_울산 도시개발사업(교평)_고향의_강_내역(환경)_01 유성천 수해상습지(기본계획 변경)_연천배수펌프장 개선사업 기본및실시설계용역 내역서-1" xfId="6362" xr:uid="{00000000-0005-0000-0000-0000581C0000}"/>
    <cellStyle name="콤_울산 도시개발사업(교평)_고향의_강_내역(환경)_01 유성천 수해상습지_내역서" xfId="6363" xr:uid="{00000000-0005-0000-0000-0000591C0000}"/>
    <cellStyle name="콤_울산 도시개발사업(교평)_고향의_강_내역(환경)_01 유성천 수해상습지_내역서_01.내역서(원당천)환경수정" xfId="6364" xr:uid="{00000000-0005-0000-0000-00005A1C0000}"/>
    <cellStyle name="콤_울산 도시개발사업(교평)_고향의_강_내역(환경)_01 유성천 수해상습지_내역서_01.소요생연 침수방지대책 설계예산서(20121127)" xfId="6365" xr:uid="{00000000-0005-0000-0000-00005B1C0000}"/>
    <cellStyle name="콤_울산 도시개발사업(교평)_고향의_강_내역(환경)_01 유성천 수해상습지_내역서_7-2투입인력" xfId="6366" xr:uid="{00000000-0005-0000-0000-00005C1C0000}"/>
    <cellStyle name="콤_울산 도시개발사업(교평)_고향의_강_내역(환경)_01 유성천 수해상습지_내역서_설계내역서_선유3빗물펌프장(20120507)" xfId="6367" xr:uid="{00000000-0005-0000-0000-00005D1C0000}"/>
    <cellStyle name="콤_울산 도시개발사업(교평)_고향의_강_내역(환경)_01 유성천 수해상습지_내역서_연천배수펌프장 개선사업 기본및실시설계용역 내역서-1" xfId="6368" xr:uid="{00000000-0005-0000-0000-00005E1C0000}"/>
    <cellStyle name="콤_울산 도시개발사업(교평)_고향의_강_내역(환경)_01.내역서 - 원당천 개선복구" xfId="6369" xr:uid="{00000000-0005-0000-0000-00005F1C0000}"/>
    <cellStyle name="콤_울산 도시개발사업(교평)_고향의_강_내역(환경)_01.내역서(2억원)" xfId="6370" xr:uid="{00000000-0005-0000-0000-0000601C0000}"/>
    <cellStyle name="콤_울산 도시개발사업(교평)_고향의_강_내역(환경)_01.내역서(선암리,원당천)통합" xfId="6371" xr:uid="{00000000-0005-0000-0000-0000611C0000}"/>
    <cellStyle name="콤_울산 도시개발사업(교평)_고향의_강_내역(환경)_01.내역서(원당천)" xfId="6372" xr:uid="{00000000-0005-0000-0000-0000621C0000}"/>
    <cellStyle name="콤_울산 도시개발사업(교평)_고향의_강_내역(환경)_01.내역서(원당천)환경수정" xfId="6373" xr:uid="{00000000-0005-0000-0000-0000631C0000}"/>
    <cellStyle name="콤_울산 도시개발사업(교평)_고향의_강_내역(환경)_01.세말천_소하천정비공사_내역서(최종)" xfId="6374" xr:uid="{00000000-0005-0000-0000-0000641C0000}"/>
    <cellStyle name="콤_울산 도시개발사업(교평)_고향의_강_내역(환경)_01.소요생연 침수방지대책 설계예산서(20121127)" xfId="6375" xr:uid="{00000000-0005-0000-0000-0000651C0000}"/>
    <cellStyle name="콤_울산 도시개발사업(교평)_고향의_강_내역(환경)_7-2투입인력" xfId="6376" xr:uid="{00000000-0005-0000-0000-0000661C0000}"/>
    <cellStyle name="콤_울산 도시개발사업(교평)_고향의_강_내역(환경)_고향의강(진잠천)_실시설계_용역_내역서(발주내역)" xfId="6377" xr:uid="{00000000-0005-0000-0000-0000671C0000}"/>
    <cellStyle name="콤_울산 도시개발사업(교평)_고향의_강_내역(환경)_고향의강(진잠천)_실시설계_용역_내역서(발주내역)_01.소요생연 침수방지대책 설계예산서(20121127)" xfId="6378" xr:uid="{00000000-0005-0000-0000-0000681C0000}"/>
    <cellStyle name="콤_울산 도시개발사업(교평)_고향의_강_내역(환경)_고향의강(진잠천)_실시설계_용역_내역서(발주내역)_7-2투입인력" xfId="6379" xr:uid="{00000000-0005-0000-0000-0000691C0000}"/>
    <cellStyle name="콤_울산 도시개발사업(교평)_고향의_강_내역(환경)_고향의강(진잠천)_실시설계_용역_내역서(발주내역)_동두천시_침수방지대책수립실시설계예산서(0823)" xfId="6380" xr:uid="{00000000-0005-0000-0000-00006A1C0000}"/>
    <cellStyle name="콤_울산 도시개발사업(교평)_고향의_강_내역(환경)_고향의강(진잠천)_실시설계_용역_내역서(발주내역)_설계내역서_선유3빗물펌프장(20120507)" xfId="6381" xr:uid="{00000000-0005-0000-0000-00006B1C0000}"/>
    <cellStyle name="콤_울산 도시개발사업(교평)_고향의_강_내역(환경)_고향의강(진잠천)_실시설계_용역_내역서(발주내역)_연천배수펌프장 개선사업 기본및실시설계용역 내역서-1" xfId="6382" xr:uid="{00000000-0005-0000-0000-00006C1C0000}"/>
    <cellStyle name="콤_울산 도시개발사업(교평)_고향의_강_내역(환경)_고향의강(진잠천)_실시설계_용역_내역서(발주내역)_침수방지대책_예산서_0823(관거조사포함)" xfId="6383" xr:uid="{00000000-0005-0000-0000-00006D1C0000}"/>
    <cellStyle name="콤_울산 도시개발사업(교평)_고향의_강_내역(환경)_내역서(수해원인조사및분석)" xfId="6384" xr:uid="{00000000-0005-0000-0000-00006E1C0000}"/>
    <cellStyle name="콤_울산 도시개발사업(교평)_고향의_강_내역(환경)_동두천시_침수방지대책수립실시설계예산서(0823)" xfId="6385" xr:uid="{00000000-0005-0000-0000-00006F1C0000}"/>
    <cellStyle name="콤_울산 도시개발사업(교평)_고향의_강_내역(환경)_동두천시침수방지대책수립실시설계예산서(0816)" xfId="6386" xr:uid="{00000000-0005-0000-0000-0000701C0000}"/>
    <cellStyle name="콤_울산 도시개발사업(교평)_고향의_강_내역(환경)_설계내역서_선유3빗물펌프장(20120507)" xfId="6387" xr:uid="{00000000-0005-0000-0000-0000711C0000}"/>
    <cellStyle name="콤_울산 도시개발사업(교평)_고향의_강_내역(환경)_연천배수펌프장 개선사업 기본및실시설계용역 내역서-1" xfId="6388" xr:uid="{00000000-0005-0000-0000-0000721C0000}"/>
    <cellStyle name="콤_울산 도시개발사업(교평)_고향의_강_내역(환경)_유성천_수해상습지(인건비+측정)_내역서" xfId="6389" xr:uid="{00000000-0005-0000-0000-0000731C0000}"/>
    <cellStyle name="콤_울산 도시개발사업(교평)_고향의_강_내역(환경)_정생천_수해상습지_개선사업_기본및실시설계용역" xfId="6390" xr:uid="{00000000-0005-0000-0000-0000741C0000}"/>
    <cellStyle name="콤_울산 도시개발사업(교평)_고향의_강_내역(환경)_침수방지대책_예산서_0823(관거조사포함)" xfId="6391" xr:uid="{00000000-0005-0000-0000-0000751C0000}"/>
    <cellStyle name="콤_울산 도시개발사업(교평)_설계내역서(변경)" xfId="6392" xr:uid="{00000000-0005-0000-0000-0000761C0000}"/>
    <cellStyle name="콤_울산 도시개발사업(교평)_설계내역서(변경)_01.내역서(원당천)환경수정" xfId="6393" xr:uid="{00000000-0005-0000-0000-0000771C0000}"/>
    <cellStyle name="콤_울산 도시개발사업(교평)_설계내역서(변경)_01.소요생연 침수방지대책 설계예산서(20121127)" xfId="6394" xr:uid="{00000000-0005-0000-0000-0000781C0000}"/>
    <cellStyle name="콤_울산 도시개발사업(교평)_설계내역서(변경)_7-2투입인력" xfId="6395" xr:uid="{00000000-0005-0000-0000-0000791C0000}"/>
    <cellStyle name="콤_울산 도시개발사업(교평)_설계내역서(변경)_설계내역서_선유3빗물펌프장(20120507)" xfId="6396" xr:uid="{00000000-0005-0000-0000-00007A1C0000}"/>
    <cellStyle name="콤_울산 도시개발사업(교평)_설계내역서(변경)_연천배수펌프장 개선사업 기본및실시설계용역 내역서-1" xfId="6397" xr:uid="{00000000-0005-0000-0000-00007B1C0000}"/>
    <cellStyle name="콤_울산 도시개발사업(교평)_양주복지지구내역서(품셈)" xfId="6398" xr:uid="{00000000-0005-0000-0000-00007C1C0000}"/>
    <cellStyle name="콤_울산 도시개발사업(교평)_양주복지지구내역서(품셈)_설계내역서(정자말)작업(1)" xfId="6399" xr:uid="{00000000-0005-0000-0000-00007D1C0000}"/>
    <cellStyle name="콤_울산 도시개발사업(교평)_의정부_도시관리계획(GB해제,_제1종지구단위계획)_사전환경성검토" xfId="6400" xr:uid="{00000000-0005-0000-0000-00007E1C0000}"/>
    <cellStyle name="콤_의정부_도시관리계획(GB해제,_제1종지구단위계획)_사전환경성검토" xfId="6401" xr:uid="{00000000-0005-0000-0000-00007F1C0000}"/>
    <cellStyle name="콤_이충무공순국공원용역설계서(2008)" xfId="6402" xr:uid="{00000000-0005-0000-0000-0000801C0000}"/>
    <cellStyle name="콤_일위대가양식" xfId="1176" xr:uid="{00000000-0005-0000-0000-0000811C0000}"/>
    <cellStyle name="콤_장계천-내역서" xfId="8308" xr:uid="{00000000-0005-0000-0000-0000821C0000}"/>
    <cellStyle name="콤_측량인허가" xfId="6403" xr:uid="{00000000-0005-0000-0000-0000831C0000}"/>
    <cellStyle name="콤_토목내역" xfId="1177" xr:uid="{00000000-0005-0000-0000-0000841C0000}"/>
    <cellStyle name="콤_토목내역 2" xfId="7043" xr:uid="{00000000-0005-0000-0000-0000851C0000}"/>
    <cellStyle name="콤_토질조사" xfId="6404" xr:uid="{00000000-0005-0000-0000-0000861C0000}"/>
    <cellStyle name="콤_토질조사 2" xfId="7044" xr:uid="{00000000-0005-0000-0000-0000871C0000}"/>
    <cellStyle name="콤_토질조사(변경)" xfId="6405" xr:uid="{00000000-0005-0000-0000-0000881C0000}"/>
    <cellStyle name="콤_토질조사(변경) 2" xfId="8309" xr:uid="{00000000-0005-0000-0000-0000891C0000}"/>
    <cellStyle name="콤_현황측량예산서" xfId="6406" xr:uid="{00000000-0005-0000-0000-00008A1C0000}"/>
    <cellStyle name="콤_현황측량예산서 2" xfId="8310" xr:uid="{00000000-0005-0000-0000-00008B1C0000}"/>
    <cellStyle name="콤_황령산 봉수대 용역내역서" xfId="6407" xr:uid="{00000000-0005-0000-0000-00008C1C0000}"/>
    <cellStyle name="콤마" xfId="4017" xr:uid="{00000000-0005-0000-0000-00008D1C0000}"/>
    <cellStyle name="콤마 [" xfId="1178" xr:uid="{00000000-0005-0000-0000-00008E1C0000}"/>
    <cellStyle name="콤마 [ 2" xfId="1617" xr:uid="{00000000-0005-0000-0000-00008F1C0000}"/>
    <cellStyle name="콤마 [ 2 2" xfId="8426" xr:uid="{00000000-0005-0000-0000-0000901C0000}"/>
    <cellStyle name="콤마 [ 3" xfId="7045" xr:uid="{00000000-0005-0000-0000-0000911C0000}"/>
    <cellStyle name="콤마 [ 4" xfId="8412" xr:uid="{00000000-0005-0000-0000-0000921C0000}"/>
    <cellStyle name="콤마 [#]" xfId="1179" xr:uid="{00000000-0005-0000-0000-0000931C0000}"/>
    <cellStyle name="콤마 []" xfId="1180" xr:uid="{00000000-0005-0000-0000-0000941C0000}"/>
    <cellStyle name="콤마 [_(수정중) 모형플랜트가설건물" xfId="1181" xr:uid="{00000000-0005-0000-0000-0000951C0000}"/>
    <cellStyle name="콤마 [0.00]" xfId="1182" xr:uid="{00000000-0005-0000-0000-0000961C0000}"/>
    <cellStyle name="콤마 [0.00] 2" xfId="1618" xr:uid="{00000000-0005-0000-0000-0000971C0000}"/>
    <cellStyle name="콤마 [0]" xfId="1183" xr:uid="{00000000-0005-0000-0000-0000981C0000}"/>
    <cellStyle name="콤마 [0] 2" xfId="7046" xr:uid="{00000000-0005-0000-0000-0000991C0000}"/>
    <cellStyle name="콤마 [0]_금강내역(2차)" xfId="1184" xr:uid="{00000000-0005-0000-0000-00009A1C0000}"/>
    <cellStyle name="콤마 [0]기기자재비" xfId="1185" xr:uid="{00000000-0005-0000-0000-00009B1C0000}"/>
    <cellStyle name="콤마 [1]" xfId="4018" xr:uid="{00000000-0005-0000-0000-00009C1C0000}"/>
    <cellStyle name="콤마 [2]" xfId="1186" xr:uid="{00000000-0005-0000-0000-00009D1C0000}"/>
    <cellStyle name="콤마 [2] 2" xfId="1619" xr:uid="{00000000-0005-0000-0000-00009E1C0000}"/>
    <cellStyle name="콤마 [2] 3" xfId="8311" xr:uid="{00000000-0005-0000-0000-00009F1C0000}"/>
    <cellStyle name="콤마 [금액]" xfId="1187" xr:uid="{00000000-0005-0000-0000-0000A01C0000}"/>
    <cellStyle name="콤마 [소수]" xfId="1188" xr:uid="{00000000-0005-0000-0000-0000A11C0000}"/>
    <cellStyle name="콤마 [수량]" xfId="1189" xr:uid="{00000000-0005-0000-0000-0000A21C0000}"/>
    <cellStyle name="콤마 1" xfId="4019" xr:uid="{00000000-0005-0000-0000-0000A31C0000}"/>
    <cellStyle name="콤마(1)" xfId="1190" xr:uid="{00000000-0005-0000-0000-0000A41C0000}"/>
    <cellStyle name="콤마(1) 2" xfId="8312" xr:uid="{00000000-0005-0000-0000-0000A51C0000}"/>
    <cellStyle name="콤마[ ]" xfId="1191" xr:uid="{00000000-0005-0000-0000-0000A61C0000}"/>
    <cellStyle name="콤마[ ] 2" xfId="7047" xr:uid="{00000000-0005-0000-0000-0000A71C0000}"/>
    <cellStyle name="콤마[*]" xfId="4020" xr:uid="{00000000-0005-0000-0000-0000A81C0000}"/>
    <cellStyle name="콤마[*] 2" xfId="7048" xr:uid="{00000000-0005-0000-0000-0000A91C0000}"/>
    <cellStyle name="콤마[,]" xfId="6408" xr:uid="{00000000-0005-0000-0000-0000AA1C0000}"/>
    <cellStyle name="콤마[,] 2" xfId="8313" xr:uid="{00000000-0005-0000-0000-0000AB1C0000}"/>
    <cellStyle name="콤마[.]" xfId="4021" xr:uid="{00000000-0005-0000-0000-0000AC1C0000}"/>
    <cellStyle name="콤마[.] 2" xfId="7049" xr:uid="{00000000-0005-0000-0000-0000AD1C0000}"/>
    <cellStyle name="콤마[0]" xfId="4022" xr:uid="{00000000-0005-0000-0000-0000AE1C0000}"/>
    <cellStyle name="콤마[0] 2" xfId="7050" xr:uid="{00000000-0005-0000-0000-0000AF1C0000}"/>
    <cellStyle name="콤마_  종  합  " xfId="1192" xr:uid="{00000000-0005-0000-0000-0000B01C0000}"/>
    <cellStyle name="타이틀" xfId="6409" xr:uid="{00000000-0005-0000-0000-0000B11C0000}"/>
    <cellStyle name="테두리" xfId="6410" xr:uid="{00000000-0005-0000-0000-0000B21C0000}"/>
    <cellStyle name="테두리 2" xfId="8314" xr:uid="{00000000-0005-0000-0000-0000B31C0000}"/>
    <cellStyle name="통" xfId="1193" xr:uid="{00000000-0005-0000-0000-0000B41C0000}"/>
    <cellStyle name="통 2" xfId="1620" xr:uid="{00000000-0005-0000-0000-0000B51C0000}"/>
    <cellStyle name="통 2 2" xfId="8427" xr:uid="{00000000-0005-0000-0000-0000B61C0000}"/>
    <cellStyle name="통 3" xfId="7051" xr:uid="{00000000-0005-0000-0000-0000B71C0000}"/>
    <cellStyle name="통 4" xfId="8413" xr:uid="{00000000-0005-0000-0000-0000B81C0000}"/>
    <cellStyle name="통_(수정중) 모형플랜트가설건물" xfId="1194" xr:uid="{00000000-0005-0000-0000-0000B91C0000}"/>
    <cellStyle name="통_002 욱수천정비공사실시설계 내역서_090113" xfId="6411" xr:uid="{00000000-0005-0000-0000-0000BA1C0000}"/>
    <cellStyle name="통_01 백곡천내역서(낙찰내역)" xfId="6412" xr:uid="{00000000-0005-0000-0000-0000BB1C0000}"/>
    <cellStyle name="통_01 백곡천내역서(낙찰내역) 2" xfId="8315" xr:uid="{00000000-0005-0000-0000-0000BC1C0000}"/>
    <cellStyle name="통_01.설계내역서" xfId="8316" xr:uid="{00000000-0005-0000-0000-0000BD1C0000}"/>
    <cellStyle name="통_01.신천 생태하천 설계변경내역서" xfId="6413" xr:uid="{00000000-0005-0000-0000-0000BE1C0000}"/>
    <cellStyle name="통_01.신천 생태하천 설계변경내역서_01 내역서(진건천)" xfId="6414" xr:uid="{00000000-0005-0000-0000-0000BF1C0000}"/>
    <cellStyle name="통_01.신천 생태하천 설계변경내역서_01 유성천 수해상습지(기본계획 변경)" xfId="6415" xr:uid="{00000000-0005-0000-0000-0000C01C0000}"/>
    <cellStyle name="통_01.신천 생태하천 설계변경내역서_01 유성천 수해상습지(기본계획 변경)_01.내역서(원당천)환경수정" xfId="6416" xr:uid="{00000000-0005-0000-0000-0000C11C0000}"/>
    <cellStyle name="통_01.신천 생태하천 설계변경내역서_01 유성천 수해상습지_내역서" xfId="6417" xr:uid="{00000000-0005-0000-0000-0000C21C0000}"/>
    <cellStyle name="통_01.신천 생태하천 설계변경내역서_01 유성천 수해상습지_내역서_01.내역서(원당천)환경수정" xfId="6418" xr:uid="{00000000-0005-0000-0000-0000C31C0000}"/>
    <cellStyle name="통_01.신천 생태하천 설계변경내역서_고향의강(진잠천)_실시설계_용역_내역서(발주내역)" xfId="6419" xr:uid="{00000000-0005-0000-0000-0000C41C0000}"/>
    <cellStyle name="통_01.신천 생태하천 설계변경내역서_유성천_수해상습지(인건비+측정)_내역서" xfId="6420" xr:uid="{00000000-0005-0000-0000-0000C51C0000}"/>
    <cellStyle name="통_01.신천 생태하천 설계변경내역서_정생천_수해상습지_개선사업_기본및실시설계용역" xfId="6421" xr:uid="{00000000-0005-0000-0000-0000C61C0000}"/>
    <cellStyle name="통_01.신천 생태하천 설계변경내역서_하천내구조물설치에따른 수리수문분석_내역서(최종)" xfId="6422" xr:uid="{00000000-0005-0000-0000-0000C71C0000}"/>
    <cellStyle name="통_1.전기공사 내역서(구미정수장)" xfId="1195" xr:uid="{00000000-0005-0000-0000-0000C81C0000}"/>
    <cellStyle name="통_1.전기공사 내역서(구미정수장)_구미정수장A(건축)(최종)(1)" xfId="1196" xr:uid="{00000000-0005-0000-0000-0000C91C0000}"/>
    <cellStyle name="통_1.통신공사 내역서(구미정수장)" xfId="1197" xr:uid="{00000000-0005-0000-0000-0000CA1C0000}"/>
    <cellStyle name="통_1.통신공사 내역서(구미정수장)_구미정수장A(건축)(최종)(1)" xfId="1198" xr:uid="{00000000-0005-0000-0000-0000CB1C0000}"/>
    <cellStyle name="통_2회설변전체내역서" xfId="1199" xr:uid="{00000000-0005-0000-0000-0000CC1C0000}"/>
    <cellStyle name="통_2회설변전체내역서 2" xfId="7052" xr:uid="{00000000-0005-0000-0000-0000CD1C0000}"/>
    <cellStyle name="통_3.우수" xfId="1200" xr:uid="{00000000-0005-0000-0000-0000CE1C0000}"/>
    <cellStyle name="통_3.우수_구미정수장A(건축)(최종)(1)" xfId="1201" xr:uid="{00000000-0005-0000-0000-0000CF1C0000}"/>
    <cellStyle name="통_3.우수_구미정수장A(건축)(최종)(1) 2" xfId="1202" xr:uid="{00000000-0005-0000-0000-0000D01C0000}"/>
    <cellStyle name="통_3.우수_구미정수장A(건축)(최종)(1)_설계변경내역서(100928)-4" xfId="1203" xr:uid="{00000000-0005-0000-0000-0000D11C0000}"/>
    <cellStyle name="통_3.우수_석성정수장WBS(최종)" xfId="1204" xr:uid="{00000000-0005-0000-0000-0000D21C0000}"/>
    <cellStyle name="통_3.우수_석성정수장WBS(최종) 2" xfId="1205" xr:uid="{00000000-0005-0000-0000-0000D31C0000}"/>
    <cellStyle name="통_3.우수_석성정수장WBS(최종)_설계변경내역서(100928)-4" xfId="1206" xr:uid="{00000000-0005-0000-0000-0000D41C0000}"/>
    <cellStyle name="통_4. 기본및실시설계용역내역서_옥정호" xfId="6423" xr:uid="{00000000-0005-0000-0000-0000D51C0000}"/>
    <cellStyle name="통_4. 기본및실시설계용역내역서_옥정호 2" xfId="8317" xr:uid="{00000000-0005-0000-0000-0000D61C0000}"/>
    <cellStyle name="통_4.오수" xfId="1207" xr:uid="{00000000-0005-0000-0000-0000D71C0000}"/>
    <cellStyle name="통_4.오수_구미정수장A(건축)(최종)(1)" xfId="1208" xr:uid="{00000000-0005-0000-0000-0000D81C0000}"/>
    <cellStyle name="통_4.오수_구미정수장A(건축)(최종)(1) 2" xfId="1209" xr:uid="{00000000-0005-0000-0000-0000D91C0000}"/>
    <cellStyle name="통_4.오수_구미정수장A(건축)(최종)(1)_설계변경내역서(100928)-4" xfId="1210" xr:uid="{00000000-0005-0000-0000-0000DA1C0000}"/>
    <cellStyle name="통_4.오수_석성정수장WBS(최종)" xfId="1211" xr:uid="{00000000-0005-0000-0000-0000DB1C0000}"/>
    <cellStyle name="통_4.오수_석성정수장WBS(최종) 2" xfId="1212" xr:uid="{00000000-0005-0000-0000-0000DC1C0000}"/>
    <cellStyle name="통_4.오수_석성정수장WBS(최종)_설계변경내역서(100928)-4" xfId="1213" xr:uid="{00000000-0005-0000-0000-0000DD1C0000}"/>
    <cellStyle name="통_4_구미_내역서(최종)" xfId="1214" xr:uid="{00000000-0005-0000-0000-0000DE1C0000}"/>
    <cellStyle name="통_4_구미_내역서(최종) 2" xfId="8414" xr:uid="{00000000-0005-0000-0000-0000DF1C0000}"/>
    <cellStyle name="통_Book1" xfId="1215" xr:uid="{00000000-0005-0000-0000-0000E01C0000}"/>
    <cellStyle name="통_Book1_구미정수장A(건축)(최종)(1)" xfId="1216" xr:uid="{00000000-0005-0000-0000-0000E11C0000}"/>
    <cellStyle name="통_고향의_강_내역(환경)" xfId="6424" xr:uid="{00000000-0005-0000-0000-0000E21C0000}"/>
    <cellStyle name="통_고향의_강_내역(환경)_01 내역서(진건천)" xfId="6425" xr:uid="{00000000-0005-0000-0000-0000E31C0000}"/>
    <cellStyle name="통_고향의_강_내역(환경)_01 유성천 수해상습지(기본계획 변경)" xfId="6426" xr:uid="{00000000-0005-0000-0000-0000E41C0000}"/>
    <cellStyle name="통_고향의_강_내역(환경)_01 유성천 수해상습지(기본계획 변경)_01.내역서(원당천)환경수정" xfId="6427" xr:uid="{00000000-0005-0000-0000-0000E51C0000}"/>
    <cellStyle name="통_고향의_강_내역(환경)_01 유성천 수해상습지_내역서" xfId="6428" xr:uid="{00000000-0005-0000-0000-0000E61C0000}"/>
    <cellStyle name="통_고향의_강_내역(환경)_01 유성천 수해상습지_내역서_01.내역서(원당천)환경수정" xfId="6429" xr:uid="{00000000-0005-0000-0000-0000E71C0000}"/>
    <cellStyle name="통_고향의_강_내역(환경)_고향의강(진잠천)_실시설계_용역_내역서(발주내역)" xfId="6430" xr:uid="{00000000-0005-0000-0000-0000E81C0000}"/>
    <cellStyle name="통_고향의_강_내역(환경)_유성천_수해상습지(인건비+측정)_내역서" xfId="6431" xr:uid="{00000000-0005-0000-0000-0000E91C0000}"/>
    <cellStyle name="통_고향의_강_내역(환경)_정생천_수해상습지_개선사업_기본및실시설계용역" xfId="6432" xr:uid="{00000000-0005-0000-0000-0000EA1C0000}"/>
    <cellStyle name="통_교통성검토" xfId="6433" xr:uid="{00000000-0005-0000-0000-0000EB1C0000}"/>
    <cellStyle name="통_구미내역서(최종)" xfId="1217" xr:uid="{00000000-0005-0000-0000-0000EC1C0000}"/>
    <cellStyle name="통_구미내역서(최종) 2" xfId="8415" xr:uid="{00000000-0005-0000-0000-0000ED1C0000}"/>
    <cellStyle name="통_구미내역서(표지목차WBS참조)" xfId="1218" xr:uid="{00000000-0005-0000-0000-0000EE1C0000}"/>
    <cellStyle name="통_구미내역서(표지목차WBS참조)_구미정수장A(건축)(최종)(1)" xfId="1219" xr:uid="{00000000-0005-0000-0000-0000EF1C0000}"/>
    <cellStyle name="통_구미내역서(표지목차WBS참조)_구미정수장A(건축)(최종)(1) 2" xfId="1220" xr:uid="{00000000-0005-0000-0000-0000F01C0000}"/>
    <cellStyle name="통_구미내역서(표지목차WBS참조)_구미정수장A(건축)(최종)(1)_설계변경내역서(100928)-4" xfId="1221" xr:uid="{00000000-0005-0000-0000-0000F11C0000}"/>
    <cellStyle name="통_구미정수장A(건축)(최종)(1)" xfId="1222" xr:uid="{00000000-0005-0000-0000-0000F21C0000}"/>
    <cellStyle name="통_구미정수장A(건축)(최종)(1) 2" xfId="1223" xr:uid="{00000000-0005-0000-0000-0000F31C0000}"/>
    <cellStyle name="통_구미정수장A(건축)(최종)(1)_설계변경내역서(100928)-4" xfId="1224" xr:uid="{00000000-0005-0000-0000-0000F41C0000}"/>
    <cellStyle name="통_구미정수장a(건축,총괄집계표까지참조)" xfId="1225" xr:uid="{00000000-0005-0000-0000-0000F51C0000}"/>
    <cellStyle name="통_구미정수장a(건축,총괄집계표까지참조)_구미정수장A(건축)(최종)(1)" xfId="1226" xr:uid="{00000000-0005-0000-0000-0000F61C0000}"/>
    <cellStyle name="통_구미정수장a(건축,총괄집계표까지참조)_구미정수장A(건축)(최종)(1) 2" xfId="1227" xr:uid="{00000000-0005-0000-0000-0000F71C0000}"/>
    <cellStyle name="통_구미정수장a(건축,총괄집계표까지참조)_구미정수장A(건축)(최종)(1)_설계변경내역서(100928)-4" xfId="1228" xr:uid="{00000000-0005-0000-0000-0000F81C0000}"/>
    <cellStyle name="통_구미정수장B(건축,기계,토목)" xfId="1229" xr:uid="{00000000-0005-0000-0000-0000F91C0000}"/>
    <cellStyle name="통_구미정수장B(건축,기계,토목)_구미정수장A(건축)(최종)(1)" xfId="1230" xr:uid="{00000000-0005-0000-0000-0000FA1C0000}"/>
    <cellStyle name="통_구미정수장B(건축,기계,토목)_구미정수장A(건축)(최종)(1) 2" xfId="1231" xr:uid="{00000000-0005-0000-0000-0000FB1C0000}"/>
    <cellStyle name="통_구미정수장B(건축,기계,토목)_구미정수장A(건축)(최종)(1)_설계변경내역서(100928)-4" xfId="1232" xr:uid="{00000000-0005-0000-0000-0000FC1C0000}"/>
    <cellStyle name="통_내역서(포항)" xfId="1233" xr:uid="{00000000-0005-0000-0000-0000FD1C0000}"/>
    <cellStyle name="통_문경내역(1127)" xfId="6434" xr:uid="{00000000-0005-0000-0000-0000FE1C0000}"/>
    <cellStyle name="통_문경내역(1127)_01.설계내역서" xfId="8318" xr:uid="{00000000-0005-0000-0000-0000FF1C0000}"/>
    <cellStyle name="통_문경내역(1127)_01.신천 생태하천 설계변경내역서" xfId="6435" xr:uid="{00000000-0005-0000-0000-0000001D0000}"/>
    <cellStyle name="통_문경내역(1127)_01.신천 생태하천 설계변경내역서_01 내역서(진건천)" xfId="6436" xr:uid="{00000000-0005-0000-0000-0000011D0000}"/>
    <cellStyle name="통_문경내역(1127)_01.신천 생태하천 설계변경내역서_01 유성천 수해상습지(기본계획 변경)" xfId="6437" xr:uid="{00000000-0005-0000-0000-0000021D0000}"/>
    <cellStyle name="통_문경내역(1127)_01.신천 생태하천 설계변경내역서_01 유성천 수해상습지(기본계획 변경)_01.내역서(원당천)환경수정" xfId="6438" xr:uid="{00000000-0005-0000-0000-0000031D0000}"/>
    <cellStyle name="통_문경내역(1127)_01.신천 생태하천 설계변경내역서_01 유성천 수해상습지(기본계획 변경)_01.소요생연 침수방지대책 설계예산서(20121127)" xfId="6439" xr:uid="{00000000-0005-0000-0000-0000041D0000}"/>
    <cellStyle name="통_문경내역(1127)_01.신천 생태하천 설계변경내역서_01 유성천 수해상습지(기본계획 변경)_7-2투입인력" xfId="6440" xr:uid="{00000000-0005-0000-0000-0000051D0000}"/>
    <cellStyle name="통_문경내역(1127)_01.신천 생태하천 설계변경내역서_01 유성천 수해상습지(기본계획 변경)_설계내역서_선유3빗물펌프장(20120507)" xfId="6441" xr:uid="{00000000-0005-0000-0000-0000061D0000}"/>
    <cellStyle name="통_문경내역(1127)_01.신천 생태하천 설계변경내역서_01 유성천 수해상습지(기본계획 변경)_연천배수펌프장 개선사업 기본및실시설계용역 내역서-1" xfId="6442" xr:uid="{00000000-0005-0000-0000-0000071D0000}"/>
    <cellStyle name="통_문경내역(1127)_01.신천 생태하천 설계변경내역서_01 유성천 수해상습지_내역서" xfId="6443" xr:uid="{00000000-0005-0000-0000-0000081D0000}"/>
    <cellStyle name="통_문경내역(1127)_01.신천 생태하천 설계변경내역서_01 유성천 수해상습지_내역서_01.내역서(원당천)환경수정" xfId="6444" xr:uid="{00000000-0005-0000-0000-0000091D0000}"/>
    <cellStyle name="통_문경내역(1127)_01.신천 생태하천 설계변경내역서_01 유성천 수해상습지_내역서_01.소요생연 침수방지대책 설계예산서(20121127)" xfId="6445" xr:uid="{00000000-0005-0000-0000-00000A1D0000}"/>
    <cellStyle name="통_문경내역(1127)_01.신천 생태하천 설계변경내역서_01 유성천 수해상습지_내역서_7-2투입인력" xfId="6446" xr:uid="{00000000-0005-0000-0000-00000B1D0000}"/>
    <cellStyle name="통_문경내역(1127)_01.신천 생태하천 설계변경내역서_01 유성천 수해상습지_내역서_설계내역서_선유3빗물펌프장(20120507)" xfId="6447" xr:uid="{00000000-0005-0000-0000-00000C1D0000}"/>
    <cellStyle name="통_문경내역(1127)_01.신천 생태하천 설계변경내역서_01 유성천 수해상습지_내역서_연천배수펌프장 개선사업 기본및실시설계용역 내역서-1" xfId="6448" xr:uid="{00000000-0005-0000-0000-00000D1D0000}"/>
    <cellStyle name="통_문경내역(1127)_01.신천 생태하천 설계변경내역서_01.내역서 - 원당천 개선복구" xfId="6449" xr:uid="{00000000-0005-0000-0000-00000E1D0000}"/>
    <cellStyle name="통_문경내역(1127)_01.신천 생태하천 설계변경내역서_01.내역서(2억원)" xfId="6450" xr:uid="{00000000-0005-0000-0000-00000F1D0000}"/>
    <cellStyle name="통_문경내역(1127)_01.신천 생태하천 설계변경내역서_01.내역서(선암리,원당천)통합" xfId="6451" xr:uid="{00000000-0005-0000-0000-0000101D0000}"/>
    <cellStyle name="통_문경내역(1127)_01.신천 생태하천 설계변경내역서_01.내역서(원당천)" xfId="6452" xr:uid="{00000000-0005-0000-0000-0000111D0000}"/>
    <cellStyle name="통_문경내역(1127)_01.신천 생태하천 설계변경내역서_01.내역서(원당천)환경수정" xfId="6453" xr:uid="{00000000-0005-0000-0000-0000121D0000}"/>
    <cellStyle name="통_문경내역(1127)_01.신천 생태하천 설계변경내역서_01.세말천_소하천정비공사_내역서(최종)" xfId="6454" xr:uid="{00000000-0005-0000-0000-0000131D0000}"/>
    <cellStyle name="통_문경내역(1127)_01.신천 생태하천 설계변경내역서_01.소요생연 침수방지대책 설계예산서(20121127)" xfId="6455" xr:uid="{00000000-0005-0000-0000-0000141D0000}"/>
    <cellStyle name="통_문경내역(1127)_01.신천 생태하천 설계변경내역서_7-2투입인력" xfId="6456" xr:uid="{00000000-0005-0000-0000-0000151D0000}"/>
    <cellStyle name="통_문경내역(1127)_01.신천 생태하천 설계변경내역서_고향의강(진잠천)_실시설계_용역_내역서(발주내역)" xfId="6457" xr:uid="{00000000-0005-0000-0000-0000161D0000}"/>
    <cellStyle name="통_문경내역(1127)_01.신천 생태하천 설계변경내역서_고향의강(진잠천)_실시설계_용역_내역서(발주내역)_01.소요생연 침수방지대책 설계예산서(20121127)" xfId="6458" xr:uid="{00000000-0005-0000-0000-0000171D0000}"/>
    <cellStyle name="통_문경내역(1127)_01.신천 생태하천 설계변경내역서_고향의강(진잠천)_실시설계_용역_내역서(발주내역)_7-2투입인력" xfId="6459" xr:uid="{00000000-0005-0000-0000-0000181D0000}"/>
    <cellStyle name="통_문경내역(1127)_01.신천 생태하천 설계변경내역서_고향의강(진잠천)_실시설계_용역_내역서(발주내역)_동두천시_침수방지대책수립실시설계예산서(0823)" xfId="6460" xr:uid="{00000000-0005-0000-0000-0000191D0000}"/>
    <cellStyle name="통_문경내역(1127)_01.신천 생태하천 설계변경내역서_고향의강(진잠천)_실시설계_용역_내역서(발주내역)_설계내역서_선유3빗물펌프장(20120507)" xfId="6461" xr:uid="{00000000-0005-0000-0000-00001A1D0000}"/>
    <cellStyle name="통_문경내역(1127)_01.신천 생태하천 설계변경내역서_고향의강(진잠천)_실시설계_용역_내역서(발주내역)_연천배수펌프장 개선사업 기본및실시설계용역 내역서-1" xfId="6462" xr:uid="{00000000-0005-0000-0000-00001B1D0000}"/>
    <cellStyle name="통_문경내역(1127)_01.신천 생태하천 설계변경내역서_고향의강(진잠천)_실시설계_용역_내역서(발주내역)_침수방지대책_예산서_0823(관거조사포함)" xfId="6463" xr:uid="{00000000-0005-0000-0000-00001C1D0000}"/>
    <cellStyle name="통_문경내역(1127)_01.신천 생태하천 설계변경내역서_내역서(수해원인조사및분석)" xfId="6464" xr:uid="{00000000-0005-0000-0000-00001D1D0000}"/>
    <cellStyle name="통_문경내역(1127)_01.신천 생태하천 설계변경내역서_동두천시_침수방지대책수립실시설계예산서(0823)" xfId="6465" xr:uid="{00000000-0005-0000-0000-00001E1D0000}"/>
    <cellStyle name="통_문경내역(1127)_01.신천 생태하천 설계변경내역서_동두천시침수방지대책수립실시설계예산서(0816)" xfId="6466" xr:uid="{00000000-0005-0000-0000-00001F1D0000}"/>
    <cellStyle name="통_문경내역(1127)_01.신천 생태하천 설계변경내역서_설계내역서_선유3빗물펌프장(20120507)" xfId="6467" xr:uid="{00000000-0005-0000-0000-0000201D0000}"/>
    <cellStyle name="통_문경내역(1127)_01.신천 생태하천 설계변경내역서_연천배수펌프장 개선사업 기본및실시설계용역 내역서-1" xfId="6468" xr:uid="{00000000-0005-0000-0000-0000211D0000}"/>
    <cellStyle name="통_문경내역(1127)_01.신천 생태하천 설계변경내역서_유성천_수해상습지(인건비+측정)_내역서" xfId="6469" xr:uid="{00000000-0005-0000-0000-0000221D0000}"/>
    <cellStyle name="통_문경내역(1127)_01.신천 생태하천 설계변경내역서_정생천_수해상습지_개선사업_기본및실시설계용역" xfId="6470" xr:uid="{00000000-0005-0000-0000-0000231D0000}"/>
    <cellStyle name="통_문경내역(1127)_01.신천 생태하천 설계변경내역서_침수방지대책_예산서_0823(관거조사포함)" xfId="6471" xr:uid="{00000000-0005-0000-0000-0000241D0000}"/>
    <cellStyle name="통_문경내역(1127)_01.신천 생태하천 설계변경내역서_하천내구조물설치에따른 수리수문분석_내역서(최종)" xfId="6472" xr:uid="{00000000-0005-0000-0000-0000251D0000}"/>
    <cellStyle name="통_문경내역(1127)_고향의_강_내역(환경)" xfId="6473" xr:uid="{00000000-0005-0000-0000-0000261D0000}"/>
    <cellStyle name="통_문경내역(1127)_고향의_강_내역(환경)_01 내역서(진건천)" xfId="6474" xr:uid="{00000000-0005-0000-0000-0000271D0000}"/>
    <cellStyle name="통_문경내역(1127)_고향의_강_내역(환경)_01 유성천 수해상습지(기본계획 변경)" xfId="6475" xr:uid="{00000000-0005-0000-0000-0000281D0000}"/>
    <cellStyle name="통_문경내역(1127)_고향의_강_내역(환경)_01 유성천 수해상습지(기본계획 변경)_01.내역서(원당천)환경수정" xfId="6476" xr:uid="{00000000-0005-0000-0000-0000291D0000}"/>
    <cellStyle name="통_문경내역(1127)_고향의_강_내역(환경)_01 유성천 수해상습지(기본계획 변경)_01.소요생연 침수방지대책 설계예산서(20121127)" xfId="6477" xr:uid="{00000000-0005-0000-0000-00002A1D0000}"/>
    <cellStyle name="통_문경내역(1127)_고향의_강_내역(환경)_01 유성천 수해상습지(기본계획 변경)_7-2투입인력" xfId="6478" xr:uid="{00000000-0005-0000-0000-00002B1D0000}"/>
    <cellStyle name="통_문경내역(1127)_고향의_강_내역(환경)_01 유성천 수해상습지(기본계획 변경)_설계내역서_선유3빗물펌프장(20120507)" xfId="6479" xr:uid="{00000000-0005-0000-0000-00002C1D0000}"/>
    <cellStyle name="통_문경내역(1127)_고향의_강_내역(환경)_01 유성천 수해상습지(기본계획 변경)_연천배수펌프장 개선사업 기본및실시설계용역 내역서-1" xfId="6480" xr:uid="{00000000-0005-0000-0000-00002D1D0000}"/>
    <cellStyle name="통_문경내역(1127)_고향의_강_내역(환경)_01 유성천 수해상습지_내역서" xfId="6481" xr:uid="{00000000-0005-0000-0000-00002E1D0000}"/>
    <cellStyle name="통_문경내역(1127)_고향의_강_내역(환경)_01 유성천 수해상습지_내역서_01.내역서(원당천)환경수정" xfId="6482" xr:uid="{00000000-0005-0000-0000-00002F1D0000}"/>
    <cellStyle name="통_문경내역(1127)_고향의_강_내역(환경)_01 유성천 수해상습지_내역서_01.소요생연 침수방지대책 설계예산서(20121127)" xfId="6483" xr:uid="{00000000-0005-0000-0000-0000301D0000}"/>
    <cellStyle name="통_문경내역(1127)_고향의_강_내역(환경)_01 유성천 수해상습지_내역서_7-2투입인력" xfId="6484" xr:uid="{00000000-0005-0000-0000-0000311D0000}"/>
    <cellStyle name="통_문경내역(1127)_고향의_강_내역(환경)_01 유성천 수해상습지_내역서_설계내역서_선유3빗물펌프장(20120507)" xfId="6485" xr:uid="{00000000-0005-0000-0000-0000321D0000}"/>
    <cellStyle name="통_문경내역(1127)_고향의_강_내역(환경)_01 유성천 수해상습지_내역서_연천배수펌프장 개선사업 기본및실시설계용역 내역서-1" xfId="6486" xr:uid="{00000000-0005-0000-0000-0000331D0000}"/>
    <cellStyle name="통_문경내역(1127)_고향의_강_내역(환경)_01.내역서 - 원당천 개선복구" xfId="6487" xr:uid="{00000000-0005-0000-0000-0000341D0000}"/>
    <cellStyle name="통_문경내역(1127)_고향의_강_내역(환경)_01.내역서(2억원)" xfId="6488" xr:uid="{00000000-0005-0000-0000-0000351D0000}"/>
    <cellStyle name="통_문경내역(1127)_고향의_강_내역(환경)_01.내역서(선암리,원당천)통합" xfId="6489" xr:uid="{00000000-0005-0000-0000-0000361D0000}"/>
    <cellStyle name="통_문경내역(1127)_고향의_강_내역(환경)_01.내역서(원당천)" xfId="6490" xr:uid="{00000000-0005-0000-0000-0000371D0000}"/>
    <cellStyle name="통_문경내역(1127)_고향의_강_내역(환경)_01.내역서(원당천)환경수정" xfId="6491" xr:uid="{00000000-0005-0000-0000-0000381D0000}"/>
    <cellStyle name="통_문경내역(1127)_고향의_강_내역(환경)_01.세말천_소하천정비공사_내역서(최종)" xfId="6492" xr:uid="{00000000-0005-0000-0000-0000391D0000}"/>
    <cellStyle name="통_문경내역(1127)_고향의_강_내역(환경)_01.소요생연 침수방지대책 설계예산서(20121127)" xfId="6493" xr:uid="{00000000-0005-0000-0000-00003A1D0000}"/>
    <cellStyle name="통_문경내역(1127)_고향의_강_내역(환경)_7-2투입인력" xfId="6494" xr:uid="{00000000-0005-0000-0000-00003B1D0000}"/>
    <cellStyle name="통_문경내역(1127)_고향의_강_내역(환경)_고향의강(진잠천)_실시설계_용역_내역서(발주내역)" xfId="6495" xr:uid="{00000000-0005-0000-0000-00003C1D0000}"/>
    <cellStyle name="통_문경내역(1127)_고향의_강_내역(환경)_고향의강(진잠천)_실시설계_용역_내역서(발주내역)_01.소요생연 침수방지대책 설계예산서(20121127)" xfId="6496" xr:uid="{00000000-0005-0000-0000-00003D1D0000}"/>
    <cellStyle name="통_문경내역(1127)_고향의_강_내역(환경)_고향의강(진잠천)_실시설계_용역_내역서(발주내역)_7-2투입인력" xfId="6497" xr:uid="{00000000-0005-0000-0000-00003E1D0000}"/>
    <cellStyle name="통_문경내역(1127)_고향의_강_내역(환경)_고향의강(진잠천)_실시설계_용역_내역서(발주내역)_동두천시_침수방지대책수립실시설계예산서(0823)" xfId="6498" xr:uid="{00000000-0005-0000-0000-00003F1D0000}"/>
    <cellStyle name="통_문경내역(1127)_고향의_강_내역(환경)_고향의강(진잠천)_실시설계_용역_내역서(발주내역)_설계내역서_선유3빗물펌프장(20120507)" xfId="6499" xr:uid="{00000000-0005-0000-0000-0000401D0000}"/>
    <cellStyle name="통_문경내역(1127)_고향의_강_내역(환경)_고향의강(진잠천)_실시설계_용역_내역서(발주내역)_연천배수펌프장 개선사업 기본및실시설계용역 내역서-1" xfId="6500" xr:uid="{00000000-0005-0000-0000-0000411D0000}"/>
    <cellStyle name="통_문경내역(1127)_고향의_강_내역(환경)_고향의강(진잠천)_실시설계_용역_내역서(발주내역)_침수방지대책_예산서_0823(관거조사포함)" xfId="6501" xr:uid="{00000000-0005-0000-0000-0000421D0000}"/>
    <cellStyle name="통_문경내역(1127)_고향의_강_내역(환경)_내역서(수해원인조사및분석)" xfId="6502" xr:uid="{00000000-0005-0000-0000-0000431D0000}"/>
    <cellStyle name="통_문경내역(1127)_고향의_강_내역(환경)_동두천시_침수방지대책수립실시설계예산서(0823)" xfId="6503" xr:uid="{00000000-0005-0000-0000-0000441D0000}"/>
    <cellStyle name="통_문경내역(1127)_고향의_강_내역(환경)_동두천시침수방지대책수립실시설계예산서(0816)" xfId="6504" xr:uid="{00000000-0005-0000-0000-0000451D0000}"/>
    <cellStyle name="통_문경내역(1127)_고향의_강_내역(환경)_설계내역서_선유3빗물펌프장(20120507)" xfId="6505" xr:uid="{00000000-0005-0000-0000-0000461D0000}"/>
    <cellStyle name="통_문경내역(1127)_고향의_강_내역(환경)_연천배수펌프장 개선사업 기본및실시설계용역 내역서-1" xfId="6506" xr:uid="{00000000-0005-0000-0000-0000471D0000}"/>
    <cellStyle name="통_문경내역(1127)_고향의_강_내역(환경)_유성천_수해상습지(인건비+측정)_내역서" xfId="6507" xr:uid="{00000000-0005-0000-0000-0000481D0000}"/>
    <cellStyle name="통_문경내역(1127)_고향의_강_내역(환경)_정생천_수해상습지_개선사업_기본및실시설계용역" xfId="6508" xr:uid="{00000000-0005-0000-0000-0000491D0000}"/>
    <cellStyle name="통_문경내역(1127)_고향의_강_내역(환경)_침수방지대책_예산서_0823(관거조사포함)" xfId="6509" xr:uid="{00000000-0005-0000-0000-00004A1D0000}"/>
    <cellStyle name="통_문경내역(1127)_설계내역서(변경)" xfId="6510" xr:uid="{00000000-0005-0000-0000-00004B1D0000}"/>
    <cellStyle name="통_문경내역(1127)_설계내역서(변경)_01.내역서(원당천)환경수정" xfId="6511" xr:uid="{00000000-0005-0000-0000-00004C1D0000}"/>
    <cellStyle name="통_문경내역(1127)_설계내역서(변경)_01.소요생연 침수방지대책 설계예산서(20121127)" xfId="6512" xr:uid="{00000000-0005-0000-0000-00004D1D0000}"/>
    <cellStyle name="통_문경내역(1127)_설계내역서(변경)_7-2투입인력" xfId="6513" xr:uid="{00000000-0005-0000-0000-00004E1D0000}"/>
    <cellStyle name="통_문경내역(1127)_설계내역서(변경)_설계내역서_선유3빗물펌프장(20120507)" xfId="6514" xr:uid="{00000000-0005-0000-0000-00004F1D0000}"/>
    <cellStyle name="통_문경내역(1127)_설계내역서(변경)_연천배수펌프장 개선사업 기본및실시설계용역 내역서-1" xfId="6515" xr:uid="{00000000-0005-0000-0000-0000501D0000}"/>
    <cellStyle name="통_문경내역(1127)_양주복지지구내역서(품셈)" xfId="6516" xr:uid="{00000000-0005-0000-0000-0000511D0000}"/>
    <cellStyle name="통_문경내역(1127)_양주복지지구내역서(품셈)_설계내역서(정자말)작업(1)" xfId="6517" xr:uid="{00000000-0005-0000-0000-0000521D0000}"/>
    <cellStyle name="통_문경내역(1127)_의정부_도시관리계획(GB해제,_제1종지구단위계획)_사전환경성검토" xfId="6518" xr:uid="{00000000-0005-0000-0000-0000531D0000}"/>
    <cellStyle name="통_밀양시소하천_계약내역" xfId="6519" xr:uid="{00000000-0005-0000-0000-0000541D0000}"/>
    <cellStyle name="통_밀양시소하천_계약내역 2" xfId="8319" xr:uid="{00000000-0005-0000-0000-0000551D0000}"/>
    <cellStyle name="통_복사본 동백공원내 군수영부두 이전사업용역내역서" xfId="6520" xr:uid="{00000000-0005-0000-0000-0000561D0000}"/>
    <cellStyle name="통_복사본 동백공원내 군수영부두 이전사업용역내역서 2" xfId="8433" xr:uid="{00000000-0005-0000-0000-0000571D0000}"/>
    <cellStyle name="통_복사본_동백공원내_군수영부두_이전사업용역내역서" xfId="6521" xr:uid="{00000000-0005-0000-0000-0000581D0000}"/>
    <cellStyle name="통_복사본_동백공원내_군수영부두_이전사업용역내역서 2" xfId="8434" xr:uid="{00000000-0005-0000-0000-0000591D0000}"/>
    <cellStyle name="통_사진대지" xfId="1234" xr:uid="{00000000-0005-0000-0000-00005A1D0000}"/>
    <cellStyle name="통_사진대지 2" xfId="8416" xr:uid="{00000000-0005-0000-0000-00005B1D0000}"/>
    <cellStyle name="통_사진대지_구미정수장A(건축)(최종)(1)" xfId="1235" xr:uid="{00000000-0005-0000-0000-00005C1D0000}"/>
    <cellStyle name="통_사진대지_구미정수장A(건축)(최종)(1) 2" xfId="8417" xr:uid="{00000000-0005-0000-0000-00005D1D0000}"/>
    <cellStyle name="통_서울대 바이오테크 설계내역서" xfId="6522" xr:uid="{00000000-0005-0000-0000-00005E1D0000}"/>
    <cellStyle name="통_서울대 바이오테크 설계내역서 2" xfId="8320" xr:uid="{00000000-0005-0000-0000-00005F1D0000}"/>
    <cellStyle name="통_서울대 바이오테크 설계내역서(수정)" xfId="6523" xr:uid="{00000000-0005-0000-0000-0000601D0000}"/>
    <cellStyle name="통_서울대 바이오테크 설계내역서(수정) 2" xfId="8321" xr:uid="{00000000-0005-0000-0000-0000611D0000}"/>
    <cellStyle name="통_석성정수장WBS(최종)" xfId="1236" xr:uid="{00000000-0005-0000-0000-0000621D0000}"/>
    <cellStyle name="통_석성정수장WBS(최종) 2" xfId="1237" xr:uid="{00000000-0005-0000-0000-0000631D0000}"/>
    <cellStyle name="통_석성정수장WBS(최종)_설계변경내역서(100928)-4" xfId="1238" xr:uid="{00000000-0005-0000-0000-0000641D0000}"/>
    <cellStyle name="통_설계내역서(변경)" xfId="6524" xr:uid="{00000000-0005-0000-0000-0000651D0000}"/>
    <cellStyle name="통_설계내역서(변경)_01.내역서(원당천)환경수정" xfId="6525" xr:uid="{00000000-0005-0000-0000-0000661D0000}"/>
    <cellStyle name="통_설계내역서1(1)" xfId="6526" xr:uid="{00000000-0005-0000-0000-0000671D0000}"/>
    <cellStyle name="통_섬강 하천기본계획(보완) 수립용역(조정2)" xfId="8322" xr:uid="{00000000-0005-0000-0000-0000681D0000}"/>
    <cellStyle name="통_심사내역서1" xfId="6527" xr:uid="{00000000-0005-0000-0000-0000691D0000}"/>
    <cellStyle name="통_심사내역서1 2" xfId="8323" xr:uid="{00000000-0005-0000-0000-00006A1D0000}"/>
    <cellStyle name="통_양주복지지구내역서(품셈)" xfId="6528" xr:uid="{00000000-0005-0000-0000-00006B1D0000}"/>
    <cellStyle name="통_양주복지지구내역서(품셈)_설계내역서(정자말)작업(1)" xfId="6529" xr:uid="{00000000-0005-0000-0000-00006C1D0000}"/>
    <cellStyle name="통_오수공수량산출서" xfId="1239" xr:uid="{00000000-0005-0000-0000-00006D1D0000}"/>
    <cellStyle name="통_오수공수량산출서_구미정수장A(건축)(최종)(1)" xfId="1240" xr:uid="{00000000-0005-0000-0000-00006E1D0000}"/>
    <cellStyle name="통_오수공수량산출서_구미정수장A(건축)(최종)(1) 2" xfId="1241" xr:uid="{00000000-0005-0000-0000-00006F1D0000}"/>
    <cellStyle name="통_오수공수량산출서_구미정수장A(건축)(최종)(1)_설계변경내역서(100928)-4" xfId="1242" xr:uid="{00000000-0005-0000-0000-0000701D0000}"/>
    <cellStyle name="통_오수공수량산출서_석성정수장WBS(최종)" xfId="1243" xr:uid="{00000000-0005-0000-0000-0000711D0000}"/>
    <cellStyle name="통_오수공수량산출서_석성정수장WBS(최종) 2" xfId="1244" xr:uid="{00000000-0005-0000-0000-0000721D0000}"/>
    <cellStyle name="통_오수공수량산출서_석성정수장WBS(최종)_설계변경내역서(100928)-4" xfId="1245" xr:uid="{00000000-0005-0000-0000-0000731D0000}"/>
    <cellStyle name="통_울산 도시개발사업(교평)" xfId="6530" xr:uid="{00000000-0005-0000-0000-0000741D0000}"/>
    <cellStyle name="통_울산 도시개발사업(교평)_01.설계내역서" xfId="8324" xr:uid="{00000000-0005-0000-0000-0000751D0000}"/>
    <cellStyle name="통_울산 도시개발사업(교평)_01.신천 생태하천 설계변경내역서" xfId="6531" xr:uid="{00000000-0005-0000-0000-0000761D0000}"/>
    <cellStyle name="통_울산 도시개발사업(교평)_01.신천 생태하천 설계변경내역서_01 내역서(진건천)" xfId="6532" xr:uid="{00000000-0005-0000-0000-0000771D0000}"/>
    <cellStyle name="통_울산 도시개발사업(교평)_01.신천 생태하천 설계변경내역서_01 유성천 수해상습지(기본계획 변경)" xfId="6533" xr:uid="{00000000-0005-0000-0000-0000781D0000}"/>
    <cellStyle name="통_울산 도시개발사업(교평)_01.신천 생태하천 설계변경내역서_01 유성천 수해상습지(기본계획 변경)_01.내역서(원당천)환경수정" xfId="6534" xr:uid="{00000000-0005-0000-0000-0000791D0000}"/>
    <cellStyle name="통_울산 도시개발사업(교평)_01.신천 생태하천 설계변경내역서_01 유성천 수해상습지(기본계획 변경)_01.소요생연 침수방지대책 설계예산서(20121127)" xfId="6535" xr:uid="{00000000-0005-0000-0000-00007A1D0000}"/>
    <cellStyle name="통_울산 도시개발사업(교평)_01.신천 생태하천 설계변경내역서_01 유성천 수해상습지(기본계획 변경)_7-2투입인력" xfId="6536" xr:uid="{00000000-0005-0000-0000-00007B1D0000}"/>
    <cellStyle name="통_울산 도시개발사업(교평)_01.신천 생태하천 설계변경내역서_01 유성천 수해상습지(기본계획 변경)_설계내역서_선유3빗물펌프장(20120507)" xfId="6537" xr:uid="{00000000-0005-0000-0000-00007C1D0000}"/>
    <cellStyle name="통_울산 도시개발사업(교평)_01.신천 생태하천 설계변경내역서_01 유성천 수해상습지(기본계획 변경)_연천배수펌프장 개선사업 기본및실시설계용역 내역서-1" xfId="6538" xr:uid="{00000000-0005-0000-0000-00007D1D0000}"/>
    <cellStyle name="통_울산 도시개발사업(교평)_01.신천 생태하천 설계변경내역서_01 유성천 수해상습지_내역서" xfId="6539" xr:uid="{00000000-0005-0000-0000-00007E1D0000}"/>
    <cellStyle name="통_울산 도시개발사업(교평)_01.신천 생태하천 설계변경내역서_01 유성천 수해상습지_내역서_01.내역서(원당천)환경수정" xfId="6540" xr:uid="{00000000-0005-0000-0000-00007F1D0000}"/>
    <cellStyle name="통_울산 도시개발사업(교평)_01.신천 생태하천 설계변경내역서_01 유성천 수해상습지_내역서_01.소요생연 침수방지대책 설계예산서(20121127)" xfId="6541" xr:uid="{00000000-0005-0000-0000-0000801D0000}"/>
    <cellStyle name="통_울산 도시개발사업(교평)_01.신천 생태하천 설계변경내역서_01 유성천 수해상습지_내역서_7-2투입인력" xfId="6542" xr:uid="{00000000-0005-0000-0000-0000811D0000}"/>
    <cellStyle name="통_울산 도시개발사업(교평)_01.신천 생태하천 설계변경내역서_01 유성천 수해상습지_내역서_설계내역서_선유3빗물펌프장(20120507)" xfId="6543" xr:uid="{00000000-0005-0000-0000-0000821D0000}"/>
    <cellStyle name="통_울산 도시개발사업(교평)_01.신천 생태하천 설계변경내역서_01 유성천 수해상습지_내역서_연천배수펌프장 개선사업 기본및실시설계용역 내역서-1" xfId="6544" xr:uid="{00000000-0005-0000-0000-0000831D0000}"/>
    <cellStyle name="통_울산 도시개발사업(교평)_01.신천 생태하천 설계변경내역서_01.내역서 - 원당천 개선복구" xfId="6545" xr:uid="{00000000-0005-0000-0000-0000841D0000}"/>
    <cellStyle name="통_울산 도시개발사업(교평)_01.신천 생태하천 설계변경내역서_01.내역서(2억원)" xfId="6546" xr:uid="{00000000-0005-0000-0000-0000851D0000}"/>
    <cellStyle name="통_울산 도시개발사업(교평)_01.신천 생태하천 설계변경내역서_01.내역서(선암리,원당천)통합" xfId="6547" xr:uid="{00000000-0005-0000-0000-0000861D0000}"/>
    <cellStyle name="통_울산 도시개발사업(교평)_01.신천 생태하천 설계변경내역서_01.내역서(원당천)" xfId="6548" xr:uid="{00000000-0005-0000-0000-0000871D0000}"/>
    <cellStyle name="통_울산 도시개발사업(교평)_01.신천 생태하천 설계변경내역서_01.내역서(원당천)환경수정" xfId="6549" xr:uid="{00000000-0005-0000-0000-0000881D0000}"/>
    <cellStyle name="통_울산 도시개발사업(교평)_01.신천 생태하천 설계변경내역서_01.세말천_소하천정비공사_내역서(최종)" xfId="6550" xr:uid="{00000000-0005-0000-0000-0000891D0000}"/>
    <cellStyle name="통_울산 도시개발사업(교평)_01.신천 생태하천 설계변경내역서_01.소요생연 침수방지대책 설계예산서(20121127)" xfId="6551" xr:uid="{00000000-0005-0000-0000-00008A1D0000}"/>
    <cellStyle name="통_울산 도시개발사업(교평)_01.신천 생태하천 설계변경내역서_7-2투입인력" xfId="6552" xr:uid="{00000000-0005-0000-0000-00008B1D0000}"/>
    <cellStyle name="통_울산 도시개발사업(교평)_01.신천 생태하천 설계변경내역서_고향의강(진잠천)_실시설계_용역_내역서(발주내역)" xfId="6553" xr:uid="{00000000-0005-0000-0000-00008C1D0000}"/>
    <cellStyle name="통_울산 도시개발사업(교평)_01.신천 생태하천 설계변경내역서_고향의강(진잠천)_실시설계_용역_내역서(발주내역)_01.소요생연 침수방지대책 설계예산서(20121127)" xfId="6554" xr:uid="{00000000-0005-0000-0000-00008D1D0000}"/>
    <cellStyle name="통_울산 도시개발사업(교평)_01.신천 생태하천 설계변경내역서_고향의강(진잠천)_실시설계_용역_내역서(발주내역)_7-2투입인력" xfId="6555" xr:uid="{00000000-0005-0000-0000-00008E1D0000}"/>
    <cellStyle name="통_울산 도시개발사업(교평)_01.신천 생태하천 설계변경내역서_고향의강(진잠천)_실시설계_용역_내역서(발주내역)_동두천시_침수방지대책수립실시설계예산서(0823)" xfId="6556" xr:uid="{00000000-0005-0000-0000-00008F1D0000}"/>
    <cellStyle name="통_울산 도시개발사업(교평)_01.신천 생태하천 설계변경내역서_고향의강(진잠천)_실시설계_용역_내역서(발주내역)_설계내역서_선유3빗물펌프장(20120507)" xfId="6557" xr:uid="{00000000-0005-0000-0000-0000901D0000}"/>
    <cellStyle name="통_울산 도시개발사업(교평)_01.신천 생태하천 설계변경내역서_고향의강(진잠천)_실시설계_용역_내역서(발주내역)_연천배수펌프장 개선사업 기본및실시설계용역 내역서-1" xfId="6558" xr:uid="{00000000-0005-0000-0000-0000911D0000}"/>
    <cellStyle name="통_울산 도시개발사업(교평)_01.신천 생태하천 설계변경내역서_고향의강(진잠천)_실시설계_용역_내역서(발주내역)_침수방지대책_예산서_0823(관거조사포함)" xfId="6559" xr:uid="{00000000-0005-0000-0000-0000921D0000}"/>
    <cellStyle name="통_울산 도시개발사업(교평)_01.신천 생태하천 설계변경내역서_내역서(수해원인조사및분석)" xfId="6560" xr:uid="{00000000-0005-0000-0000-0000931D0000}"/>
    <cellStyle name="통_울산 도시개발사업(교평)_01.신천 생태하천 설계변경내역서_동두천시_침수방지대책수립실시설계예산서(0823)" xfId="6561" xr:uid="{00000000-0005-0000-0000-0000941D0000}"/>
    <cellStyle name="통_울산 도시개발사업(교평)_01.신천 생태하천 설계변경내역서_동두천시침수방지대책수립실시설계예산서(0816)" xfId="6562" xr:uid="{00000000-0005-0000-0000-0000951D0000}"/>
    <cellStyle name="통_울산 도시개발사업(교평)_01.신천 생태하천 설계변경내역서_설계내역서_선유3빗물펌프장(20120507)" xfId="6563" xr:uid="{00000000-0005-0000-0000-0000961D0000}"/>
    <cellStyle name="통_울산 도시개발사업(교평)_01.신천 생태하천 설계변경내역서_연천배수펌프장 개선사업 기본및실시설계용역 내역서-1" xfId="6564" xr:uid="{00000000-0005-0000-0000-0000971D0000}"/>
    <cellStyle name="통_울산 도시개발사업(교평)_01.신천 생태하천 설계변경내역서_유성천_수해상습지(인건비+측정)_내역서" xfId="6565" xr:uid="{00000000-0005-0000-0000-0000981D0000}"/>
    <cellStyle name="통_울산 도시개발사업(교평)_01.신천 생태하천 설계변경내역서_정생천_수해상습지_개선사업_기본및실시설계용역" xfId="6566" xr:uid="{00000000-0005-0000-0000-0000991D0000}"/>
    <cellStyle name="통_울산 도시개발사업(교평)_01.신천 생태하천 설계변경내역서_침수방지대책_예산서_0823(관거조사포함)" xfId="6567" xr:uid="{00000000-0005-0000-0000-00009A1D0000}"/>
    <cellStyle name="통_울산 도시개발사업(교평)_01.신천 생태하천 설계변경내역서_하천내구조물설치에따른 수리수문분석_내역서(최종)" xfId="6568" xr:uid="{00000000-0005-0000-0000-00009B1D0000}"/>
    <cellStyle name="통_울산 도시개발사업(교평)_고향의_강_내역(환경)" xfId="6569" xr:uid="{00000000-0005-0000-0000-00009C1D0000}"/>
    <cellStyle name="통_울산 도시개발사업(교평)_고향의_강_내역(환경)_01 내역서(진건천)" xfId="6570" xr:uid="{00000000-0005-0000-0000-00009D1D0000}"/>
    <cellStyle name="통_울산 도시개발사업(교평)_고향의_강_내역(환경)_01 유성천 수해상습지(기본계획 변경)" xfId="6571" xr:uid="{00000000-0005-0000-0000-00009E1D0000}"/>
    <cellStyle name="통_울산 도시개발사업(교평)_고향의_강_내역(환경)_01 유성천 수해상습지(기본계획 변경)_01.내역서(원당천)환경수정" xfId="6572" xr:uid="{00000000-0005-0000-0000-00009F1D0000}"/>
    <cellStyle name="통_울산 도시개발사업(교평)_고향의_강_내역(환경)_01 유성천 수해상습지(기본계획 변경)_01.소요생연 침수방지대책 설계예산서(20121127)" xfId="6573" xr:uid="{00000000-0005-0000-0000-0000A01D0000}"/>
    <cellStyle name="통_울산 도시개발사업(교평)_고향의_강_내역(환경)_01 유성천 수해상습지(기본계획 변경)_7-2투입인력" xfId="6574" xr:uid="{00000000-0005-0000-0000-0000A11D0000}"/>
    <cellStyle name="통_울산 도시개발사업(교평)_고향의_강_내역(환경)_01 유성천 수해상습지(기본계획 변경)_설계내역서_선유3빗물펌프장(20120507)" xfId="6575" xr:uid="{00000000-0005-0000-0000-0000A21D0000}"/>
    <cellStyle name="통_울산 도시개발사업(교평)_고향의_강_내역(환경)_01 유성천 수해상습지(기본계획 변경)_연천배수펌프장 개선사업 기본및실시설계용역 내역서-1" xfId="6576" xr:uid="{00000000-0005-0000-0000-0000A31D0000}"/>
    <cellStyle name="통_울산 도시개발사업(교평)_고향의_강_내역(환경)_01 유성천 수해상습지_내역서" xfId="6577" xr:uid="{00000000-0005-0000-0000-0000A41D0000}"/>
    <cellStyle name="통_울산 도시개발사업(교평)_고향의_강_내역(환경)_01 유성천 수해상습지_내역서_01.내역서(원당천)환경수정" xfId="6578" xr:uid="{00000000-0005-0000-0000-0000A51D0000}"/>
    <cellStyle name="통_울산 도시개발사업(교평)_고향의_강_내역(환경)_01 유성천 수해상습지_내역서_01.소요생연 침수방지대책 설계예산서(20121127)" xfId="6579" xr:uid="{00000000-0005-0000-0000-0000A61D0000}"/>
    <cellStyle name="통_울산 도시개발사업(교평)_고향의_강_내역(환경)_01 유성천 수해상습지_내역서_7-2투입인력" xfId="6580" xr:uid="{00000000-0005-0000-0000-0000A71D0000}"/>
    <cellStyle name="통_울산 도시개발사업(교평)_고향의_강_내역(환경)_01 유성천 수해상습지_내역서_설계내역서_선유3빗물펌프장(20120507)" xfId="6581" xr:uid="{00000000-0005-0000-0000-0000A81D0000}"/>
    <cellStyle name="통_울산 도시개발사업(교평)_고향의_강_내역(환경)_01 유성천 수해상습지_내역서_연천배수펌프장 개선사업 기본및실시설계용역 내역서-1" xfId="6582" xr:uid="{00000000-0005-0000-0000-0000A91D0000}"/>
    <cellStyle name="통_울산 도시개발사업(교평)_고향의_강_내역(환경)_01.내역서 - 원당천 개선복구" xfId="6583" xr:uid="{00000000-0005-0000-0000-0000AA1D0000}"/>
    <cellStyle name="통_울산 도시개발사업(교평)_고향의_강_내역(환경)_01.내역서(2억원)" xfId="6584" xr:uid="{00000000-0005-0000-0000-0000AB1D0000}"/>
    <cellStyle name="통_울산 도시개발사업(교평)_고향의_강_내역(환경)_01.내역서(선암리,원당천)통합" xfId="6585" xr:uid="{00000000-0005-0000-0000-0000AC1D0000}"/>
    <cellStyle name="통_울산 도시개발사업(교평)_고향의_강_내역(환경)_01.내역서(원당천)" xfId="6586" xr:uid="{00000000-0005-0000-0000-0000AD1D0000}"/>
    <cellStyle name="통_울산 도시개발사업(교평)_고향의_강_내역(환경)_01.내역서(원당천)환경수정" xfId="6587" xr:uid="{00000000-0005-0000-0000-0000AE1D0000}"/>
    <cellStyle name="통_울산 도시개발사업(교평)_고향의_강_내역(환경)_01.세말천_소하천정비공사_내역서(최종)" xfId="6588" xr:uid="{00000000-0005-0000-0000-0000AF1D0000}"/>
    <cellStyle name="통_울산 도시개발사업(교평)_고향의_강_내역(환경)_01.소요생연 침수방지대책 설계예산서(20121127)" xfId="6589" xr:uid="{00000000-0005-0000-0000-0000B01D0000}"/>
    <cellStyle name="통_울산 도시개발사업(교평)_고향의_강_내역(환경)_7-2투입인력" xfId="6590" xr:uid="{00000000-0005-0000-0000-0000B11D0000}"/>
    <cellStyle name="통_울산 도시개발사업(교평)_고향의_강_내역(환경)_고향의강(진잠천)_실시설계_용역_내역서(발주내역)" xfId="6591" xr:uid="{00000000-0005-0000-0000-0000B21D0000}"/>
    <cellStyle name="통_울산 도시개발사업(교평)_고향의_강_내역(환경)_고향의강(진잠천)_실시설계_용역_내역서(발주내역)_01.소요생연 침수방지대책 설계예산서(20121127)" xfId="6592" xr:uid="{00000000-0005-0000-0000-0000B31D0000}"/>
    <cellStyle name="통_울산 도시개발사업(교평)_고향의_강_내역(환경)_고향의강(진잠천)_실시설계_용역_내역서(발주내역)_7-2투입인력" xfId="6593" xr:uid="{00000000-0005-0000-0000-0000B41D0000}"/>
    <cellStyle name="통_울산 도시개발사업(교평)_고향의_강_내역(환경)_고향의강(진잠천)_실시설계_용역_내역서(발주내역)_동두천시_침수방지대책수립실시설계예산서(0823)" xfId="6594" xr:uid="{00000000-0005-0000-0000-0000B51D0000}"/>
    <cellStyle name="통_울산 도시개발사업(교평)_고향의_강_내역(환경)_고향의강(진잠천)_실시설계_용역_내역서(발주내역)_설계내역서_선유3빗물펌프장(20120507)" xfId="6595" xr:uid="{00000000-0005-0000-0000-0000B61D0000}"/>
    <cellStyle name="통_울산 도시개발사업(교평)_고향의_강_내역(환경)_고향의강(진잠천)_실시설계_용역_내역서(발주내역)_연천배수펌프장 개선사업 기본및실시설계용역 내역서-1" xfId="6596" xr:uid="{00000000-0005-0000-0000-0000B71D0000}"/>
    <cellStyle name="통_울산 도시개발사업(교평)_고향의_강_내역(환경)_고향의강(진잠천)_실시설계_용역_내역서(발주내역)_침수방지대책_예산서_0823(관거조사포함)" xfId="6597" xr:uid="{00000000-0005-0000-0000-0000B81D0000}"/>
    <cellStyle name="통_울산 도시개발사업(교평)_고향의_강_내역(환경)_내역서(수해원인조사및분석)" xfId="6598" xr:uid="{00000000-0005-0000-0000-0000B91D0000}"/>
    <cellStyle name="통_울산 도시개발사업(교평)_고향의_강_내역(환경)_동두천시_침수방지대책수립실시설계예산서(0823)" xfId="6599" xr:uid="{00000000-0005-0000-0000-0000BA1D0000}"/>
    <cellStyle name="통_울산 도시개발사업(교평)_고향의_강_내역(환경)_동두천시침수방지대책수립실시설계예산서(0816)" xfId="6600" xr:uid="{00000000-0005-0000-0000-0000BB1D0000}"/>
    <cellStyle name="통_울산 도시개발사업(교평)_고향의_강_내역(환경)_설계내역서_선유3빗물펌프장(20120507)" xfId="6601" xr:uid="{00000000-0005-0000-0000-0000BC1D0000}"/>
    <cellStyle name="통_울산 도시개발사업(교평)_고향의_강_내역(환경)_연천배수펌프장 개선사업 기본및실시설계용역 내역서-1" xfId="6602" xr:uid="{00000000-0005-0000-0000-0000BD1D0000}"/>
    <cellStyle name="통_울산 도시개발사업(교평)_고향의_강_내역(환경)_유성천_수해상습지(인건비+측정)_내역서" xfId="6603" xr:uid="{00000000-0005-0000-0000-0000BE1D0000}"/>
    <cellStyle name="통_울산 도시개발사업(교평)_고향의_강_내역(환경)_정생천_수해상습지_개선사업_기본및실시설계용역" xfId="6604" xr:uid="{00000000-0005-0000-0000-0000BF1D0000}"/>
    <cellStyle name="통_울산 도시개발사업(교평)_고향의_강_내역(환경)_침수방지대책_예산서_0823(관거조사포함)" xfId="6605" xr:uid="{00000000-0005-0000-0000-0000C01D0000}"/>
    <cellStyle name="통_울산 도시개발사업(교평)_설계내역서(변경)" xfId="6606" xr:uid="{00000000-0005-0000-0000-0000C11D0000}"/>
    <cellStyle name="통_울산 도시개발사업(교평)_설계내역서(변경)_01.내역서(원당천)환경수정" xfId="6607" xr:uid="{00000000-0005-0000-0000-0000C21D0000}"/>
    <cellStyle name="통_울산 도시개발사업(교평)_설계내역서(변경)_01.소요생연 침수방지대책 설계예산서(20121127)" xfId="6608" xr:uid="{00000000-0005-0000-0000-0000C31D0000}"/>
    <cellStyle name="통_울산 도시개발사업(교평)_설계내역서(변경)_7-2투입인력" xfId="6609" xr:uid="{00000000-0005-0000-0000-0000C41D0000}"/>
    <cellStyle name="통_울산 도시개발사업(교평)_설계내역서(변경)_설계내역서_선유3빗물펌프장(20120507)" xfId="6610" xr:uid="{00000000-0005-0000-0000-0000C51D0000}"/>
    <cellStyle name="통_울산 도시개발사업(교평)_설계내역서(변경)_연천배수펌프장 개선사업 기본및실시설계용역 내역서-1" xfId="6611" xr:uid="{00000000-0005-0000-0000-0000C61D0000}"/>
    <cellStyle name="통_울산 도시개발사업(교평)_양주복지지구내역서(품셈)" xfId="6612" xr:uid="{00000000-0005-0000-0000-0000C71D0000}"/>
    <cellStyle name="통_울산 도시개발사업(교평)_양주복지지구내역서(품셈)_설계내역서(정자말)작업(1)" xfId="6613" xr:uid="{00000000-0005-0000-0000-0000C81D0000}"/>
    <cellStyle name="통_울산 도시개발사업(교평)_의정부_도시관리계획(GB해제,_제1종지구단위계획)_사전환경성검토" xfId="6614" xr:uid="{00000000-0005-0000-0000-0000C91D0000}"/>
    <cellStyle name="통_의정부_도시관리계획(GB해제,_제1종지구단위계획)_사전환경성검토" xfId="6615" xr:uid="{00000000-0005-0000-0000-0000CA1D0000}"/>
    <cellStyle name="통_이충무공순국공원용역설계서(2008)" xfId="6616" xr:uid="{00000000-0005-0000-0000-0000CB1D0000}"/>
    <cellStyle name="통_일위대가양식" xfId="1246" xr:uid="{00000000-0005-0000-0000-0000CC1D0000}"/>
    <cellStyle name="통_장계천-내역서" xfId="8325" xr:uid="{00000000-0005-0000-0000-0000CD1D0000}"/>
    <cellStyle name="통_측량인허가" xfId="6617" xr:uid="{00000000-0005-0000-0000-0000CE1D0000}"/>
    <cellStyle name="통_토목내역" xfId="1247" xr:uid="{00000000-0005-0000-0000-0000CF1D0000}"/>
    <cellStyle name="통_토목내역 2" xfId="7053" xr:uid="{00000000-0005-0000-0000-0000D01D0000}"/>
    <cellStyle name="통_토질조사" xfId="6618" xr:uid="{00000000-0005-0000-0000-0000D11D0000}"/>
    <cellStyle name="통_토질조사 2" xfId="7054" xr:uid="{00000000-0005-0000-0000-0000D21D0000}"/>
    <cellStyle name="통_토질조사(변경)" xfId="6619" xr:uid="{00000000-0005-0000-0000-0000D31D0000}"/>
    <cellStyle name="통_토질조사(변경) 2" xfId="8326" xr:uid="{00000000-0005-0000-0000-0000D41D0000}"/>
    <cellStyle name="통_현황측량예산서" xfId="6620" xr:uid="{00000000-0005-0000-0000-0000D51D0000}"/>
    <cellStyle name="통_현황측량예산서 2" xfId="8327" xr:uid="{00000000-0005-0000-0000-0000D61D0000}"/>
    <cellStyle name="통_황령산 봉수대 용역내역서" xfId="6621" xr:uid="{00000000-0005-0000-0000-0000D71D0000}"/>
    <cellStyle name="통화 [" xfId="1248" xr:uid="{00000000-0005-0000-0000-0000D81D0000}"/>
    <cellStyle name="통화 [ 2" xfId="1621" xr:uid="{00000000-0005-0000-0000-0000D91D0000}"/>
    <cellStyle name="통화 [ 2 2" xfId="8428" xr:uid="{00000000-0005-0000-0000-0000DA1D0000}"/>
    <cellStyle name="통화 [ 3" xfId="7055" xr:uid="{00000000-0005-0000-0000-0000DB1D0000}"/>
    <cellStyle name="통화 [ 4" xfId="8418" xr:uid="{00000000-0005-0000-0000-0000DC1D0000}"/>
    <cellStyle name="통화 [0] 2" xfId="1249" xr:uid="{00000000-0005-0000-0000-0000DD1D0000}"/>
    <cellStyle name="통화 [0] 2 2" xfId="7057" xr:uid="{00000000-0005-0000-0000-0000DE1D0000}"/>
    <cellStyle name="통화 [0] 3" xfId="7056" xr:uid="{00000000-0005-0000-0000-0000DF1D0000}"/>
    <cellStyle name="통화 [0] 3 2" xfId="8328" xr:uid="{00000000-0005-0000-0000-0000E01D0000}"/>
    <cellStyle name="통화 [0㉝〸" xfId="1622" xr:uid="{00000000-0005-0000-0000-0000E11D0000}"/>
    <cellStyle name="퍼센트" xfId="1250" xr:uid="{00000000-0005-0000-0000-0000E21D0000}"/>
    <cellStyle name="퍼센트 2" xfId="1623" xr:uid="{00000000-0005-0000-0000-0000E31D0000}"/>
    <cellStyle name="퍼센트 3" xfId="7058" xr:uid="{00000000-0005-0000-0000-0000E41D0000}"/>
    <cellStyle name="퍼센트 4" xfId="8329" xr:uid="{00000000-0005-0000-0000-0000E51D0000}"/>
    <cellStyle name="평" xfId="4023" xr:uid="{00000000-0005-0000-0000-0000E61D0000}"/>
    <cellStyle name="평_1차 본협상자료(황)" xfId="4024" xr:uid="{00000000-0005-0000-0000-0000E71D0000}"/>
    <cellStyle name="평_1차 본협상자료(황)_1차 본협상자료(0830)" xfId="4025" xr:uid="{00000000-0005-0000-0000-0000E81D0000}"/>
    <cellStyle name="평_1차 본협상자료(황)_1차 본협상자료(0830)_김제축산(365일)" xfId="4026" xr:uid="{00000000-0005-0000-0000-0000E91D0000}"/>
    <cellStyle name="평_1차 본협상자료(황)_1차 본협상자료(0830)_김제축산(365일)_시운전비내역(산청군)" xfId="4027" xr:uid="{00000000-0005-0000-0000-0000EA1D0000}"/>
    <cellStyle name="평_1차 본협상자료(황)_1차 본협상자료(0830)_김제축산(365일)_시운전비내역(산청군)_시운전비내역(산청군)" xfId="4028" xr:uid="{00000000-0005-0000-0000-0000EB1D0000}"/>
    <cellStyle name="평_1차 본협상자료(황)_1차 본협상자료(0830)_시운전비내역(산청군)" xfId="4029" xr:uid="{00000000-0005-0000-0000-0000EC1D0000}"/>
    <cellStyle name="평_1차 본협상자료(황)_1차 본협상자료(0830)_시운전비내역(산청군)_시운전비내역(산청군)" xfId="4030" xr:uid="{00000000-0005-0000-0000-0000ED1D0000}"/>
    <cellStyle name="평_1차 본협상자료(황)_1차 본협상자료(0830)_정읍분뇨축산" xfId="4031" xr:uid="{00000000-0005-0000-0000-0000EE1D0000}"/>
    <cellStyle name="평_1차 본협상자료(황)_1차 본협상자료(0830)_정읍분뇨축산(365일)" xfId="4032" xr:uid="{00000000-0005-0000-0000-0000EF1D0000}"/>
    <cellStyle name="평_1차 본협상자료(황)_1차 본협상자료(0830)_정읍분뇨축산(365일)_시운전비내역(산청군)" xfId="4033" xr:uid="{00000000-0005-0000-0000-0000F01D0000}"/>
    <cellStyle name="평_1차 본협상자료(황)_1차 본협상자료(0830)_정읍분뇨축산(365일)_시운전비내역(산청군)_시운전비내역(산청군)" xfId="4034" xr:uid="{00000000-0005-0000-0000-0000F11D0000}"/>
    <cellStyle name="평_1차 본협상자료(황)_1차 본협상자료(0830)_정읍분뇨축산_시운전비내역(산청군)" xfId="4035" xr:uid="{00000000-0005-0000-0000-0000F21D0000}"/>
    <cellStyle name="평_1차 본협상자료(황)_1차 본협상자료(0830)_정읍분뇨축산_시운전비내역(산청군)_시운전비내역(산청군)" xfId="4036" xr:uid="{00000000-0005-0000-0000-0000F31D0000}"/>
    <cellStyle name="평_1차 본협상자료(황)_1차 본협상자료(0830)_축산운영비(0117-2002년)" xfId="4037" xr:uid="{00000000-0005-0000-0000-0000F41D0000}"/>
    <cellStyle name="평_1차 본협상자료(황)_1차 본협상자료(0830)_축산운영비(0117-2002년)_시운전비내역(산청군)" xfId="4038" xr:uid="{00000000-0005-0000-0000-0000F51D0000}"/>
    <cellStyle name="평_1차 본협상자료(황)_1차 본협상자료(0830)_축산운영비(0117-2002년)_시운전비내역(산청군)_시운전비내역(산청군)" xfId="4039" xr:uid="{00000000-0005-0000-0000-0000F61D0000}"/>
    <cellStyle name="평_1차 본협상자료(황)_1차 본협상자료(0830)_축산운영비(1116)" xfId="4040" xr:uid="{00000000-0005-0000-0000-0000F71D0000}"/>
    <cellStyle name="평_1차 본협상자료(황)_1차 본협상자료(0830)_축산운영비(1116)_김제축산(365일)" xfId="4041" xr:uid="{00000000-0005-0000-0000-0000F81D0000}"/>
    <cellStyle name="평_1차 본협상자료(황)_1차 본협상자료(0830)_축산운영비(1116)_김제축산(365일)_시운전비내역(산청군)" xfId="4042" xr:uid="{00000000-0005-0000-0000-0000F91D0000}"/>
    <cellStyle name="평_1차 본협상자료(황)_1차 본협상자료(0830)_축산운영비(1116)_김제축산(365일)_시운전비내역(산청군)_시운전비내역(산청군)" xfId="4043" xr:uid="{00000000-0005-0000-0000-0000FA1D0000}"/>
    <cellStyle name="평_1차 본협상자료(황)_1차 본협상자료(0830)_축산운영비(1116)_시운전비내역(산청군)" xfId="4044" xr:uid="{00000000-0005-0000-0000-0000FB1D0000}"/>
    <cellStyle name="평_1차 본협상자료(황)_1차 본협상자료(0830)_축산운영비(1116)_시운전비내역(산청군)_시운전비내역(산청군)" xfId="4045" xr:uid="{00000000-0005-0000-0000-0000FC1D0000}"/>
    <cellStyle name="평_1차 본협상자료(황)_1차 본협상자료(0830)_축산운영비(1116)_정읍분뇨축산" xfId="4046" xr:uid="{00000000-0005-0000-0000-0000FD1D0000}"/>
    <cellStyle name="평_1차 본협상자료(황)_1차 본협상자료(0830)_축산운영비(1116)_정읍분뇨축산(365일)" xfId="4047" xr:uid="{00000000-0005-0000-0000-0000FE1D0000}"/>
    <cellStyle name="평_1차 본협상자료(황)_1차 본협상자료(0830)_축산운영비(1116)_정읍분뇨축산(365일)_시운전비내역(산청군)" xfId="4048" xr:uid="{00000000-0005-0000-0000-0000FF1D0000}"/>
    <cellStyle name="평_1차 본협상자료(황)_1차 본협상자료(0830)_축산운영비(1116)_정읍분뇨축산(365일)_시운전비내역(산청군)_시운전비내역(산청군)" xfId="4049" xr:uid="{00000000-0005-0000-0000-0000001E0000}"/>
    <cellStyle name="평_1차 본협상자료(황)_1차 본협상자료(0830)_축산운영비(1116)_정읍분뇨축산_시운전비내역(산청군)" xfId="4050" xr:uid="{00000000-0005-0000-0000-0000011E0000}"/>
    <cellStyle name="평_1차 본협상자료(황)_1차 본협상자료(0830)_축산운영비(1116)_정읍분뇨축산_시운전비내역(산청군)_시운전비내역(산청군)" xfId="4051" xr:uid="{00000000-0005-0000-0000-0000021E0000}"/>
    <cellStyle name="평_1차 본협상자료(황)_1차 본협상자료(0830)_축산운영비(1116)_축산운영비(0117-2002년)" xfId="4052" xr:uid="{00000000-0005-0000-0000-0000031E0000}"/>
    <cellStyle name="평_1차 본협상자료(황)_1차 본협상자료(0830)_축산운영비(1116)_축산운영비(0117-2002년)_시운전비내역(산청군)" xfId="4053" xr:uid="{00000000-0005-0000-0000-0000041E0000}"/>
    <cellStyle name="평_1차 본협상자료(황)_1차 본협상자료(0830)_축산운영비(1116)_축산운영비(0117-2002년)_시운전비내역(산청군)_시운전비내역(산청군)" xfId="4054" xr:uid="{00000000-0005-0000-0000-0000051E0000}"/>
    <cellStyle name="평_1차 본협상자료(황)_1차 본협상자료(0830)_축산운영비(1219)" xfId="4055" xr:uid="{00000000-0005-0000-0000-0000061E0000}"/>
    <cellStyle name="평_1차 본협상자료(황)_1차 본협상자료(0830)_축산운영비(1219)_김제축산(365일)" xfId="4056" xr:uid="{00000000-0005-0000-0000-0000071E0000}"/>
    <cellStyle name="평_1차 본협상자료(황)_1차 본협상자료(0830)_축산운영비(1219)_김제축산(365일)_시운전비내역(산청군)" xfId="4057" xr:uid="{00000000-0005-0000-0000-0000081E0000}"/>
    <cellStyle name="평_1차 본협상자료(황)_1차 본협상자료(0830)_축산운영비(1219)_김제축산(365일)_시운전비내역(산청군)_시운전비내역(산청군)" xfId="4058" xr:uid="{00000000-0005-0000-0000-0000091E0000}"/>
    <cellStyle name="평_1차 본협상자료(황)_1차 본협상자료(0830)_축산운영비(1219)_시운전비내역(산청군)" xfId="4059" xr:uid="{00000000-0005-0000-0000-00000A1E0000}"/>
    <cellStyle name="평_1차 본협상자료(황)_1차 본협상자료(0830)_축산운영비(1219)_시운전비내역(산청군)_시운전비내역(산청군)" xfId="4060" xr:uid="{00000000-0005-0000-0000-00000B1E0000}"/>
    <cellStyle name="평_1차 본협상자료(황)_1차 본협상자료(0830)_축산운영비(1219)_정읍분뇨축산" xfId="4061" xr:uid="{00000000-0005-0000-0000-00000C1E0000}"/>
    <cellStyle name="평_1차 본협상자료(황)_1차 본협상자료(0830)_축산운영비(1219)_정읍분뇨축산(365일)" xfId="4062" xr:uid="{00000000-0005-0000-0000-00000D1E0000}"/>
    <cellStyle name="평_1차 본협상자료(황)_1차 본협상자료(0830)_축산운영비(1219)_정읍분뇨축산(365일)_시운전비내역(산청군)" xfId="4063" xr:uid="{00000000-0005-0000-0000-00000E1E0000}"/>
    <cellStyle name="평_1차 본협상자료(황)_1차 본협상자료(0830)_축산운영비(1219)_정읍분뇨축산(365일)_시운전비내역(산청군)_시운전비내역(산청군)" xfId="4064" xr:uid="{00000000-0005-0000-0000-00000F1E0000}"/>
    <cellStyle name="평_1차 본협상자료(황)_1차 본협상자료(0830)_축산운영비(1219)_정읍분뇨축산_시운전비내역(산청군)" xfId="4065" xr:uid="{00000000-0005-0000-0000-0000101E0000}"/>
    <cellStyle name="평_1차 본협상자료(황)_1차 본협상자료(0830)_축산운영비(1219)_정읍분뇨축산_시운전비내역(산청군)_시운전비내역(산청군)" xfId="4066" xr:uid="{00000000-0005-0000-0000-0000111E0000}"/>
    <cellStyle name="평_1차 본협상자료(황)_1차 본협상자료(0830)_축산운영비(1219)_축산운영비(0117-2002년)" xfId="4067" xr:uid="{00000000-0005-0000-0000-0000121E0000}"/>
    <cellStyle name="평_1차 본협상자료(황)_1차 본협상자료(0830)_축산운영비(1219)_축산운영비(0117-2002년)_시운전비내역(산청군)" xfId="4068" xr:uid="{00000000-0005-0000-0000-0000131E0000}"/>
    <cellStyle name="평_1차 본협상자료(황)_1차 본협상자료(0830)_축산운영비(1219)_축산운영비(0117-2002년)_시운전비내역(산청군)_시운전비내역(산청군)" xfId="4069" xr:uid="{00000000-0005-0000-0000-0000141E0000}"/>
    <cellStyle name="평_1차 본협상자료(황)_김제축산(365일)" xfId="4070" xr:uid="{00000000-0005-0000-0000-0000151E0000}"/>
    <cellStyle name="평_1차 본협상자료(황)_김제축산(365일)_시운전비내역(산청군)" xfId="4071" xr:uid="{00000000-0005-0000-0000-0000161E0000}"/>
    <cellStyle name="평_1차 본협상자료(황)_김제축산(365일)_시운전비내역(산청군)_시운전비내역(산청군)" xfId="4072" xr:uid="{00000000-0005-0000-0000-0000171E0000}"/>
    <cellStyle name="평_1차 본협상자료(황)_시운전비내역(산청군)" xfId="4073" xr:uid="{00000000-0005-0000-0000-0000181E0000}"/>
    <cellStyle name="평_1차 본협상자료(황)_시운전비내역(산청군)_시운전비내역(산청군)" xfId="4074" xr:uid="{00000000-0005-0000-0000-0000191E0000}"/>
    <cellStyle name="평_1차 본협상자료(황)_정읍분뇨축산" xfId="4075" xr:uid="{00000000-0005-0000-0000-00001A1E0000}"/>
    <cellStyle name="평_1차 본협상자료(황)_정읍분뇨축산(365일)" xfId="4076" xr:uid="{00000000-0005-0000-0000-00001B1E0000}"/>
    <cellStyle name="평_1차 본협상자료(황)_정읍분뇨축산(365일)_시운전비내역(산청군)" xfId="4077" xr:uid="{00000000-0005-0000-0000-00001C1E0000}"/>
    <cellStyle name="평_1차 본협상자료(황)_정읍분뇨축산(365일)_시운전비내역(산청군)_시운전비내역(산청군)" xfId="4078" xr:uid="{00000000-0005-0000-0000-00001D1E0000}"/>
    <cellStyle name="평_1차 본협상자료(황)_정읍분뇨축산_시운전비내역(산청군)" xfId="4079" xr:uid="{00000000-0005-0000-0000-00001E1E0000}"/>
    <cellStyle name="평_1차 본협상자료(황)_정읍분뇨축산_시운전비내역(산청군)_시운전비내역(산청군)" xfId="4080" xr:uid="{00000000-0005-0000-0000-00001F1E0000}"/>
    <cellStyle name="평_1차 본협상자료(황)_축산운영비(0117-2002년)" xfId="4081" xr:uid="{00000000-0005-0000-0000-0000201E0000}"/>
    <cellStyle name="평_1차 본협상자료(황)_축산운영비(0117-2002년)_시운전비내역(산청군)" xfId="4082" xr:uid="{00000000-0005-0000-0000-0000211E0000}"/>
    <cellStyle name="평_1차 본협상자료(황)_축산운영비(0117-2002년)_시운전비내역(산청군)_시운전비내역(산청군)" xfId="4083" xr:uid="{00000000-0005-0000-0000-0000221E0000}"/>
    <cellStyle name="평_1차 본협상자료(황)_축산운영비(1116)" xfId="4084" xr:uid="{00000000-0005-0000-0000-0000231E0000}"/>
    <cellStyle name="평_1차 본협상자료(황)_축산운영비(1116)_김제축산(365일)" xfId="4085" xr:uid="{00000000-0005-0000-0000-0000241E0000}"/>
    <cellStyle name="평_1차 본협상자료(황)_축산운영비(1116)_김제축산(365일)_시운전비내역(산청군)" xfId="4086" xr:uid="{00000000-0005-0000-0000-0000251E0000}"/>
    <cellStyle name="평_1차 본협상자료(황)_축산운영비(1116)_김제축산(365일)_시운전비내역(산청군)_시운전비내역(산청군)" xfId="4087" xr:uid="{00000000-0005-0000-0000-0000261E0000}"/>
    <cellStyle name="평_1차 본협상자료(황)_축산운영비(1116)_시운전비내역(산청군)" xfId="4088" xr:uid="{00000000-0005-0000-0000-0000271E0000}"/>
    <cellStyle name="평_1차 본협상자료(황)_축산운영비(1116)_시운전비내역(산청군)_시운전비내역(산청군)" xfId="4089" xr:uid="{00000000-0005-0000-0000-0000281E0000}"/>
    <cellStyle name="평_1차 본협상자료(황)_축산운영비(1116)_정읍분뇨축산" xfId="4090" xr:uid="{00000000-0005-0000-0000-0000291E0000}"/>
    <cellStyle name="평_1차 본협상자료(황)_축산운영비(1116)_정읍분뇨축산(365일)" xfId="4091" xr:uid="{00000000-0005-0000-0000-00002A1E0000}"/>
    <cellStyle name="평_1차 본협상자료(황)_축산운영비(1116)_정읍분뇨축산(365일)_시운전비내역(산청군)" xfId="4092" xr:uid="{00000000-0005-0000-0000-00002B1E0000}"/>
    <cellStyle name="평_1차 본협상자료(황)_축산운영비(1116)_정읍분뇨축산(365일)_시운전비내역(산청군)_시운전비내역(산청군)" xfId="4093" xr:uid="{00000000-0005-0000-0000-00002C1E0000}"/>
    <cellStyle name="평_1차 본협상자료(황)_축산운영비(1116)_정읍분뇨축산_시운전비내역(산청군)" xfId="4094" xr:uid="{00000000-0005-0000-0000-00002D1E0000}"/>
    <cellStyle name="평_1차 본협상자료(황)_축산운영비(1116)_정읍분뇨축산_시운전비내역(산청군)_시운전비내역(산청군)" xfId="4095" xr:uid="{00000000-0005-0000-0000-00002E1E0000}"/>
    <cellStyle name="평_1차 본협상자료(황)_축산운영비(1116)_축산운영비(0117-2002년)" xfId="4096" xr:uid="{00000000-0005-0000-0000-00002F1E0000}"/>
    <cellStyle name="평_1차 본협상자료(황)_축산운영비(1116)_축산운영비(0117-2002년)_시운전비내역(산청군)" xfId="4097" xr:uid="{00000000-0005-0000-0000-0000301E0000}"/>
    <cellStyle name="평_1차 본협상자료(황)_축산운영비(1116)_축산운영비(0117-2002년)_시운전비내역(산청군)_시운전비내역(산청군)" xfId="4098" xr:uid="{00000000-0005-0000-0000-0000311E0000}"/>
    <cellStyle name="평_1차 본협상자료(황)_축산운영비(1219)" xfId="4099" xr:uid="{00000000-0005-0000-0000-0000321E0000}"/>
    <cellStyle name="평_1차 본협상자료(황)_축산운영비(1219)_김제축산(365일)" xfId="4100" xr:uid="{00000000-0005-0000-0000-0000331E0000}"/>
    <cellStyle name="평_1차 본협상자료(황)_축산운영비(1219)_김제축산(365일)_시운전비내역(산청군)" xfId="4101" xr:uid="{00000000-0005-0000-0000-0000341E0000}"/>
    <cellStyle name="평_1차 본협상자료(황)_축산운영비(1219)_김제축산(365일)_시운전비내역(산청군)_시운전비내역(산청군)" xfId="4102" xr:uid="{00000000-0005-0000-0000-0000351E0000}"/>
    <cellStyle name="평_1차 본협상자료(황)_축산운영비(1219)_시운전비내역(산청군)" xfId="4103" xr:uid="{00000000-0005-0000-0000-0000361E0000}"/>
    <cellStyle name="평_1차 본협상자료(황)_축산운영비(1219)_시운전비내역(산청군)_시운전비내역(산청군)" xfId="4104" xr:uid="{00000000-0005-0000-0000-0000371E0000}"/>
    <cellStyle name="평_1차 본협상자료(황)_축산운영비(1219)_정읍분뇨축산" xfId="4105" xr:uid="{00000000-0005-0000-0000-0000381E0000}"/>
    <cellStyle name="평_1차 본협상자료(황)_축산운영비(1219)_정읍분뇨축산(365일)" xfId="4106" xr:uid="{00000000-0005-0000-0000-0000391E0000}"/>
    <cellStyle name="평_1차 본협상자료(황)_축산운영비(1219)_정읍분뇨축산(365일)_시운전비내역(산청군)" xfId="4107" xr:uid="{00000000-0005-0000-0000-00003A1E0000}"/>
    <cellStyle name="평_1차 본협상자료(황)_축산운영비(1219)_정읍분뇨축산(365일)_시운전비내역(산청군)_시운전비내역(산청군)" xfId="4108" xr:uid="{00000000-0005-0000-0000-00003B1E0000}"/>
    <cellStyle name="평_1차 본협상자료(황)_축산운영비(1219)_정읍분뇨축산_시운전비내역(산청군)" xfId="4109" xr:uid="{00000000-0005-0000-0000-00003C1E0000}"/>
    <cellStyle name="평_1차 본협상자료(황)_축산운영비(1219)_정읍분뇨축산_시운전비내역(산청군)_시운전비내역(산청군)" xfId="4110" xr:uid="{00000000-0005-0000-0000-00003D1E0000}"/>
    <cellStyle name="평_1차 본협상자료(황)_축산운영비(1219)_축산운영비(0117-2002년)" xfId="4111" xr:uid="{00000000-0005-0000-0000-00003E1E0000}"/>
    <cellStyle name="평_1차 본협상자료(황)_축산운영비(1219)_축산운영비(0117-2002년)_시운전비내역(산청군)" xfId="4112" xr:uid="{00000000-0005-0000-0000-00003F1E0000}"/>
    <cellStyle name="평_1차 본협상자료(황)_축산운영비(1219)_축산운영비(0117-2002년)_시운전비내역(산청군)_시운전비내역(산청군)" xfId="4113" xr:uid="{00000000-0005-0000-0000-0000401E0000}"/>
    <cellStyle name="평_Book2" xfId="4114" xr:uid="{00000000-0005-0000-0000-0000411E0000}"/>
    <cellStyle name="평_Book2_1차 본협상자료(0830)" xfId="4115" xr:uid="{00000000-0005-0000-0000-0000421E0000}"/>
    <cellStyle name="평_Book2_1차 본협상자료(0830)_김제축산(365일)" xfId="4116" xr:uid="{00000000-0005-0000-0000-0000431E0000}"/>
    <cellStyle name="평_Book2_1차 본협상자료(0830)_김제축산(365일)_시운전비내역(산청군)" xfId="4117" xr:uid="{00000000-0005-0000-0000-0000441E0000}"/>
    <cellStyle name="평_Book2_1차 본협상자료(0830)_김제축산(365일)_시운전비내역(산청군)_시운전비내역(산청군)" xfId="4118" xr:uid="{00000000-0005-0000-0000-0000451E0000}"/>
    <cellStyle name="평_Book2_1차 본협상자료(0830)_시운전비내역(산청군)" xfId="4119" xr:uid="{00000000-0005-0000-0000-0000461E0000}"/>
    <cellStyle name="평_Book2_1차 본협상자료(0830)_시운전비내역(산청군)_시운전비내역(산청군)" xfId="4120" xr:uid="{00000000-0005-0000-0000-0000471E0000}"/>
    <cellStyle name="평_Book2_1차 본협상자료(0830)_정읍분뇨축산" xfId="4121" xr:uid="{00000000-0005-0000-0000-0000481E0000}"/>
    <cellStyle name="평_Book2_1차 본협상자료(0830)_정읍분뇨축산(365일)" xfId="4122" xr:uid="{00000000-0005-0000-0000-0000491E0000}"/>
    <cellStyle name="평_Book2_1차 본협상자료(0830)_정읍분뇨축산(365일)_시운전비내역(산청군)" xfId="4123" xr:uid="{00000000-0005-0000-0000-00004A1E0000}"/>
    <cellStyle name="평_Book2_1차 본협상자료(0830)_정읍분뇨축산(365일)_시운전비내역(산청군)_시운전비내역(산청군)" xfId="4124" xr:uid="{00000000-0005-0000-0000-00004B1E0000}"/>
    <cellStyle name="평_Book2_1차 본협상자료(0830)_정읍분뇨축산_시운전비내역(산청군)" xfId="4125" xr:uid="{00000000-0005-0000-0000-00004C1E0000}"/>
    <cellStyle name="평_Book2_1차 본협상자료(0830)_정읍분뇨축산_시운전비내역(산청군)_시운전비내역(산청군)" xfId="4126" xr:uid="{00000000-0005-0000-0000-00004D1E0000}"/>
    <cellStyle name="평_Book2_1차 본협상자료(0830)_축산운영비(0117-2002년)" xfId="4127" xr:uid="{00000000-0005-0000-0000-00004E1E0000}"/>
    <cellStyle name="평_Book2_1차 본협상자료(0830)_축산운영비(0117-2002년)_시운전비내역(산청군)" xfId="4128" xr:uid="{00000000-0005-0000-0000-00004F1E0000}"/>
    <cellStyle name="평_Book2_1차 본협상자료(0830)_축산운영비(0117-2002년)_시운전비내역(산청군)_시운전비내역(산청군)" xfId="4129" xr:uid="{00000000-0005-0000-0000-0000501E0000}"/>
    <cellStyle name="평_Book2_1차 본협상자료(0830)_축산운영비(1116)" xfId="4130" xr:uid="{00000000-0005-0000-0000-0000511E0000}"/>
    <cellStyle name="평_Book2_1차 본협상자료(0830)_축산운영비(1116)_김제축산(365일)" xfId="4131" xr:uid="{00000000-0005-0000-0000-0000521E0000}"/>
    <cellStyle name="평_Book2_1차 본협상자료(0830)_축산운영비(1116)_김제축산(365일)_시운전비내역(산청군)" xfId="4132" xr:uid="{00000000-0005-0000-0000-0000531E0000}"/>
    <cellStyle name="평_Book2_1차 본협상자료(0830)_축산운영비(1116)_김제축산(365일)_시운전비내역(산청군)_시운전비내역(산청군)" xfId="4133" xr:uid="{00000000-0005-0000-0000-0000541E0000}"/>
    <cellStyle name="평_Book2_1차 본협상자료(0830)_축산운영비(1116)_시운전비내역(산청군)" xfId="4134" xr:uid="{00000000-0005-0000-0000-0000551E0000}"/>
    <cellStyle name="평_Book2_1차 본협상자료(0830)_축산운영비(1116)_시운전비내역(산청군)_시운전비내역(산청군)" xfId="4135" xr:uid="{00000000-0005-0000-0000-0000561E0000}"/>
    <cellStyle name="평_Book2_1차 본협상자료(0830)_축산운영비(1116)_정읍분뇨축산" xfId="4136" xr:uid="{00000000-0005-0000-0000-0000571E0000}"/>
    <cellStyle name="평_Book2_1차 본협상자료(0830)_축산운영비(1116)_정읍분뇨축산(365일)" xfId="4137" xr:uid="{00000000-0005-0000-0000-0000581E0000}"/>
    <cellStyle name="평_Book2_1차 본협상자료(0830)_축산운영비(1116)_정읍분뇨축산(365일)_시운전비내역(산청군)" xfId="4138" xr:uid="{00000000-0005-0000-0000-0000591E0000}"/>
    <cellStyle name="평_Book2_1차 본협상자료(0830)_축산운영비(1116)_정읍분뇨축산(365일)_시운전비내역(산청군)_시운전비내역(산청군)" xfId="4139" xr:uid="{00000000-0005-0000-0000-00005A1E0000}"/>
    <cellStyle name="평_Book2_1차 본협상자료(0830)_축산운영비(1116)_정읍분뇨축산_시운전비내역(산청군)" xfId="4140" xr:uid="{00000000-0005-0000-0000-00005B1E0000}"/>
    <cellStyle name="평_Book2_1차 본협상자료(0830)_축산운영비(1116)_정읍분뇨축산_시운전비내역(산청군)_시운전비내역(산청군)" xfId="4141" xr:uid="{00000000-0005-0000-0000-00005C1E0000}"/>
    <cellStyle name="평_Book2_1차 본협상자료(0830)_축산운영비(1116)_축산운영비(0117-2002년)" xfId="4142" xr:uid="{00000000-0005-0000-0000-00005D1E0000}"/>
    <cellStyle name="평_Book2_1차 본협상자료(0830)_축산운영비(1116)_축산운영비(0117-2002년)_시운전비내역(산청군)" xfId="4143" xr:uid="{00000000-0005-0000-0000-00005E1E0000}"/>
    <cellStyle name="평_Book2_1차 본협상자료(0830)_축산운영비(1116)_축산운영비(0117-2002년)_시운전비내역(산청군)_시운전비내역(산청군)" xfId="4144" xr:uid="{00000000-0005-0000-0000-00005F1E0000}"/>
    <cellStyle name="평_Book2_1차 본협상자료(0830)_축산운영비(1219)" xfId="4145" xr:uid="{00000000-0005-0000-0000-0000601E0000}"/>
    <cellStyle name="평_Book2_1차 본협상자료(0830)_축산운영비(1219)_김제축산(365일)" xfId="4146" xr:uid="{00000000-0005-0000-0000-0000611E0000}"/>
    <cellStyle name="평_Book2_1차 본협상자료(0830)_축산운영비(1219)_김제축산(365일)_시운전비내역(산청군)" xfId="4147" xr:uid="{00000000-0005-0000-0000-0000621E0000}"/>
    <cellStyle name="평_Book2_1차 본협상자료(0830)_축산운영비(1219)_김제축산(365일)_시운전비내역(산청군)_시운전비내역(산청군)" xfId="4148" xr:uid="{00000000-0005-0000-0000-0000631E0000}"/>
    <cellStyle name="평_Book2_1차 본협상자료(0830)_축산운영비(1219)_시운전비내역(산청군)" xfId="4149" xr:uid="{00000000-0005-0000-0000-0000641E0000}"/>
    <cellStyle name="평_Book2_1차 본협상자료(0830)_축산운영비(1219)_시운전비내역(산청군)_시운전비내역(산청군)" xfId="4150" xr:uid="{00000000-0005-0000-0000-0000651E0000}"/>
    <cellStyle name="평_Book2_1차 본협상자료(0830)_축산운영비(1219)_정읍분뇨축산" xfId="4151" xr:uid="{00000000-0005-0000-0000-0000661E0000}"/>
    <cellStyle name="평_Book2_1차 본협상자료(0830)_축산운영비(1219)_정읍분뇨축산(365일)" xfId="4152" xr:uid="{00000000-0005-0000-0000-0000671E0000}"/>
    <cellStyle name="평_Book2_1차 본협상자료(0830)_축산운영비(1219)_정읍분뇨축산(365일)_시운전비내역(산청군)" xfId="4153" xr:uid="{00000000-0005-0000-0000-0000681E0000}"/>
    <cellStyle name="평_Book2_1차 본협상자료(0830)_축산운영비(1219)_정읍분뇨축산(365일)_시운전비내역(산청군)_시운전비내역(산청군)" xfId="4154" xr:uid="{00000000-0005-0000-0000-0000691E0000}"/>
    <cellStyle name="평_Book2_1차 본협상자료(0830)_축산운영비(1219)_정읍분뇨축산_시운전비내역(산청군)" xfId="4155" xr:uid="{00000000-0005-0000-0000-00006A1E0000}"/>
    <cellStyle name="평_Book2_1차 본협상자료(0830)_축산운영비(1219)_정읍분뇨축산_시운전비내역(산청군)_시운전비내역(산청군)" xfId="4156" xr:uid="{00000000-0005-0000-0000-00006B1E0000}"/>
    <cellStyle name="평_Book2_1차 본협상자료(0830)_축산운영비(1219)_축산운영비(0117-2002년)" xfId="4157" xr:uid="{00000000-0005-0000-0000-00006C1E0000}"/>
    <cellStyle name="평_Book2_1차 본협상자료(0830)_축산운영비(1219)_축산운영비(0117-2002년)_시운전비내역(산청군)" xfId="4158" xr:uid="{00000000-0005-0000-0000-00006D1E0000}"/>
    <cellStyle name="평_Book2_1차 본협상자료(0830)_축산운영비(1219)_축산운영비(0117-2002년)_시운전비내역(산청군)_시운전비내역(산청군)" xfId="4159" xr:uid="{00000000-0005-0000-0000-00006E1E0000}"/>
    <cellStyle name="평_Book2_김제축산(365일)" xfId="4160" xr:uid="{00000000-0005-0000-0000-00006F1E0000}"/>
    <cellStyle name="평_Book2_김제축산(365일)_시운전비내역(산청군)" xfId="4161" xr:uid="{00000000-0005-0000-0000-0000701E0000}"/>
    <cellStyle name="평_Book2_김제축산(365일)_시운전비내역(산청군)_시운전비내역(산청군)" xfId="4162" xr:uid="{00000000-0005-0000-0000-0000711E0000}"/>
    <cellStyle name="평_Book2_시운전비내역(산청군)" xfId="4163" xr:uid="{00000000-0005-0000-0000-0000721E0000}"/>
    <cellStyle name="평_Book2_시운전비내역(산청군)_시운전비내역(산청군)" xfId="4164" xr:uid="{00000000-0005-0000-0000-0000731E0000}"/>
    <cellStyle name="평_Book2_정읍분뇨축산" xfId="4165" xr:uid="{00000000-0005-0000-0000-0000741E0000}"/>
    <cellStyle name="평_Book2_정읍분뇨축산(365일)" xfId="4166" xr:uid="{00000000-0005-0000-0000-0000751E0000}"/>
    <cellStyle name="평_Book2_정읍분뇨축산(365일)_시운전비내역(산청군)" xfId="4167" xr:uid="{00000000-0005-0000-0000-0000761E0000}"/>
    <cellStyle name="평_Book2_정읍분뇨축산(365일)_시운전비내역(산청군)_시운전비내역(산청군)" xfId="4168" xr:uid="{00000000-0005-0000-0000-0000771E0000}"/>
    <cellStyle name="평_Book2_정읍분뇨축산_시운전비내역(산청군)" xfId="4169" xr:uid="{00000000-0005-0000-0000-0000781E0000}"/>
    <cellStyle name="평_Book2_정읍분뇨축산_시운전비내역(산청군)_시운전비내역(산청군)" xfId="4170" xr:uid="{00000000-0005-0000-0000-0000791E0000}"/>
    <cellStyle name="평_Book2_축산운영비(0117-2002년)" xfId="4171" xr:uid="{00000000-0005-0000-0000-00007A1E0000}"/>
    <cellStyle name="평_Book2_축산운영비(0117-2002년)_시운전비내역(산청군)" xfId="4172" xr:uid="{00000000-0005-0000-0000-00007B1E0000}"/>
    <cellStyle name="평_Book2_축산운영비(0117-2002년)_시운전비내역(산청군)_시운전비내역(산청군)" xfId="4173" xr:uid="{00000000-0005-0000-0000-00007C1E0000}"/>
    <cellStyle name="평_Book2_축산운영비(1116)" xfId="4174" xr:uid="{00000000-0005-0000-0000-00007D1E0000}"/>
    <cellStyle name="평_Book2_축산운영비(1116)_김제축산(365일)" xfId="4175" xr:uid="{00000000-0005-0000-0000-00007E1E0000}"/>
    <cellStyle name="평_Book2_축산운영비(1116)_김제축산(365일)_시운전비내역(산청군)" xfId="4176" xr:uid="{00000000-0005-0000-0000-00007F1E0000}"/>
    <cellStyle name="평_Book2_축산운영비(1116)_김제축산(365일)_시운전비내역(산청군)_시운전비내역(산청군)" xfId="4177" xr:uid="{00000000-0005-0000-0000-0000801E0000}"/>
    <cellStyle name="평_Book2_축산운영비(1116)_시운전비내역(산청군)" xfId="4178" xr:uid="{00000000-0005-0000-0000-0000811E0000}"/>
    <cellStyle name="평_Book2_축산운영비(1116)_시운전비내역(산청군)_시운전비내역(산청군)" xfId="4179" xr:uid="{00000000-0005-0000-0000-0000821E0000}"/>
    <cellStyle name="평_Book2_축산운영비(1116)_정읍분뇨축산" xfId="4180" xr:uid="{00000000-0005-0000-0000-0000831E0000}"/>
    <cellStyle name="평_Book2_축산운영비(1116)_정읍분뇨축산(365일)" xfId="4181" xr:uid="{00000000-0005-0000-0000-0000841E0000}"/>
    <cellStyle name="평_Book2_축산운영비(1116)_정읍분뇨축산(365일)_시운전비내역(산청군)" xfId="4182" xr:uid="{00000000-0005-0000-0000-0000851E0000}"/>
    <cellStyle name="평_Book2_축산운영비(1116)_정읍분뇨축산(365일)_시운전비내역(산청군)_시운전비내역(산청군)" xfId="4183" xr:uid="{00000000-0005-0000-0000-0000861E0000}"/>
    <cellStyle name="평_Book2_축산운영비(1116)_정읍분뇨축산_시운전비내역(산청군)" xfId="4184" xr:uid="{00000000-0005-0000-0000-0000871E0000}"/>
    <cellStyle name="평_Book2_축산운영비(1116)_정읍분뇨축산_시운전비내역(산청군)_시운전비내역(산청군)" xfId="4185" xr:uid="{00000000-0005-0000-0000-0000881E0000}"/>
    <cellStyle name="평_Book2_축산운영비(1116)_축산운영비(0117-2002년)" xfId="4186" xr:uid="{00000000-0005-0000-0000-0000891E0000}"/>
    <cellStyle name="평_Book2_축산운영비(1116)_축산운영비(0117-2002년)_시운전비내역(산청군)" xfId="4187" xr:uid="{00000000-0005-0000-0000-00008A1E0000}"/>
    <cellStyle name="평_Book2_축산운영비(1116)_축산운영비(0117-2002년)_시운전비내역(산청군)_시운전비내역(산청군)" xfId="4188" xr:uid="{00000000-0005-0000-0000-00008B1E0000}"/>
    <cellStyle name="평_Book2_축산운영비(1219)" xfId="4189" xr:uid="{00000000-0005-0000-0000-00008C1E0000}"/>
    <cellStyle name="평_Book2_축산운영비(1219)_김제축산(365일)" xfId="4190" xr:uid="{00000000-0005-0000-0000-00008D1E0000}"/>
    <cellStyle name="평_Book2_축산운영비(1219)_김제축산(365일)_시운전비내역(산청군)" xfId="4191" xr:uid="{00000000-0005-0000-0000-00008E1E0000}"/>
    <cellStyle name="평_Book2_축산운영비(1219)_김제축산(365일)_시운전비내역(산청군)_시운전비내역(산청군)" xfId="4192" xr:uid="{00000000-0005-0000-0000-00008F1E0000}"/>
    <cellStyle name="평_Book2_축산운영비(1219)_시운전비내역(산청군)" xfId="4193" xr:uid="{00000000-0005-0000-0000-0000901E0000}"/>
    <cellStyle name="평_Book2_축산운영비(1219)_시운전비내역(산청군)_시운전비내역(산청군)" xfId="4194" xr:uid="{00000000-0005-0000-0000-0000911E0000}"/>
    <cellStyle name="평_Book2_축산운영비(1219)_정읍분뇨축산" xfId="4195" xr:uid="{00000000-0005-0000-0000-0000921E0000}"/>
    <cellStyle name="평_Book2_축산운영비(1219)_정읍분뇨축산(365일)" xfId="4196" xr:uid="{00000000-0005-0000-0000-0000931E0000}"/>
    <cellStyle name="평_Book2_축산운영비(1219)_정읍분뇨축산(365일)_시운전비내역(산청군)" xfId="4197" xr:uid="{00000000-0005-0000-0000-0000941E0000}"/>
    <cellStyle name="평_Book2_축산운영비(1219)_정읍분뇨축산(365일)_시운전비내역(산청군)_시운전비내역(산청군)" xfId="4198" xr:uid="{00000000-0005-0000-0000-0000951E0000}"/>
    <cellStyle name="평_Book2_축산운영비(1219)_정읍분뇨축산_시운전비내역(산청군)" xfId="4199" xr:uid="{00000000-0005-0000-0000-0000961E0000}"/>
    <cellStyle name="평_Book2_축산운영비(1219)_정읍분뇨축산_시운전비내역(산청군)_시운전비내역(산청군)" xfId="4200" xr:uid="{00000000-0005-0000-0000-0000971E0000}"/>
    <cellStyle name="평_Book2_축산운영비(1219)_축산운영비(0117-2002년)" xfId="4201" xr:uid="{00000000-0005-0000-0000-0000981E0000}"/>
    <cellStyle name="평_Book2_축산운영비(1219)_축산운영비(0117-2002년)_시운전비내역(산청군)" xfId="4202" xr:uid="{00000000-0005-0000-0000-0000991E0000}"/>
    <cellStyle name="평_Book2_축산운영비(1219)_축산운영비(0117-2002년)_시운전비내역(산청군)_시운전비내역(산청군)" xfId="4203" xr:uid="{00000000-0005-0000-0000-00009A1E0000}"/>
    <cellStyle name="평_Sheet1" xfId="4204" xr:uid="{00000000-0005-0000-0000-00009B1E0000}"/>
    <cellStyle name="평_Sheet1_1차 본협상자료(0830)" xfId="4205" xr:uid="{00000000-0005-0000-0000-00009C1E0000}"/>
    <cellStyle name="평_Sheet1_1차 본협상자료(0830)_김제축산(365일)" xfId="4206" xr:uid="{00000000-0005-0000-0000-00009D1E0000}"/>
    <cellStyle name="평_Sheet1_1차 본협상자료(0830)_김제축산(365일)_시운전비내역(산청군)" xfId="4207" xr:uid="{00000000-0005-0000-0000-00009E1E0000}"/>
    <cellStyle name="평_Sheet1_1차 본협상자료(0830)_김제축산(365일)_시운전비내역(산청군)_시운전비내역(산청군)" xfId="4208" xr:uid="{00000000-0005-0000-0000-00009F1E0000}"/>
    <cellStyle name="평_Sheet1_1차 본협상자료(0830)_시운전비내역(산청군)" xfId="4209" xr:uid="{00000000-0005-0000-0000-0000A01E0000}"/>
    <cellStyle name="평_Sheet1_1차 본협상자료(0830)_시운전비내역(산청군)_시운전비내역(산청군)" xfId="4210" xr:uid="{00000000-0005-0000-0000-0000A11E0000}"/>
    <cellStyle name="평_Sheet1_1차 본협상자료(0830)_정읍분뇨축산" xfId="4211" xr:uid="{00000000-0005-0000-0000-0000A21E0000}"/>
    <cellStyle name="평_Sheet1_1차 본협상자료(0830)_정읍분뇨축산(365일)" xfId="4212" xr:uid="{00000000-0005-0000-0000-0000A31E0000}"/>
    <cellStyle name="평_Sheet1_1차 본협상자료(0830)_정읍분뇨축산(365일)_시운전비내역(산청군)" xfId="4213" xr:uid="{00000000-0005-0000-0000-0000A41E0000}"/>
    <cellStyle name="평_Sheet1_1차 본협상자료(0830)_정읍분뇨축산(365일)_시운전비내역(산청군)_시운전비내역(산청군)" xfId="4214" xr:uid="{00000000-0005-0000-0000-0000A51E0000}"/>
    <cellStyle name="평_Sheet1_1차 본협상자료(0830)_정읍분뇨축산_시운전비내역(산청군)" xfId="4215" xr:uid="{00000000-0005-0000-0000-0000A61E0000}"/>
    <cellStyle name="평_Sheet1_1차 본협상자료(0830)_정읍분뇨축산_시운전비내역(산청군)_시운전비내역(산청군)" xfId="4216" xr:uid="{00000000-0005-0000-0000-0000A71E0000}"/>
    <cellStyle name="평_Sheet1_1차 본협상자료(0830)_축산운영비(0117-2002년)" xfId="4217" xr:uid="{00000000-0005-0000-0000-0000A81E0000}"/>
    <cellStyle name="평_Sheet1_1차 본협상자료(0830)_축산운영비(0117-2002년)_시운전비내역(산청군)" xfId="4218" xr:uid="{00000000-0005-0000-0000-0000A91E0000}"/>
    <cellStyle name="평_Sheet1_1차 본협상자료(0830)_축산운영비(0117-2002년)_시운전비내역(산청군)_시운전비내역(산청군)" xfId="4219" xr:uid="{00000000-0005-0000-0000-0000AA1E0000}"/>
    <cellStyle name="평_Sheet1_1차 본협상자료(0830)_축산운영비(1116)" xfId="4220" xr:uid="{00000000-0005-0000-0000-0000AB1E0000}"/>
    <cellStyle name="평_Sheet1_1차 본협상자료(0830)_축산운영비(1116)_김제축산(365일)" xfId="4221" xr:uid="{00000000-0005-0000-0000-0000AC1E0000}"/>
    <cellStyle name="평_Sheet1_1차 본협상자료(0830)_축산운영비(1116)_김제축산(365일)_시운전비내역(산청군)" xfId="4222" xr:uid="{00000000-0005-0000-0000-0000AD1E0000}"/>
    <cellStyle name="평_Sheet1_1차 본협상자료(0830)_축산운영비(1116)_김제축산(365일)_시운전비내역(산청군)_시운전비내역(산청군)" xfId="4223" xr:uid="{00000000-0005-0000-0000-0000AE1E0000}"/>
    <cellStyle name="평_Sheet1_1차 본협상자료(0830)_축산운영비(1116)_시운전비내역(산청군)" xfId="4224" xr:uid="{00000000-0005-0000-0000-0000AF1E0000}"/>
    <cellStyle name="평_Sheet1_1차 본협상자료(0830)_축산운영비(1116)_시운전비내역(산청군)_시운전비내역(산청군)" xfId="4225" xr:uid="{00000000-0005-0000-0000-0000B01E0000}"/>
    <cellStyle name="평_Sheet1_1차 본협상자료(0830)_축산운영비(1116)_정읍분뇨축산" xfId="4226" xr:uid="{00000000-0005-0000-0000-0000B11E0000}"/>
    <cellStyle name="평_Sheet1_1차 본협상자료(0830)_축산운영비(1116)_정읍분뇨축산(365일)" xfId="4227" xr:uid="{00000000-0005-0000-0000-0000B21E0000}"/>
    <cellStyle name="평_Sheet1_1차 본협상자료(0830)_축산운영비(1116)_정읍분뇨축산(365일)_시운전비내역(산청군)" xfId="4228" xr:uid="{00000000-0005-0000-0000-0000B31E0000}"/>
    <cellStyle name="평_Sheet1_1차 본협상자료(0830)_축산운영비(1116)_정읍분뇨축산(365일)_시운전비내역(산청군)_시운전비내역(산청군)" xfId="4229" xr:uid="{00000000-0005-0000-0000-0000B41E0000}"/>
    <cellStyle name="평_Sheet1_1차 본협상자료(0830)_축산운영비(1116)_정읍분뇨축산_시운전비내역(산청군)" xfId="4230" xr:uid="{00000000-0005-0000-0000-0000B51E0000}"/>
    <cellStyle name="평_Sheet1_1차 본협상자료(0830)_축산운영비(1116)_정읍분뇨축산_시운전비내역(산청군)_시운전비내역(산청군)" xfId="4231" xr:uid="{00000000-0005-0000-0000-0000B61E0000}"/>
    <cellStyle name="평_Sheet1_1차 본협상자료(0830)_축산운영비(1116)_축산운영비(0117-2002년)" xfId="4232" xr:uid="{00000000-0005-0000-0000-0000B71E0000}"/>
    <cellStyle name="평_Sheet1_1차 본협상자료(0830)_축산운영비(1116)_축산운영비(0117-2002년)_시운전비내역(산청군)" xfId="4233" xr:uid="{00000000-0005-0000-0000-0000B81E0000}"/>
    <cellStyle name="평_Sheet1_1차 본협상자료(0830)_축산운영비(1116)_축산운영비(0117-2002년)_시운전비내역(산청군)_시운전비내역(산청군)" xfId="4234" xr:uid="{00000000-0005-0000-0000-0000B91E0000}"/>
    <cellStyle name="평_Sheet1_1차 본협상자료(0830)_축산운영비(1219)" xfId="4235" xr:uid="{00000000-0005-0000-0000-0000BA1E0000}"/>
    <cellStyle name="평_Sheet1_1차 본협상자료(0830)_축산운영비(1219)_김제축산(365일)" xfId="4236" xr:uid="{00000000-0005-0000-0000-0000BB1E0000}"/>
    <cellStyle name="평_Sheet1_1차 본협상자료(0830)_축산운영비(1219)_김제축산(365일)_시운전비내역(산청군)" xfId="4237" xr:uid="{00000000-0005-0000-0000-0000BC1E0000}"/>
    <cellStyle name="평_Sheet1_1차 본협상자료(0830)_축산운영비(1219)_김제축산(365일)_시운전비내역(산청군)_시운전비내역(산청군)" xfId="4238" xr:uid="{00000000-0005-0000-0000-0000BD1E0000}"/>
    <cellStyle name="평_Sheet1_1차 본협상자료(0830)_축산운영비(1219)_시운전비내역(산청군)" xfId="4239" xr:uid="{00000000-0005-0000-0000-0000BE1E0000}"/>
    <cellStyle name="평_Sheet1_1차 본협상자료(0830)_축산운영비(1219)_시운전비내역(산청군)_시운전비내역(산청군)" xfId="4240" xr:uid="{00000000-0005-0000-0000-0000BF1E0000}"/>
    <cellStyle name="평_Sheet1_1차 본협상자료(0830)_축산운영비(1219)_정읍분뇨축산" xfId="4241" xr:uid="{00000000-0005-0000-0000-0000C01E0000}"/>
    <cellStyle name="평_Sheet1_1차 본협상자료(0830)_축산운영비(1219)_정읍분뇨축산(365일)" xfId="4242" xr:uid="{00000000-0005-0000-0000-0000C11E0000}"/>
    <cellStyle name="평_Sheet1_1차 본협상자료(0830)_축산운영비(1219)_정읍분뇨축산(365일)_시운전비내역(산청군)" xfId="4243" xr:uid="{00000000-0005-0000-0000-0000C21E0000}"/>
    <cellStyle name="평_Sheet1_1차 본협상자료(0830)_축산운영비(1219)_정읍분뇨축산(365일)_시운전비내역(산청군)_시운전비내역(산청군)" xfId="4244" xr:uid="{00000000-0005-0000-0000-0000C31E0000}"/>
    <cellStyle name="평_Sheet1_1차 본협상자료(0830)_축산운영비(1219)_정읍분뇨축산_시운전비내역(산청군)" xfId="4245" xr:uid="{00000000-0005-0000-0000-0000C41E0000}"/>
    <cellStyle name="평_Sheet1_1차 본협상자료(0830)_축산운영비(1219)_정읍분뇨축산_시운전비내역(산청군)_시운전비내역(산청군)" xfId="4246" xr:uid="{00000000-0005-0000-0000-0000C51E0000}"/>
    <cellStyle name="평_Sheet1_1차 본협상자료(0830)_축산운영비(1219)_축산운영비(0117-2002년)" xfId="4247" xr:uid="{00000000-0005-0000-0000-0000C61E0000}"/>
    <cellStyle name="평_Sheet1_1차 본협상자료(0830)_축산운영비(1219)_축산운영비(0117-2002년)_시운전비내역(산청군)" xfId="4248" xr:uid="{00000000-0005-0000-0000-0000C71E0000}"/>
    <cellStyle name="평_Sheet1_1차 본협상자료(0830)_축산운영비(1219)_축산운영비(0117-2002년)_시운전비내역(산청군)_시운전비내역(산청군)" xfId="4249" xr:uid="{00000000-0005-0000-0000-0000C81E0000}"/>
    <cellStyle name="평_Sheet1_김제축산(365일)" xfId="4250" xr:uid="{00000000-0005-0000-0000-0000C91E0000}"/>
    <cellStyle name="평_Sheet1_김제축산(365일)_시운전비내역(산청군)" xfId="4251" xr:uid="{00000000-0005-0000-0000-0000CA1E0000}"/>
    <cellStyle name="평_Sheet1_김제축산(365일)_시운전비내역(산청군)_시운전비내역(산청군)" xfId="4252" xr:uid="{00000000-0005-0000-0000-0000CB1E0000}"/>
    <cellStyle name="평_Sheet1_시운전비내역(산청군)" xfId="4253" xr:uid="{00000000-0005-0000-0000-0000CC1E0000}"/>
    <cellStyle name="평_Sheet1_시운전비내역(산청군)_시운전비내역(산청군)" xfId="4254" xr:uid="{00000000-0005-0000-0000-0000CD1E0000}"/>
    <cellStyle name="평_Sheet1_정읍분뇨축산" xfId="4255" xr:uid="{00000000-0005-0000-0000-0000CE1E0000}"/>
    <cellStyle name="평_Sheet1_정읍분뇨축산(365일)" xfId="4256" xr:uid="{00000000-0005-0000-0000-0000CF1E0000}"/>
    <cellStyle name="평_Sheet1_정읍분뇨축산(365일)_시운전비내역(산청군)" xfId="4257" xr:uid="{00000000-0005-0000-0000-0000D01E0000}"/>
    <cellStyle name="평_Sheet1_정읍분뇨축산(365일)_시운전비내역(산청군)_시운전비내역(산청군)" xfId="4258" xr:uid="{00000000-0005-0000-0000-0000D11E0000}"/>
    <cellStyle name="평_Sheet1_정읍분뇨축산_시운전비내역(산청군)" xfId="4259" xr:uid="{00000000-0005-0000-0000-0000D21E0000}"/>
    <cellStyle name="평_Sheet1_정읍분뇨축산_시운전비내역(산청군)_시운전비내역(산청군)" xfId="4260" xr:uid="{00000000-0005-0000-0000-0000D31E0000}"/>
    <cellStyle name="평_Sheet1_축산운영비(0117-2002년)" xfId="4261" xr:uid="{00000000-0005-0000-0000-0000D41E0000}"/>
    <cellStyle name="평_Sheet1_축산운영비(0117-2002년)_시운전비내역(산청군)" xfId="4262" xr:uid="{00000000-0005-0000-0000-0000D51E0000}"/>
    <cellStyle name="평_Sheet1_축산운영비(0117-2002년)_시운전비내역(산청군)_시운전비내역(산청군)" xfId="4263" xr:uid="{00000000-0005-0000-0000-0000D61E0000}"/>
    <cellStyle name="평_Sheet1_축산운영비(1116)" xfId="4264" xr:uid="{00000000-0005-0000-0000-0000D71E0000}"/>
    <cellStyle name="평_Sheet1_축산운영비(1116)_김제축산(365일)" xfId="4265" xr:uid="{00000000-0005-0000-0000-0000D81E0000}"/>
    <cellStyle name="평_Sheet1_축산운영비(1116)_김제축산(365일)_시운전비내역(산청군)" xfId="4266" xr:uid="{00000000-0005-0000-0000-0000D91E0000}"/>
    <cellStyle name="평_Sheet1_축산운영비(1116)_김제축산(365일)_시운전비내역(산청군)_시운전비내역(산청군)" xfId="4267" xr:uid="{00000000-0005-0000-0000-0000DA1E0000}"/>
    <cellStyle name="평_Sheet1_축산운영비(1116)_시운전비내역(산청군)" xfId="4268" xr:uid="{00000000-0005-0000-0000-0000DB1E0000}"/>
    <cellStyle name="평_Sheet1_축산운영비(1116)_시운전비내역(산청군)_시운전비내역(산청군)" xfId="4269" xr:uid="{00000000-0005-0000-0000-0000DC1E0000}"/>
    <cellStyle name="평_Sheet1_축산운영비(1116)_정읍분뇨축산" xfId="4270" xr:uid="{00000000-0005-0000-0000-0000DD1E0000}"/>
    <cellStyle name="평_Sheet1_축산운영비(1116)_정읍분뇨축산(365일)" xfId="4271" xr:uid="{00000000-0005-0000-0000-0000DE1E0000}"/>
    <cellStyle name="평_Sheet1_축산운영비(1116)_정읍분뇨축산(365일)_시운전비내역(산청군)" xfId="4272" xr:uid="{00000000-0005-0000-0000-0000DF1E0000}"/>
    <cellStyle name="평_Sheet1_축산운영비(1116)_정읍분뇨축산(365일)_시운전비내역(산청군)_시운전비내역(산청군)" xfId="4273" xr:uid="{00000000-0005-0000-0000-0000E01E0000}"/>
    <cellStyle name="평_Sheet1_축산운영비(1116)_정읍분뇨축산_시운전비내역(산청군)" xfId="4274" xr:uid="{00000000-0005-0000-0000-0000E11E0000}"/>
    <cellStyle name="평_Sheet1_축산운영비(1116)_정읍분뇨축산_시운전비내역(산청군)_시운전비내역(산청군)" xfId="4275" xr:uid="{00000000-0005-0000-0000-0000E21E0000}"/>
    <cellStyle name="평_Sheet1_축산운영비(1116)_축산운영비(0117-2002년)" xfId="4276" xr:uid="{00000000-0005-0000-0000-0000E31E0000}"/>
    <cellStyle name="평_Sheet1_축산운영비(1116)_축산운영비(0117-2002년)_시운전비내역(산청군)" xfId="4277" xr:uid="{00000000-0005-0000-0000-0000E41E0000}"/>
    <cellStyle name="평_Sheet1_축산운영비(1116)_축산운영비(0117-2002년)_시운전비내역(산청군)_시운전비내역(산청군)" xfId="4278" xr:uid="{00000000-0005-0000-0000-0000E51E0000}"/>
    <cellStyle name="평_Sheet1_축산운영비(1219)" xfId="4279" xr:uid="{00000000-0005-0000-0000-0000E61E0000}"/>
    <cellStyle name="평_Sheet1_축산운영비(1219)_김제축산(365일)" xfId="4280" xr:uid="{00000000-0005-0000-0000-0000E71E0000}"/>
    <cellStyle name="평_Sheet1_축산운영비(1219)_김제축산(365일)_시운전비내역(산청군)" xfId="4281" xr:uid="{00000000-0005-0000-0000-0000E81E0000}"/>
    <cellStyle name="평_Sheet1_축산운영비(1219)_김제축산(365일)_시운전비내역(산청군)_시운전비내역(산청군)" xfId="4282" xr:uid="{00000000-0005-0000-0000-0000E91E0000}"/>
    <cellStyle name="평_Sheet1_축산운영비(1219)_시운전비내역(산청군)" xfId="4283" xr:uid="{00000000-0005-0000-0000-0000EA1E0000}"/>
    <cellStyle name="평_Sheet1_축산운영비(1219)_시운전비내역(산청군)_시운전비내역(산청군)" xfId="4284" xr:uid="{00000000-0005-0000-0000-0000EB1E0000}"/>
    <cellStyle name="평_Sheet1_축산운영비(1219)_정읍분뇨축산" xfId="4285" xr:uid="{00000000-0005-0000-0000-0000EC1E0000}"/>
    <cellStyle name="평_Sheet1_축산운영비(1219)_정읍분뇨축산(365일)" xfId="4286" xr:uid="{00000000-0005-0000-0000-0000ED1E0000}"/>
    <cellStyle name="평_Sheet1_축산운영비(1219)_정읍분뇨축산(365일)_시운전비내역(산청군)" xfId="4287" xr:uid="{00000000-0005-0000-0000-0000EE1E0000}"/>
    <cellStyle name="평_Sheet1_축산운영비(1219)_정읍분뇨축산(365일)_시운전비내역(산청군)_시운전비내역(산청군)" xfId="4288" xr:uid="{00000000-0005-0000-0000-0000EF1E0000}"/>
    <cellStyle name="평_Sheet1_축산운영비(1219)_정읍분뇨축산_시운전비내역(산청군)" xfId="4289" xr:uid="{00000000-0005-0000-0000-0000F01E0000}"/>
    <cellStyle name="평_Sheet1_축산운영비(1219)_정읍분뇨축산_시운전비내역(산청군)_시운전비내역(산청군)" xfId="4290" xr:uid="{00000000-0005-0000-0000-0000F11E0000}"/>
    <cellStyle name="평_Sheet1_축산운영비(1219)_축산운영비(0117-2002년)" xfId="4291" xr:uid="{00000000-0005-0000-0000-0000F21E0000}"/>
    <cellStyle name="평_Sheet1_축산운영비(1219)_축산운영비(0117-2002년)_시운전비내역(산청군)" xfId="4292" xr:uid="{00000000-0005-0000-0000-0000F31E0000}"/>
    <cellStyle name="평_Sheet1_축산운영비(1219)_축산운영비(0117-2002년)_시운전비내역(산청군)_시운전비내역(산청군)" xfId="4293" xr:uid="{00000000-0005-0000-0000-0000F41E0000}"/>
    <cellStyle name="평_김제축산(365일)" xfId="4294" xr:uid="{00000000-0005-0000-0000-0000F51E0000}"/>
    <cellStyle name="평_김제축산(365일)_시운전비내역(산청군)" xfId="4295" xr:uid="{00000000-0005-0000-0000-0000F61E0000}"/>
    <cellStyle name="평_김제축산(365일)_시운전비내역(산청군)_시운전비내역(산청군)" xfId="4296" xr:uid="{00000000-0005-0000-0000-0000F71E0000}"/>
    <cellStyle name="평_붙임6" xfId="4297" xr:uid="{00000000-0005-0000-0000-0000F81E0000}"/>
    <cellStyle name="평_붙임6_1차 본협상자료(0830)" xfId="4298" xr:uid="{00000000-0005-0000-0000-0000F91E0000}"/>
    <cellStyle name="평_붙임6_1차 본협상자료(0830)_김제축산(365일)" xfId="4299" xr:uid="{00000000-0005-0000-0000-0000FA1E0000}"/>
    <cellStyle name="평_붙임6_1차 본협상자료(0830)_김제축산(365일)_시운전비내역(산청군)" xfId="4300" xr:uid="{00000000-0005-0000-0000-0000FB1E0000}"/>
    <cellStyle name="평_붙임6_1차 본협상자료(0830)_김제축산(365일)_시운전비내역(산청군)_시운전비내역(산청군)" xfId="4301" xr:uid="{00000000-0005-0000-0000-0000FC1E0000}"/>
    <cellStyle name="평_붙임6_1차 본협상자료(0830)_시운전비내역(산청군)" xfId="4302" xr:uid="{00000000-0005-0000-0000-0000FD1E0000}"/>
    <cellStyle name="평_붙임6_1차 본협상자료(0830)_시운전비내역(산청군)_시운전비내역(산청군)" xfId="4303" xr:uid="{00000000-0005-0000-0000-0000FE1E0000}"/>
    <cellStyle name="평_붙임6_1차 본협상자료(0830)_정읍분뇨축산" xfId="4304" xr:uid="{00000000-0005-0000-0000-0000FF1E0000}"/>
    <cellStyle name="평_붙임6_1차 본협상자료(0830)_정읍분뇨축산(365일)" xfId="4305" xr:uid="{00000000-0005-0000-0000-0000001F0000}"/>
    <cellStyle name="평_붙임6_1차 본협상자료(0830)_정읍분뇨축산(365일)_시운전비내역(산청군)" xfId="4306" xr:uid="{00000000-0005-0000-0000-0000011F0000}"/>
    <cellStyle name="평_붙임6_1차 본협상자료(0830)_정읍분뇨축산(365일)_시운전비내역(산청군)_시운전비내역(산청군)" xfId="4307" xr:uid="{00000000-0005-0000-0000-0000021F0000}"/>
    <cellStyle name="평_붙임6_1차 본협상자료(0830)_정읍분뇨축산_시운전비내역(산청군)" xfId="4308" xr:uid="{00000000-0005-0000-0000-0000031F0000}"/>
    <cellStyle name="평_붙임6_1차 본협상자료(0830)_정읍분뇨축산_시운전비내역(산청군)_시운전비내역(산청군)" xfId="4309" xr:uid="{00000000-0005-0000-0000-0000041F0000}"/>
    <cellStyle name="평_붙임6_1차 본협상자료(0830)_축산운영비(0117-2002년)" xfId="4310" xr:uid="{00000000-0005-0000-0000-0000051F0000}"/>
    <cellStyle name="평_붙임6_1차 본협상자료(0830)_축산운영비(0117-2002년)_시운전비내역(산청군)" xfId="4311" xr:uid="{00000000-0005-0000-0000-0000061F0000}"/>
    <cellStyle name="평_붙임6_1차 본협상자료(0830)_축산운영비(0117-2002년)_시운전비내역(산청군)_시운전비내역(산청군)" xfId="4312" xr:uid="{00000000-0005-0000-0000-0000071F0000}"/>
    <cellStyle name="평_붙임6_1차 본협상자료(0830)_축산운영비(1116)" xfId="4313" xr:uid="{00000000-0005-0000-0000-0000081F0000}"/>
    <cellStyle name="평_붙임6_1차 본협상자료(0830)_축산운영비(1116)_김제축산(365일)" xfId="4314" xr:uid="{00000000-0005-0000-0000-0000091F0000}"/>
    <cellStyle name="평_붙임6_1차 본협상자료(0830)_축산운영비(1116)_김제축산(365일)_시운전비내역(산청군)" xfId="4315" xr:uid="{00000000-0005-0000-0000-00000A1F0000}"/>
    <cellStyle name="평_붙임6_1차 본협상자료(0830)_축산운영비(1116)_김제축산(365일)_시운전비내역(산청군)_시운전비내역(산청군)" xfId="4316" xr:uid="{00000000-0005-0000-0000-00000B1F0000}"/>
    <cellStyle name="평_붙임6_1차 본협상자료(0830)_축산운영비(1116)_시운전비내역(산청군)" xfId="4317" xr:uid="{00000000-0005-0000-0000-00000C1F0000}"/>
    <cellStyle name="평_붙임6_1차 본협상자료(0830)_축산운영비(1116)_시운전비내역(산청군)_시운전비내역(산청군)" xfId="4318" xr:uid="{00000000-0005-0000-0000-00000D1F0000}"/>
    <cellStyle name="평_붙임6_1차 본협상자료(0830)_축산운영비(1116)_정읍분뇨축산" xfId="4319" xr:uid="{00000000-0005-0000-0000-00000E1F0000}"/>
    <cellStyle name="평_붙임6_1차 본협상자료(0830)_축산운영비(1116)_정읍분뇨축산(365일)" xfId="4320" xr:uid="{00000000-0005-0000-0000-00000F1F0000}"/>
    <cellStyle name="평_붙임6_1차 본협상자료(0830)_축산운영비(1116)_정읍분뇨축산(365일)_시운전비내역(산청군)" xfId="4321" xr:uid="{00000000-0005-0000-0000-0000101F0000}"/>
    <cellStyle name="평_붙임6_1차 본협상자료(0830)_축산운영비(1116)_정읍분뇨축산(365일)_시운전비내역(산청군)_시운전비내역(산청군)" xfId="4322" xr:uid="{00000000-0005-0000-0000-0000111F0000}"/>
    <cellStyle name="평_붙임6_1차 본협상자료(0830)_축산운영비(1116)_정읍분뇨축산_시운전비내역(산청군)" xfId="4323" xr:uid="{00000000-0005-0000-0000-0000121F0000}"/>
    <cellStyle name="평_붙임6_1차 본협상자료(0830)_축산운영비(1116)_정읍분뇨축산_시운전비내역(산청군)_시운전비내역(산청군)" xfId="4324" xr:uid="{00000000-0005-0000-0000-0000131F0000}"/>
    <cellStyle name="평_붙임6_1차 본협상자료(0830)_축산운영비(1116)_축산운영비(0117-2002년)" xfId="4325" xr:uid="{00000000-0005-0000-0000-0000141F0000}"/>
    <cellStyle name="평_붙임6_1차 본협상자료(0830)_축산운영비(1116)_축산운영비(0117-2002년)_시운전비내역(산청군)" xfId="4326" xr:uid="{00000000-0005-0000-0000-0000151F0000}"/>
    <cellStyle name="평_붙임6_1차 본협상자료(0830)_축산운영비(1116)_축산운영비(0117-2002년)_시운전비내역(산청군)_시운전비내역(산청군)" xfId="4327" xr:uid="{00000000-0005-0000-0000-0000161F0000}"/>
    <cellStyle name="평_붙임6_1차 본협상자료(0830)_축산운영비(1219)" xfId="4328" xr:uid="{00000000-0005-0000-0000-0000171F0000}"/>
    <cellStyle name="평_붙임6_1차 본협상자료(0830)_축산운영비(1219)_김제축산(365일)" xfId="4329" xr:uid="{00000000-0005-0000-0000-0000181F0000}"/>
    <cellStyle name="평_붙임6_1차 본협상자료(0830)_축산운영비(1219)_김제축산(365일)_시운전비내역(산청군)" xfId="4330" xr:uid="{00000000-0005-0000-0000-0000191F0000}"/>
    <cellStyle name="평_붙임6_1차 본협상자료(0830)_축산운영비(1219)_김제축산(365일)_시운전비내역(산청군)_시운전비내역(산청군)" xfId="4331" xr:uid="{00000000-0005-0000-0000-00001A1F0000}"/>
    <cellStyle name="평_붙임6_1차 본협상자료(0830)_축산운영비(1219)_시운전비내역(산청군)" xfId="4332" xr:uid="{00000000-0005-0000-0000-00001B1F0000}"/>
    <cellStyle name="평_붙임6_1차 본협상자료(0830)_축산운영비(1219)_시운전비내역(산청군)_시운전비내역(산청군)" xfId="4333" xr:uid="{00000000-0005-0000-0000-00001C1F0000}"/>
    <cellStyle name="평_붙임6_1차 본협상자료(0830)_축산운영비(1219)_정읍분뇨축산" xfId="4334" xr:uid="{00000000-0005-0000-0000-00001D1F0000}"/>
    <cellStyle name="평_붙임6_1차 본협상자료(0830)_축산운영비(1219)_정읍분뇨축산(365일)" xfId="4335" xr:uid="{00000000-0005-0000-0000-00001E1F0000}"/>
    <cellStyle name="평_붙임6_1차 본협상자료(0830)_축산운영비(1219)_정읍분뇨축산(365일)_시운전비내역(산청군)" xfId="4336" xr:uid="{00000000-0005-0000-0000-00001F1F0000}"/>
    <cellStyle name="평_붙임6_1차 본협상자료(0830)_축산운영비(1219)_정읍분뇨축산(365일)_시운전비내역(산청군)_시운전비내역(산청군)" xfId="4337" xr:uid="{00000000-0005-0000-0000-0000201F0000}"/>
    <cellStyle name="평_붙임6_1차 본협상자료(0830)_축산운영비(1219)_정읍분뇨축산_시운전비내역(산청군)" xfId="4338" xr:uid="{00000000-0005-0000-0000-0000211F0000}"/>
    <cellStyle name="평_붙임6_1차 본협상자료(0830)_축산운영비(1219)_정읍분뇨축산_시운전비내역(산청군)_시운전비내역(산청군)" xfId="4339" xr:uid="{00000000-0005-0000-0000-0000221F0000}"/>
    <cellStyle name="평_붙임6_1차 본협상자료(0830)_축산운영비(1219)_축산운영비(0117-2002년)" xfId="4340" xr:uid="{00000000-0005-0000-0000-0000231F0000}"/>
    <cellStyle name="평_붙임6_1차 본협상자료(0830)_축산운영비(1219)_축산운영비(0117-2002년)_시운전비내역(산청군)" xfId="4341" xr:uid="{00000000-0005-0000-0000-0000241F0000}"/>
    <cellStyle name="평_붙임6_1차 본협상자료(0830)_축산운영비(1219)_축산운영비(0117-2002년)_시운전비내역(산청군)_시운전비내역(산청군)" xfId="4342" xr:uid="{00000000-0005-0000-0000-0000251F0000}"/>
    <cellStyle name="평_붙임6_김제축산(365일)" xfId="4343" xr:uid="{00000000-0005-0000-0000-0000261F0000}"/>
    <cellStyle name="평_붙임6_김제축산(365일)_시운전비내역(산청군)" xfId="4344" xr:uid="{00000000-0005-0000-0000-0000271F0000}"/>
    <cellStyle name="평_붙임6_김제축산(365일)_시운전비내역(산청군)_시운전비내역(산청군)" xfId="4345" xr:uid="{00000000-0005-0000-0000-0000281F0000}"/>
    <cellStyle name="평_붙임6_시운전비내역(산청군)" xfId="4346" xr:uid="{00000000-0005-0000-0000-0000291F0000}"/>
    <cellStyle name="평_붙임6_시운전비내역(산청군)_시운전비내역(산청군)" xfId="4347" xr:uid="{00000000-0005-0000-0000-00002A1F0000}"/>
    <cellStyle name="평_붙임6_정읍분뇨축산" xfId="4348" xr:uid="{00000000-0005-0000-0000-00002B1F0000}"/>
    <cellStyle name="평_붙임6_정읍분뇨축산(365일)" xfId="4349" xr:uid="{00000000-0005-0000-0000-00002C1F0000}"/>
    <cellStyle name="평_붙임6_정읍분뇨축산(365일)_시운전비내역(산청군)" xfId="4350" xr:uid="{00000000-0005-0000-0000-00002D1F0000}"/>
    <cellStyle name="평_붙임6_정읍분뇨축산(365일)_시운전비내역(산청군)_시운전비내역(산청군)" xfId="4351" xr:uid="{00000000-0005-0000-0000-00002E1F0000}"/>
    <cellStyle name="평_붙임6_정읍분뇨축산_시운전비내역(산청군)" xfId="4352" xr:uid="{00000000-0005-0000-0000-00002F1F0000}"/>
    <cellStyle name="평_붙임6_정읍분뇨축산_시운전비내역(산청군)_시운전비내역(산청군)" xfId="4353" xr:uid="{00000000-0005-0000-0000-0000301F0000}"/>
    <cellStyle name="평_붙임6_축산운영비(0117-2002년)" xfId="4354" xr:uid="{00000000-0005-0000-0000-0000311F0000}"/>
    <cellStyle name="평_붙임6_축산운영비(0117-2002년)_시운전비내역(산청군)" xfId="4355" xr:uid="{00000000-0005-0000-0000-0000321F0000}"/>
    <cellStyle name="평_붙임6_축산운영비(0117-2002년)_시운전비내역(산청군)_시운전비내역(산청군)" xfId="4356" xr:uid="{00000000-0005-0000-0000-0000331F0000}"/>
    <cellStyle name="평_붙임6_축산운영비(1116)" xfId="4357" xr:uid="{00000000-0005-0000-0000-0000341F0000}"/>
    <cellStyle name="평_붙임6_축산운영비(1116)_김제축산(365일)" xfId="4358" xr:uid="{00000000-0005-0000-0000-0000351F0000}"/>
    <cellStyle name="평_붙임6_축산운영비(1116)_김제축산(365일)_시운전비내역(산청군)" xfId="4359" xr:uid="{00000000-0005-0000-0000-0000361F0000}"/>
    <cellStyle name="평_붙임6_축산운영비(1116)_김제축산(365일)_시운전비내역(산청군)_시운전비내역(산청군)" xfId="4360" xr:uid="{00000000-0005-0000-0000-0000371F0000}"/>
    <cellStyle name="평_붙임6_축산운영비(1116)_시운전비내역(산청군)" xfId="4361" xr:uid="{00000000-0005-0000-0000-0000381F0000}"/>
    <cellStyle name="평_붙임6_축산운영비(1116)_시운전비내역(산청군)_시운전비내역(산청군)" xfId="4362" xr:uid="{00000000-0005-0000-0000-0000391F0000}"/>
    <cellStyle name="평_붙임6_축산운영비(1116)_정읍분뇨축산" xfId="4363" xr:uid="{00000000-0005-0000-0000-00003A1F0000}"/>
    <cellStyle name="평_붙임6_축산운영비(1116)_정읍분뇨축산(365일)" xfId="4364" xr:uid="{00000000-0005-0000-0000-00003B1F0000}"/>
    <cellStyle name="평_붙임6_축산운영비(1116)_정읍분뇨축산(365일)_시운전비내역(산청군)" xfId="4365" xr:uid="{00000000-0005-0000-0000-00003C1F0000}"/>
    <cellStyle name="평_붙임6_축산운영비(1116)_정읍분뇨축산(365일)_시운전비내역(산청군)_시운전비내역(산청군)" xfId="4366" xr:uid="{00000000-0005-0000-0000-00003D1F0000}"/>
    <cellStyle name="평_붙임6_축산운영비(1116)_정읍분뇨축산_시운전비내역(산청군)" xfId="4367" xr:uid="{00000000-0005-0000-0000-00003E1F0000}"/>
    <cellStyle name="평_붙임6_축산운영비(1116)_정읍분뇨축산_시운전비내역(산청군)_시운전비내역(산청군)" xfId="4368" xr:uid="{00000000-0005-0000-0000-00003F1F0000}"/>
    <cellStyle name="평_붙임6_축산운영비(1116)_축산운영비(0117-2002년)" xfId="4369" xr:uid="{00000000-0005-0000-0000-0000401F0000}"/>
    <cellStyle name="평_붙임6_축산운영비(1116)_축산운영비(0117-2002년)_시운전비내역(산청군)" xfId="4370" xr:uid="{00000000-0005-0000-0000-0000411F0000}"/>
    <cellStyle name="평_붙임6_축산운영비(1116)_축산운영비(0117-2002년)_시운전비내역(산청군)_시운전비내역(산청군)" xfId="4371" xr:uid="{00000000-0005-0000-0000-0000421F0000}"/>
    <cellStyle name="평_붙임6_축산운영비(1219)" xfId="4372" xr:uid="{00000000-0005-0000-0000-0000431F0000}"/>
    <cellStyle name="평_붙임6_축산운영비(1219)_김제축산(365일)" xfId="4373" xr:uid="{00000000-0005-0000-0000-0000441F0000}"/>
    <cellStyle name="평_붙임6_축산운영비(1219)_김제축산(365일)_시운전비내역(산청군)" xfId="4374" xr:uid="{00000000-0005-0000-0000-0000451F0000}"/>
    <cellStyle name="평_붙임6_축산운영비(1219)_김제축산(365일)_시운전비내역(산청군)_시운전비내역(산청군)" xfId="4375" xr:uid="{00000000-0005-0000-0000-0000461F0000}"/>
    <cellStyle name="평_붙임6_축산운영비(1219)_시운전비내역(산청군)" xfId="4376" xr:uid="{00000000-0005-0000-0000-0000471F0000}"/>
    <cellStyle name="평_붙임6_축산운영비(1219)_시운전비내역(산청군)_시운전비내역(산청군)" xfId="4377" xr:uid="{00000000-0005-0000-0000-0000481F0000}"/>
    <cellStyle name="평_붙임6_축산운영비(1219)_정읍분뇨축산" xfId="4378" xr:uid="{00000000-0005-0000-0000-0000491F0000}"/>
    <cellStyle name="평_붙임6_축산운영비(1219)_정읍분뇨축산(365일)" xfId="4379" xr:uid="{00000000-0005-0000-0000-00004A1F0000}"/>
    <cellStyle name="평_붙임6_축산운영비(1219)_정읍분뇨축산(365일)_시운전비내역(산청군)" xfId="4380" xr:uid="{00000000-0005-0000-0000-00004B1F0000}"/>
    <cellStyle name="평_붙임6_축산운영비(1219)_정읍분뇨축산(365일)_시운전비내역(산청군)_시운전비내역(산청군)" xfId="4381" xr:uid="{00000000-0005-0000-0000-00004C1F0000}"/>
    <cellStyle name="평_붙임6_축산운영비(1219)_정읍분뇨축산_시운전비내역(산청군)" xfId="4382" xr:uid="{00000000-0005-0000-0000-00004D1F0000}"/>
    <cellStyle name="평_붙임6_축산운영비(1219)_정읍분뇨축산_시운전비내역(산청군)_시운전비내역(산청군)" xfId="4383" xr:uid="{00000000-0005-0000-0000-00004E1F0000}"/>
    <cellStyle name="평_붙임6_축산운영비(1219)_축산운영비(0117-2002년)" xfId="4384" xr:uid="{00000000-0005-0000-0000-00004F1F0000}"/>
    <cellStyle name="평_붙임6_축산운영비(1219)_축산운영비(0117-2002년)_시운전비내역(산청군)" xfId="4385" xr:uid="{00000000-0005-0000-0000-0000501F0000}"/>
    <cellStyle name="평_붙임6_축산운영비(1219)_축산운영비(0117-2002년)_시운전비내역(산청군)_시운전비내역(산청군)" xfId="4386" xr:uid="{00000000-0005-0000-0000-0000511F0000}"/>
    <cellStyle name="평_시운전비내역(산청군)" xfId="4387" xr:uid="{00000000-0005-0000-0000-0000521F0000}"/>
    <cellStyle name="평_시운전비내역(산청군)_시운전비내역(산청군)" xfId="4388" xr:uid="{00000000-0005-0000-0000-0000531F0000}"/>
    <cellStyle name="평_정읍분뇨축산" xfId="4389" xr:uid="{00000000-0005-0000-0000-0000541F0000}"/>
    <cellStyle name="평_정읍분뇨축산(365일)" xfId="4390" xr:uid="{00000000-0005-0000-0000-0000551F0000}"/>
    <cellStyle name="평_정읍분뇨축산(365일)_시운전비내역(산청군)" xfId="4391" xr:uid="{00000000-0005-0000-0000-0000561F0000}"/>
    <cellStyle name="평_정읍분뇨축산(365일)_시운전비내역(산청군)_시운전비내역(산청군)" xfId="4392" xr:uid="{00000000-0005-0000-0000-0000571F0000}"/>
    <cellStyle name="평_정읍분뇨축산_시운전비내역(산청군)" xfId="4393" xr:uid="{00000000-0005-0000-0000-0000581F0000}"/>
    <cellStyle name="평_정읍분뇨축산_시운전비내역(산청군)_시운전비내역(산청군)" xfId="4394" xr:uid="{00000000-0005-0000-0000-0000591F0000}"/>
    <cellStyle name="평_축산운영비(0117-2002년)" xfId="4395" xr:uid="{00000000-0005-0000-0000-00005A1F0000}"/>
    <cellStyle name="평_축산운영비(0117-2002년)_시운전비내역(산청군)" xfId="4396" xr:uid="{00000000-0005-0000-0000-00005B1F0000}"/>
    <cellStyle name="평_축산운영비(0117-2002년)_시운전비내역(산청군)_시운전비내역(산청군)" xfId="4397" xr:uid="{00000000-0005-0000-0000-00005C1F0000}"/>
    <cellStyle name="평_축산운영비(1116)" xfId="4398" xr:uid="{00000000-0005-0000-0000-00005D1F0000}"/>
    <cellStyle name="평_축산운영비(1116)_김제축산(365일)" xfId="4399" xr:uid="{00000000-0005-0000-0000-00005E1F0000}"/>
    <cellStyle name="평_축산운영비(1116)_김제축산(365일)_시운전비내역(산청군)" xfId="4400" xr:uid="{00000000-0005-0000-0000-00005F1F0000}"/>
    <cellStyle name="평_축산운영비(1116)_김제축산(365일)_시운전비내역(산청군)_시운전비내역(산청군)" xfId="4401" xr:uid="{00000000-0005-0000-0000-0000601F0000}"/>
    <cellStyle name="평_축산운영비(1116)_시운전비내역(산청군)" xfId="4402" xr:uid="{00000000-0005-0000-0000-0000611F0000}"/>
    <cellStyle name="평_축산운영비(1116)_시운전비내역(산청군)_시운전비내역(산청군)" xfId="4403" xr:uid="{00000000-0005-0000-0000-0000621F0000}"/>
    <cellStyle name="평_축산운영비(1116)_정읍분뇨축산" xfId="4404" xr:uid="{00000000-0005-0000-0000-0000631F0000}"/>
    <cellStyle name="평_축산운영비(1116)_정읍분뇨축산(365일)" xfId="4405" xr:uid="{00000000-0005-0000-0000-0000641F0000}"/>
    <cellStyle name="평_축산운영비(1116)_정읍분뇨축산(365일)_시운전비내역(산청군)" xfId="4406" xr:uid="{00000000-0005-0000-0000-0000651F0000}"/>
    <cellStyle name="평_축산운영비(1116)_정읍분뇨축산(365일)_시운전비내역(산청군)_시운전비내역(산청군)" xfId="4407" xr:uid="{00000000-0005-0000-0000-0000661F0000}"/>
    <cellStyle name="평_축산운영비(1116)_정읍분뇨축산_시운전비내역(산청군)" xfId="4408" xr:uid="{00000000-0005-0000-0000-0000671F0000}"/>
    <cellStyle name="평_축산운영비(1116)_정읍분뇨축산_시운전비내역(산청군)_시운전비내역(산청군)" xfId="4409" xr:uid="{00000000-0005-0000-0000-0000681F0000}"/>
    <cellStyle name="평_축산운영비(1116)_축산운영비(0117-2002년)" xfId="4410" xr:uid="{00000000-0005-0000-0000-0000691F0000}"/>
    <cellStyle name="평_축산운영비(1116)_축산운영비(0117-2002년)_시운전비내역(산청군)" xfId="4411" xr:uid="{00000000-0005-0000-0000-00006A1F0000}"/>
    <cellStyle name="평_축산운영비(1116)_축산운영비(0117-2002년)_시운전비내역(산청군)_시운전비내역(산청군)" xfId="4412" xr:uid="{00000000-0005-0000-0000-00006B1F0000}"/>
    <cellStyle name="평_축산운영비(1219)" xfId="4413" xr:uid="{00000000-0005-0000-0000-00006C1F0000}"/>
    <cellStyle name="평_축산운영비(1219)_김제축산(365일)" xfId="4414" xr:uid="{00000000-0005-0000-0000-00006D1F0000}"/>
    <cellStyle name="평_축산운영비(1219)_김제축산(365일)_시운전비내역(산청군)" xfId="4415" xr:uid="{00000000-0005-0000-0000-00006E1F0000}"/>
    <cellStyle name="평_축산운영비(1219)_김제축산(365일)_시운전비내역(산청군)_시운전비내역(산청군)" xfId="4416" xr:uid="{00000000-0005-0000-0000-00006F1F0000}"/>
    <cellStyle name="평_축산운영비(1219)_시운전비내역(산청군)" xfId="4417" xr:uid="{00000000-0005-0000-0000-0000701F0000}"/>
    <cellStyle name="평_축산운영비(1219)_시운전비내역(산청군)_시운전비내역(산청군)" xfId="4418" xr:uid="{00000000-0005-0000-0000-0000711F0000}"/>
    <cellStyle name="평_축산운영비(1219)_정읍분뇨축산" xfId="4419" xr:uid="{00000000-0005-0000-0000-0000721F0000}"/>
    <cellStyle name="평_축산운영비(1219)_정읍분뇨축산(365일)" xfId="4420" xr:uid="{00000000-0005-0000-0000-0000731F0000}"/>
    <cellStyle name="평_축산운영비(1219)_정읍분뇨축산(365일)_시운전비내역(산청군)" xfId="4421" xr:uid="{00000000-0005-0000-0000-0000741F0000}"/>
    <cellStyle name="평_축산운영비(1219)_정읍분뇨축산(365일)_시운전비내역(산청군)_시운전비내역(산청군)" xfId="4422" xr:uid="{00000000-0005-0000-0000-0000751F0000}"/>
    <cellStyle name="평_축산운영비(1219)_정읍분뇨축산_시운전비내역(산청군)" xfId="4423" xr:uid="{00000000-0005-0000-0000-0000761F0000}"/>
    <cellStyle name="평_축산운영비(1219)_정읍분뇨축산_시운전비내역(산청군)_시운전비내역(산청군)" xfId="4424" xr:uid="{00000000-0005-0000-0000-0000771F0000}"/>
    <cellStyle name="평_축산운영비(1219)_축산운영비(0117-2002년)" xfId="4425" xr:uid="{00000000-0005-0000-0000-0000781F0000}"/>
    <cellStyle name="평_축산운영비(1219)_축산운영비(0117-2002년)_시운전비내역(산청군)" xfId="4426" xr:uid="{00000000-0005-0000-0000-0000791F0000}"/>
    <cellStyle name="평_축산운영비(1219)_축산운영비(0117-2002년)_시운전비내역(산청군)_시운전비내역(산청군)" xfId="4427" xr:uid="{00000000-0005-0000-0000-00007A1F0000}"/>
    <cellStyle name="표" xfId="1251" xr:uid="{00000000-0005-0000-0000-00007B1F0000}"/>
    <cellStyle name="표 2" xfId="1624" xr:uid="{00000000-0005-0000-0000-00007C1F0000}"/>
    <cellStyle name="표 2 2" xfId="8429" xr:uid="{00000000-0005-0000-0000-00007D1F0000}"/>
    <cellStyle name="표 3" xfId="7059" xr:uid="{00000000-0005-0000-0000-00007E1F0000}"/>
    <cellStyle name="표 4" xfId="8419" xr:uid="{00000000-0005-0000-0000-00007F1F0000}"/>
    <cellStyle name="표(가는선,가운데,중앙)" xfId="1252" xr:uid="{00000000-0005-0000-0000-0000801F0000}"/>
    <cellStyle name="표(가는선,왼쪽,중앙)" xfId="1253" xr:uid="{00000000-0005-0000-0000-0000811F0000}"/>
    <cellStyle name="표(세로쓰기)" xfId="1254" xr:uid="{00000000-0005-0000-0000-0000821F0000}"/>
    <cellStyle name="표_(수정중) 모형플랜트가설건물" xfId="1255" xr:uid="{00000000-0005-0000-0000-0000831F0000}"/>
    <cellStyle name="표_002 욱수천정비공사실시설계 내역서_090113" xfId="6622" xr:uid="{00000000-0005-0000-0000-0000841F0000}"/>
    <cellStyle name="표_01 백곡천내역서(낙찰내역)" xfId="6623" xr:uid="{00000000-0005-0000-0000-0000851F0000}"/>
    <cellStyle name="표_01 백곡천내역서(낙찰내역) 2" xfId="8330" xr:uid="{00000000-0005-0000-0000-0000861F0000}"/>
    <cellStyle name="표_01.설계내역서" xfId="8331" xr:uid="{00000000-0005-0000-0000-0000871F0000}"/>
    <cellStyle name="표_01.신천 생태하천 설계변경내역서" xfId="6624" xr:uid="{00000000-0005-0000-0000-0000881F0000}"/>
    <cellStyle name="표_01.신천 생태하천 설계변경내역서_01 내역서(진건천)" xfId="6625" xr:uid="{00000000-0005-0000-0000-0000891F0000}"/>
    <cellStyle name="표_01.신천 생태하천 설계변경내역서_01 유성천 수해상습지(기본계획 변경)" xfId="6626" xr:uid="{00000000-0005-0000-0000-00008A1F0000}"/>
    <cellStyle name="표_01.신천 생태하천 설계변경내역서_01 유성천 수해상습지(기본계획 변경)_01.내역서(원당천)환경수정" xfId="6627" xr:uid="{00000000-0005-0000-0000-00008B1F0000}"/>
    <cellStyle name="표_01.신천 생태하천 설계변경내역서_01 유성천 수해상습지_내역서" xfId="6628" xr:uid="{00000000-0005-0000-0000-00008C1F0000}"/>
    <cellStyle name="표_01.신천 생태하천 설계변경내역서_01 유성천 수해상습지_내역서_01.내역서(원당천)환경수정" xfId="6629" xr:uid="{00000000-0005-0000-0000-00008D1F0000}"/>
    <cellStyle name="표_01.신천 생태하천 설계변경내역서_고향의강(진잠천)_실시설계_용역_내역서(발주내역)" xfId="6630" xr:uid="{00000000-0005-0000-0000-00008E1F0000}"/>
    <cellStyle name="표_01.신천 생태하천 설계변경내역서_유성천_수해상습지(인건비+측정)_내역서" xfId="6631" xr:uid="{00000000-0005-0000-0000-00008F1F0000}"/>
    <cellStyle name="표_01.신천 생태하천 설계변경내역서_정생천_수해상습지_개선사업_기본및실시설계용역" xfId="6632" xr:uid="{00000000-0005-0000-0000-0000901F0000}"/>
    <cellStyle name="표_01.신천 생태하천 설계변경내역서_하천내구조물설치에따른 수리수문분석_내역서(최종)" xfId="6633" xr:uid="{00000000-0005-0000-0000-0000911F0000}"/>
    <cellStyle name="표_1.전기공사 내역서(구미정수장)" xfId="1256" xr:uid="{00000000-0005-0000-0000-0000921F0000}"/>
    <cellStyle name="표_1.전기공사 내역서(구미정수장)_구미정수장A(건축)(최종)(1)" xfId="1257" xr:uid="{00000000-0005-0000-0000-0000931F0000}"/>
    <cellStyle name="표_1.통신공사 내역서(구미정수장)" xfId="1258" xr:uid="{00000000-0005-0000-0000-0000941F0000}"/>
    <cellStyle name="표_1.통신공사 내역서(구미정수장)_구미정수장A(건축)(최종)(1)" xfId="1259" xr:uid="{00000000-0005-0000-0000-0000951F0000}"/>
    <cellStyle name="표_20100627615-01_설계서(전체)(1)" xfId="8332" xr:uid="{00000000-0005-0000-0000-0000961F0000}"/>
    <cellStyle name="표_2회설변전체내역서" xfId="1260" xr:uid="{00000000-0005-0000-0000-0000971F0000}"/>
    <cellStyle name="표_2회설변전체내역서 2" xfId="7060" xr:uid="{00000000-0005-0000-0000-0000981F0000}"/>
    <cellStyle name="표_3.우수" xfId="1261" xr:uid="{00000000-0005-0000-0000-0000991F0000}"/>
    <cellStyle name="표_3.우수_구미정수장A(건축)(최종)(1)" xfId="1262" xr:uid="{00000000-0005-0000-0000-00009A1F0000}"/>
    <cellStyle name="표_3.우수_구미정수장A(건축)(최종)(1) 2" xfId="1263" xr:uid="{00000000-0005-0000-0000-00009B1F0000}"/>
    <cellStyle name="표_3.우수_구미정수장A(건축)(최종)(1)_설계변경내역서(100928)-4" xfId="1264" xr:uid="{00000000-0005-0000-0000-00009C1F0000}"/>
    <cellStyle name="표_3.우수_석성정수장WBS(최종)" xfId="1265" xr:uid="{00000000-0005-0000-0000-00009D1F0000}"/>
    <cellStyle name="표_3.우수_석성정수장WBS(최종) 2" xfId="1266" xr:uid="{00000000-0005-0000-0000-00009E1F0000}"/>
    <cellStyle name="표_3.우수_석성정수장WBS(최종)_설계변경내역서(100928)-4" xfId="1267" xr:uid="{00000000-0005-0000-0000-00009F1F0000}"/>
    <cellStyle name="표_4. 기본및실시설계용역내역서_옥정호" xfId="6634" xr:uid="{00000000-0005-0000-0000-0000A01F0000}"/>
    <cellStyle name="표_4. 기본및실시설계용역내역서_옥정호 2" xfId="8333" xr:uid="{00000000-0005-0000-0000-0000A11F0000}"/>
    <cellStyle name="표_4.오수" xfId="1268" xr:uid="{00000000-0005-0000-0000-0000A21F0000}"/>
    <cellStyle name="표_4.오수_구미정수장A(건축)(최종)(1)" xfId="1269" xr:uid="{00000000-0005-0000-0000-0000A31F0000}"/>
    <cellStyle name="표_4.오수_구미정수장A(건축)(최종)(1) 2" xfId="1270" xr:uid="{00000000-0005-0000-0000-0000A41F0000}"/>
    <cellStyle name="표_4.오수_구미정수장A(건축)(최종)(1)_설계변경내역서(100928)-4" xfId="1271" xr:uid="{00000000-0005-0000-0000-0000A51F0000}"/>
    <cellStyle name="표_4.오수_석성정수장WBS(최종)" xfId="1272" xr:uid="{00000000-0005-0000-0000-0000A61F0000}"/>
    <cellStyle name="표_4.오수_석성정수장WBS(최종) 2" xfId="1273" xr:uid="{00000000-0005-0000-0000-0000A71F0000}"/>
    <cellStyle name="표_4.오수_석성정수장WBS(최종)_설계변경내역서(100928)-4" xfId="1274" xr:uid="{00000000-0005-0000-0000-0000A81F0000}"/>
    <cellStyle name="표_4_구미_내역서(최종)" xfId="1275" xr:uid="{00000000-0005-0000-0000-0000A91F0000}"/>
    <cellStyle name="표_4_구미_내역서(최종) 2" xfId="8420" xr:uid="{00000000-0005-0000-0000-0000AA1F0000}"/>
    <cellStyle name="표_Book1" xfId="1276" xr:uid="{00000000-0005-0000-0000-0000AB1F0000}"/>
    <cellStyle name="표_Book1_구미정수장A(건축)(최종)(1)" xfId="1277" xr:uid="{00000000-0005-0000-0000-0000AC1F0000}"/>
    <cellStyle name="표_경안천고향의강설계내역서 (version 1)" xfId="6635" xr:uid="{00000000-0005-0000-0000-0000AD1F0000}"/>
    <cellStyle name="표_고향의_강_내역(환경)" xfId="6636" xr:uid="{00000000-0005-0000-0000-0000AE1F0000}"/>
    <cellStyle name="표_고향의_강_내역(환경)_01 내역서(진건천)" xfId="6637" xr:uid="{00000000-0005-0000-0000-0000AF1F0000}"/>
    <cellStyle name="표_고향의_강_내역(환경)_01 유성천 수해상습지(기본계획 변경)" xfId="6638" xr:uid="{00000000-0005-0000-0000-0000B01F0000}"/>
    <cellStyle name="표_고향의_강_내역(환경)_01 유성천 수해상습지(기본계획 변경)_01.내역서(원당천)환경수정" xfId="6639" xr:uid="{00000000-0005-0000-0000-0000B11F0000}"/>
    <cellStyle name="표_고향의_강_내역(환경)_01 유성천 수해상습지_내역서" xfId="6640" xr:uid="{00000000-0005-0000-0000-0000B21F0000}"/>
    <cellStyle name="표_고향의_강_내역(환경)_01 유성천 수해상습지_내역서_01.내역서(원당천)환경수정" xfId="6641" xr:uid="{00000000-0005-0000-0000-0000B31F0000}"/>
    <cellStyle name="표_고향의_강_내역(환경)_고향의강(진잠천)_실시설계_용역_내역서(발주내역)" xfId="6642" xr:uid="{00000000-0005-0000-0000-0000B41F0000}"/>
    <cellStyle name="표_고향의_강_내역(환경)_유성천_수해상습지(인건비+측정)_내역서" xfId="6643" xr:uid="{00000000-0005-0000-0000-0000B51F0000}"/>
    <cellStyle name="표_고향의_강_내역(환경)_정생천_수해상습지_개선사업_기본및실시설계용역" xfId="6644" xr:uid="{00000000-0005-0000-0000-0000B61F0000}"/>
    <cellStyle name="표_고향의강정비실시설계용역내역서(예시)" xfId="8334" xr:uid="{00000000-0005-0000-0000-0000B71F0000}"/>
    <cellStyle name="표_교통성검토" xfId="6645" xr:uid="{00000000-0005-0000-0000-0000B81F0000}"/>
    <cellStyle name="표_구미내역서(최종)" xfId="1278" xr:uid="{00000000-0005-0000-0000-0000B91F0000}"/>
    <cellStyle name="표_구미내역서(최종) 2" xfId="8421" xr:uid="{00000000-0005-0000-0000-0000BA1F0000}"/>
    <cellStyle name="표_구미내역서(표지목차WBS참조)" xfId="1279" xr:uid="{00000000-0005-0000-0000-0000BB1F0000}"/>
    <cellStyle name="표_구미내역서(표지목차WBS참조)_구미정수장A(건축)(최종)(1)" xfId="1280" xr:uid="{00000000-0005-0000-0000-0000BC1F0000}"/>
    <cellStyle name="표_구미내역서(표지목차WBS참조)_구미정수장A(건축)(최종)(1) 2" xfId="1281" xr:uid="{00000000-0005-0000-0000-0000BD1F0000}"/>
    <cellStyle name="표_구미내역서(표지목차WBS참조)_구미정수장A(건축)(최종)(1)_설계변경내역서(100928)-4" xfId="1282" xr:uid="{00000000-0005-0000-0000-0000BE1F0000}"/>
    <cellStyle name="표_구미정수장A(건축)(최종)(1)" xfId="1283" xr:uid="{00000000-0005-0000-0000-0000BF1F0000}"/>
    <cellStyle name="표_구미정수장A(건축)(최종)(1) 2" xfId="1284" xr:uid="{00000000-0005-0000-0000-0000C01F0000}"/>
    <cellStyle name="표_구미정수장A(건축)(최종)(1)_설계변경내역서(100928)-4" xfId="1285" xr:uid="{00000000-0005-0000-0000-0000C11F0000}"/>
    <cellStyle name="표_구미정수장a(건축,총괄집계표까지참조)" xfId="1286" xr:uid="{00000000-0005-0000-0000-0000C21F0000}"/>
    <cellStyle name="표_구미정수장a(건축,총괄집계표까지참조)_구미정수장A(건축)(최종)(1)" xfId="1287" xr:uid="{00000000-0005-0000-0000-0000C31F0000}"/>
    <cellStyle name="표_구미정수장a(건축,총괄집계표까지참조)_구미정수장A(건축)(최종)(1) 2" xfId="1288" xr:uid="{00000000-0005-0000-0000-0000C41F0000}"/>
    <cellStyle name="표_구미정수장a(건축,총괄집계표까지참조)_구미정수장A(건축)(최종)(1)_설계변경내역서(100928)-4" xfId="1289" xr:uid="{00000000-0005-0000-0000-0000C51F0000}"/>
    <cellStyle name="표_구미정수장B(건축,기계,토목)" xfId="1290" xr:uid="{00000000-0005-0000-0000-0000C61F0000}"/>
    <cellStyle name="표_구미정수장B(건축,기계,토목)_구미정수장A(건축)(최종)(1)" xfId="1291" xr:uid="{00000000-0005-0000-0000-0000C71F0000}"/>
    <cellStyle name="표_구미정수장B(건축,기계,토목)_구미정수장A(건축)(최종)(1) 2" xfId="1292" xr:uid="{00000000-0005-0000-0000-0000C81F0000}"/>
    <cellStyle name="표_구미정수장B(건축,기계,토목)_구미정수장A(건축)(최종)(1)_설계변경내역서(100928)-4" xfId="1293" xr:uid="{00000000-0005-0000-0000-0000C91F0000}"/>
    <cellStyle name="표_내역서(포항)" xfId="1294" xr:uid="{00000000-0005-0000-0000-0000CA1F0000}"/>
    <cellStyle name="표_대장천_도심생태복원사업_기본_및_실시설계용역_설계예산서(원내역)" xfId="6646" xr:uid="{00000000-0005-0000-0000-0000CB1F0000}"/>
    <cellStyle name="표_문경내역(1127)" xfId="6647" xr:uid="{00000000-0005-0000-0000-0000CC1F0000}"/>
    <cellStyle name="표_문경내역(1127)_01.설계내역서" xfId="8335" xr:uid="{00000000-0005-0000-0000-0000CD1F0000}"/>
    <cellStyle name="표_문경내역(1127)_01.신천 생태하천 설계변경내역서" xfId="6648" xr:uid="{00000000-0005-0000-0000-0000CE1F0000}"/>
    <cellStyle name="표_문경내역(1127)_01.신천 생태하천 설계변경내역서_01 내역서(진건천)" xfId="6649" xr:uid="{00000000-0005-0000-0000-0000CF1F0000}"/>
    <cellStyle name="표_문경내역(1127)_01.신천 생태하천 설계변경내역서_01 유성천 수해상습지(기본계획 변경)" xfId="6650" xr:uid="{00000000-0005-0000-0000-0000D01F0000}"/>
    <cellStyle name="표_문경내역(1127)_01.신천 생태하천 설계변경내역서_01 유성천 수해상습지(기본계획 변경)_01.내역서(원당천)환경수정" xfId="6651" xr:uid="{00000000-0005-0000-0000-0000D11F0000}"/>
    <cellStyle name="표_문경내역(1127)_01.신천 생태하천 설계변경내역서_01 유성천 수해상습지(기본계획 변경)_01.소요생연 침수방지대책 설계예산서(20121127)" xfId="6652" xr:uid="{00000000-0005-0000-0000-0000D21F0000}"/>
    <cellStyle name="표_문경내역(1127)_01.신천 생태하천 설계변경내역서_01 유성천 수해상습지(기본계획 변경)_7-2투입인력" xfId="6653" xr:uid="{00000000-0005-0000-0000-0000D31F0000}"/>
    <cellStyle name="표_문경내역(1127)_01.신천 생태하천 설계변경내역서_01 유성천 수해상습지(기본계획 변경)_설계내역서_선유3빗물펌프장(20120507)" xfId="6654" xr:uid="{00000000-0005-0000-0000-0000D41F0000}"/>
    <cellStyle name="표_문경내역(1127)_01.신천 생태하천 설계변경내역서_01 유성천 수해상습지(기본계획 변경)_연천배수펌프장 개선사업 기본및실시설계용역 내역서-1" xfId="6655" xr:uid="{00000000-0005-0000-0000-0000D51F0000}"/>
    <cellStyle name="표_문경내역(1127)_01.신천 생태하천 설계변경내역서_01 유성천 수해상습지_내역서" xfId="6656" xr:uid="{00000000-0005-0000-0000-0000D61F0000}"/>
    <cellStyle name="표_문경내역(1127)_01.신천 생태하천 설계변경내역서_01 유성천 수해상습지_내역서_01.내역서(원당천)환경수정" xfId="6657" xr:uid="{00000000-0005-0000-0000-0000D71F0000}"/>
    <cellStyle name="표_문경내역(1127)_01.신천 생태하천 설계변경내역서_01 유성천 수해상습지_내역서_01.소요생연 침수방지대책 설계예산서(20121127)" xfId="6658" xr:uid="{00000000-0005-0000-0000-0000D81F0000}"/>
    <cellStyle name="표_문경내역(1127)_01.신천 생태하천 설계변경내역서_01 유성천 수해상습지_내역서_7-2투입인력" xfId="6659" xr:uid="{00000000-0005-0000-0000-0000D91F0000}"/>
    <cellStyle name="표_문경내역(1127)_01.신천 생태하천 설계변경내역서_01 유성천 수해상습지_내역서_설계내역서_선유3빗물펌프장(20120507)" xfId="6660" xr:uid="{00000000-0005-0000-0000-0000DA1F0000}"/>
    <cellStyle name="표_문경내역(1127)_01.신천 생태하천 설계변경내역서_01 유성천 수해상습지_내역서_연천배수펌프장 개선사업 기본및실시설계용역 내역서-1" xfId="6661" xr:uid="{00000000-0005-0000-0000-0000DB1F0000}"/>
    <cellStyle name="표_문경내역(1127)_01.신천 생태하천 설계변경내역서_01.내역서 - 원당천 개선복구" xfId="6662" xr:uid="{00000000-0005-0000-0000-0000DC1F0000}"/>
    <cellStyle name="표_문경내역(1127)_01.신천 생태하천 설계변경내역서_01.내역서(2억원)" xfId="6663" xr:uid="{00000000-0005-0000-0000-0000DD1F0000}"/>
    <cellStyle name="표_문경내역(1127)_01.신천 생태하천 설계변경내역서_01.내역서(선암리,원당천)통합" xfId="6664" xr:uid="{00000000-0005-0000-0000-0000DE1F0000}"/>
    <cellStyle name="표_문경내역(1127)_01.신천 생태하천 설계변경내역서_01.내역서(원당천)" xfId="6665" xr:uid="{00000000-0005-0000-0000-0000DF1F0000}"/>
    <cellStyle name="표_문경내역(1127)_01.신천 생태하천 설계변경내역서_01.내역서(원당천)환경수정" xfId="6666" xr:uid="{00000000-0005-0000-0000-0000E01F0000}"/>
    <cellStyle name="표_문경내역(1127)_01.신천 생태하천 설계변경내역서_01.세말천_소하천정비공사_내역서(최종)" xfId="6667" xr:uid="{00000000-0005-0000-0000-0000E11F0000}"/>
    <cellStyle name="표_문경내역(1127)_01.신천 생태하천 설계변경내역서_01.소요생연 침수방지대책 설계예산서(20121127)" xfId="6668" xr:uid="{00000000-0005-0000-0000-0000E21F0000}"/>
    <cellStyle name="표_문경내역(1127)_01.신천 생태하천 설계변경내역서_7-2투입인력" xfId="6669" xr:uid="{00000000-0005-0000-0000-0000E31F0000}"/>
    <cellStyle name="표_문경내역(1127)_01.신천 생태하천 설계변경내역서_고향의강(진잠천)_실시설계_용역_내역서(발주내역)" xfId="6670" xr:uid="{00000000-0005-0000-0000-0000E41F0000}"/>
    <cellStyle name="표_문경내역(1127)_01.신천 생태하천 설계변경내역서_고향의강(진잠천)_실시설계_용역_내역서(발주내역)_01.소요생연 침수방지대책 설계예산서(20121127)" xfId="6671" xr:uid="{00000000-0005-0000-0000-0000E51F0000}"/>
    <cellStyle name="표_문경내역(1127)_01.신천 생태하천 설계변경내역서_고향의강(진잠천)_실시설계_용역_내역서(발주내역)_7-2투입인력" xfId="6672" xr:uid="{00000000-0005-0000-0000-0000E61F0000}"/>
    <cellStyle name="표_문경내역(1127)_01.신천 생태하천 설계변경내역서_고향의강(진잠천)_실시설계_용역_내역서(발주내역)_동두천시_침수방지대책수립실시설계예산서(0823)" xfId="6673" xr:uid="{00000000-0005-0000-0000-0000E71F0000}"/>
    <cellStyle name="표_문경내역(1127)_01.신천 생태하천 설계변경내역서_고향의강(진잠천)_실시설계_용역_내역서(발주내역)_설계내역서_선유3빗물펌프장(20120507)" xfId="6674" xr:uid="{00000000-0005-0000-0000-0000E81F0000}"/>
    <cellStyle name="표_문경내역(1127)_01.신천 생태하천 설계변경내역서_고향의강(진잠천)_실시설계_용역_내역서(발주내역)_연천배수펌프장 개선사업 기본및실시설계용역 내역서-1" xfId="6675" xr:uid="{00000000-0005-0000-0000-0000E91F0000}"/>
    <cellStyle name="표_문경내역(1127)_01.신천 생태하천 설계변경내역서_고향의강(진잠천)_실시설계_용역_내역서(발주내역)_침수방지대책_예산서_0823(관거조사포함)" xfId="6676" xr:uid="{00000000-0005-0000-0000-0000EA1F0000}"/>
    <cellStyle name="표_문경내역(1127)_01.신천 생태하천 설계변경내역서_내역서(수해원인조사및분석)" xfId="6677" xr:uid="{00000000-0005-0000-0000-0000EB1F0000}"/>
    <cellStyle name="표_문경내역(1127)_01.신천 생태하천 설계변경내역서_동두천시_침수방지대책수립실시설계예산서(0823)" xfId="6678" xr:uid="{00000000-0005-0000-0000-0000EC1F0000}"/>
    <cellStyle name="표_문경내역(1127)_01.신천 생태하천 설계변경내역서_동두천시침수방지대책수립실시설계예산서(0816)" xfId="6679" xr:uid="{00000000-0005-0000-0000-0000ED1F0000}"/>
    <cellStyle name="표_문경내역(1127)_01.신천 생태하천 설계변경내역서_설계내역서_선유3빗물펌프장(20120507)" xfId="6680" xr:uid="{00000000-0005-0000-0000-0000EE1F0000}"/>
    <cellStyle name="표_문경내역(1127)_01.신천 생태하천 설계변경내역서_연천배수펌프장 개선사업 기본및실시설계용역 내역서-1" xfId="6681" xr:uid="{00000000-0005-0000-0000-0000EF1F0000}"/>
    <cellStyle name="표_문경내역(1127)_01.신천 생태하천 설계변경내역서_유성천_수해상습지(인건비+측정)_내역서" xfId="6682" xr:uid="{00000000-0005-0000-0000-0000F01F0000}"/>
    <cellStyle name="표_문경내역(1127)_01.신천 생태하천 설계변경내역서_정생천_수해상습지_개선사업_기본및실시설계용역" xfId="6683" xr:uid="{00000000-0005-0000-0000-0000F11F0000}"/>
    <cellStyle name="표_문경내역(1127)_01.신천 생태하천 설계변경내역서_침수방지대책_예산서_0823(관거조사포함)" xfId="6684" xr:uid="{00000000-0005-0000-0000-0000F21F0000}"/>
    <cellStyle name="표_문경내역(1127)_01.신천 생태하천 설계변경내역서_하천내구조물설치에따른 수리수문분석_내역서(최종)" xfId="6685" xr:uid="{00000000-0005-0000-0000-0000F31F0000}"/>
    <cellStyle name="표_문경내역(1127)_고향의_강_내역(환경)" xfId="6686" xr:uid="{00000000-0005-0000-0000-0000F41F0000}"/>
    <cellStyle name="표_문경내역(1127)_고향의_강_내역(환경)_01 내역서(진건천)" xfId="6687" xr:uid="{00000000-0005-0000-0000-0000F51F0000}"/>
    <cellStyle name="표_문경내역(1127)_고향의_강_내역(환경)_01 유성천 수해상습지(기본계획 변경)" xfId="6688" xr:uid="{00000000-0005-0000-0000-0000F61F0000}"/>
    <cellStyle name="표_문경내역(1127)_고향의_강_내역(환경)_01 유성천 수해상습지(기본계획 변경)_01.내역서(원당천)환경수정" xfId="6689" xr:uid="{00000000-0005-0000-0000-0000F71F0000}"/>
    <cellStyle name="표_문경내역(1127)_고향의_강_내역(환경)_01 유성천 수해상습지(기본계획 변경)_01.소요생연 침수방지대책 설계예산서(20121127)" xfId="6690" xr:uid="{00000000-0005-0000-0000-0000F81F0000}"/>
    <cellStyle name="표_문경내역(1127)_고향의_강_내역(환경)_01 유성천 수해상습지(기본계획 변경)_7-2투입인력" xfId="6691" xr:uid="{00000000-0005-0000-0000-0000F91F0000}"/>
    <cellStyle name="표_문경내역(1127)_고향의_강_내역(환경)_01 유성천 수해상습지(기본계획 변경)_설계내역서_선유3빗물펌프장(20120507)" xfId="6692" xr:uid="{00000000-0005-0000-0000-0000FA1F0000}"/>
    <cellStyle name="표_문경내역(1127)_고향의_강_내역(환경)_01 유성천 수해상습지(기본계획 변경)_연천배수펌프장 개선사업 기본및실시설계용역 내역서-1" xfId="6693" xr:uid="{00000000-0005-0000-0000-0000FB1F0000}"/>
    <cellStyle name="표_문경내역(1127)_고향의_강_내역(환경)_01 유성천 수해상습지_내역서" xfId="6694" xr:uid="{00000000-0005-0000-0000-0000FC1F0000}"/>
    <cellStyle name="표_문경내역(1127)_고향의_강_내역(환경)_01 유성천 수해상습지_내역서_01.내역서(원당천)환경수정" xfId="6695" xr:uid="{00000000-0005-0000-0000-0000FD1F0000}"/>
    <cellStyle name="표_문경내역(1127)_고향의_강_내역(환경)_01 유성천 수해상습지_내역서_01.소요생연 침수방지대책 설계예산서(20121127)" xfId="6696" xr:uid="{00000000-0005-0000-0000-0000FE1F0000}"/>
    <cellStyle name="표_문경내역(1127)_고향의_강_내역(환경)_01 유성천 수해상습지_내역서_7-2투입인력" xfId="6697" xr:uid="{00000000-0005-0000-0000-0000FF1F0000}"/>
    <cellStyle name="표_문경내역(1127)_고향의_강_내역(환경)_01 유성천 수해상습지_내역서_설계내역서_선유3빗물펌프장(20120507)" xfId="6698" xr:uid="{00000000-0005-0000-0000-000000200000}"/>
    <cellStyle name="표_문경내역(1127)_고향의_강_내역(환경)_01 유성천 수해상습지_내역서_연천배수펌프장 개선사업 기본및실시설계용역 내역서-1" xfId="6699" xr:uid="{00000000-0005-0000-0000-000001200000}"/>
    <cellStyle name="표_문경내역(1127)_고향의_강_내역(환경)_01.내역서 - 원당천 개선복구" xfId="6700" xr:uid="{00000000-0005-0000-0000-000002200000}"/>
    <cellStyle name="표_문경내역(1127)_고향의_강_내역(환경)_01.내역서(2억원)" xfId="6701" xr:uid="{00000000-0005-0000-0000-000003200000}"/>
    <cellStyle name="표_문경내역(1127)_고향의_강_내역(환경)_01.내역서(선암리,원당천)통합" xfId="6702" xr:uid="{00000000-0005-0000-0000-000004200000}"/>
    <cellStyle name="표_문경내역(1127)_고향의_강_내역(환경)_01.내역서(원당천)" xfId="6703" xr:uid="{00000000-0005-0000-0000-000005200000}"/>
    <cellStyle name="표_문경내역(1127)_고향의_강_내역(환경)_01.내역서(원당천)환경수정" xfId="6704" xr:uid="{00000000-0005-0000-0000-000006200000}"/>
    <cellStyle name="표_문경내역(1127)_고향의_강_내역(환경)_01.세말천_소하천정비공사_내역서(최종)" xfId="6705" xr:uid="{00000000-0005-0000-0000-000007200000}"/>
    <cellStyle name="표_문경내역(1127)_고향의_강_내역(환경)_01.소요생연 침수방지대책 설계예산서(20121127)" xfId="6706" xr:uid="{00000000-0005-0000-0000-000008200000}"/>
    <cellStyle name="표_문경내역(1127)_고향의_강_내역(환경)_7-2투입인력" xfId="6707" xr:uid="{00000000-0005-0000-0000-000009200000}"/>
    <cellStyle name="표_문경내역(1127)_고향의_강_내역(환경)_고향의강(진잠천)_실시설계_용역_내역서(발주내역)" xfId="6708" xr:uid="{00000000-0005-0000-0000-00000A200000}"/>
    <cellStyle name="표_문경내역(1127)_고향의_강_내역(환경)_고향의강(진잠천)_실시설계_용역_내역서(발주내역)_01.소요생연 침수방지대책 설계예산서(20121127)" xfId="6709" xr:uid="{00000000-0005-0000-0000-00000B200000}"/>
    <cellStyle name="표_문경내역(1127)_고향의_강_내역(환경)_고향의강(진잠천)_실시설계_용역_내역서(발주내역)_7-2투입인력" xfId="6710" xr:uid="{00000000-0005-0000-0000-00000C200000}"/>
    <cellStyle name="표_문경내역(1127)_고향의_강_내역(환경)_고향의강(진잠천)_실시설계_용역_내역서(발주내역)_동두천시_침수방지대책수립실시설계예산서(0823)" xfId="6711" xr:uid="{00000000-0005-0000-0000-00000D200000}"/>
    <cellStyle name="표_문경내역(1127)_고향의_강_내역(환경)_고향의강(진잠천)_실시설계_용역_내역서(발주내역)_설계내역서_선유3빗물펌프장(20120507)" xfId="6712" xr:uid="{00000000-0005-0000-0000-00000E200000}"/>
    <cellStyle name="표_문경내역(1127)_고향의_강_내역(환경)_고향의강(진잠천)_실시설계_용역_내역서(발주내역)_연천배수펌프장 개선사업 기본및실시설계용역 내역서-1" xfId="6713" xr:uid="{00000000-0005-0000-0000-00000F200000}"/>
    <cellStyle name="표_문경내역(1127)_고향의_강_내역(환경)_고향의강(진잠천)_실시설계_용역_내역서(발주내역)_침수방지대책_예산서_0823(관거조사포함)" xfId="6714" xr:uid="{00000000-0005-0000-0000-000010200000}"/>
    <cellStyle name="표_문경내역(1127)_고향의_강_내역(환경)_내역서(수해원인조사및분석)" xfId="6715" xr:uid="{00000000-0005-0000-0000-000011200000}"/>
    <cellStyle name="표_문경내역(1127)_고향의_강_내역(환경)_동두천시_침수방지대책수립실시설계예산서(0823)" xfId="6716" xr:uid="{00000000-0005-0000-0000-000012200000}"/>
    <cellStyle name="표_문경내역(1127)_고향의_강_내역(환경)_동두천시침수방지대책수립실시설계예산서(0816)" xfId="6717" xr:uid="{00000000-0005-0000-0000-000013200000}"/>
    <cellStyle name="표_문경내역(1127)_고향의_강_내역(환경)_설계내역서_선유3빗물펌프장(20120507)" xfId="6718" xr:uid="{00000000-0005-0000-0000-000014200000}"/>
    <cellStyle name="표_문경내역(1127)_고향의_강_내역(환경)_연천배수펌프장 개선사업 기본및실시설계용역 내역서-1" xfId="6719" xr:uid="{00000000-0005-0000-0000-000015200000}"/>
    <cellStyle name="표_문경내역(1127)_고향의_강_내역(환경)_유성천_수해상습지(인건비+측정)_내역서" xfId="6720" xr:uid="{00000000-0005-0000-0000-000016200000}"/>
    <cellStyle name="표_문경내역(1127)_고향의_강_내역(환경)_정생천_수해상습지_개선사업_기본및실시설계용역" xfId="6721" xr:uid="{00000000-0005-0000-0000-000017200000}"/>
    <cellStyle name="표_문경내역(1127)_고향의_강_내역(환경)_침수방지대책_예산서_0823(관거조사포함)" xfId="6722" xr:uid="{00000000-0005-0000-0000-000018200000}"/>
    <cellStyle name="표_문경내역(1127)_설계내역서(변경)" xfId="6723" xr:uid="{00000000-0005-0000-0000-000019200000}"/>
    <cellStyle name="표_문경내역(1127)_설계내역서(변경)_01.내역서(원당천)환경수정" xfId="6724" xr:uid="{00000000-0005-0000-0000-00001A200000}"/>
    <cellStyle name="표_문경내역(1127)_설계내역서(변경)_01.소요생연 침수방지대책 설계예산서(20121127)" xfId="6725" xr:uid="{00000000-0005-0000-0000-00001B200000}"/>
    <cellStyle name="표_문경내역(1127)_설계내역서(변경)_7-2투입인력" xfId="6726" xr:uid="{00000000-0005-0000-0000-00001C200000}"/>
    <cellStyle name="표_문경내역(1127)_설계내역서(변경)_설계내역서_선유3빗물펌프장(20120507)" xfId="6727" xr:uid="{00000000-0005-0000-0000-00001D200000}"/>
    <cellStyle name="표_문경내역(1127)_설계내역서(변경)_연천배수펌프장 개선사업 기본및실시설계용역 내역서-1" xfId="6728" xr:uid="{00000000-0005-0000-0000-00001E200000}"/>
    <cellStyle name="표_문경내역(1127)_양주복지지구내역서(품셈)" xfId="6729" xr:uid="{00000000-0005-0000-0000-00001F200000}"/>
    <cellStyle name="표_문경내역(1127)_양주복지지구내역서(품셈)_설계내역서(정자말)작업(1)" xfId="6730" xr:uid="{00000000-0005-0000-0000-000020200000}"/>
    <cellStyle name="표_문경내역(1127)_의정부_도시관리계획(GB해제,_제1종지구단위계획)_사전환경성검토" xfId="6731" xr:uid="{00000000-0005-0000-0000-000021200000}"/>
    <cellStyle name="표_밀양시소하천_계약내역" xfId="6732" xr:uid="{00000000-0005-0000-0000-000022200000}"/>
    <cellStyle name="표_밀양시소하천_계약내역 2" xfId="8336" xr:uid="{00000000-0005-0000-0000-000023200000}"/>
    <cellStyle name="표_발리천기본계획수립및재해위험지구정비사업(발리지구)실시설계-내역서" xfId="8337" xr:uid="{00000000-0005-0000-0000-000024200000}"/>
    <cellStyle name="표_복사본 동백공원내 군수영부두 이전사업용역내역서" xfId="6733" xr:uid="{00000000-0005-0000-0000-000025200000}"/>
    <cellStyle name="표_복사본 동백공원내 군수영부두 이전사업용역내역서 2" xfId="8435" xr:uid="{00000000-0005-0000-0000-000026200000}"/>
    <cellStyle name="표_복사본_동백공원내_군수영부두_이전사업용역내역서" xfId="6734" xr:uid="{00000000-0005-0000-0000-000027200000}"/>
    <cellStyle name="표_복사본_동백공원내_군수영부두_이전사업용역내역서 2" xfId="8436" xr:uid="{00000000-0005-0000-0000-000028200000}"/>
    <cellStyle name="표_사진대지" xfId="1295" xr:uid="{00000000-0005-0000-0000-000029200000}"/>
    <cellStyle name="표_사진대지 2" xfId="8422" xr:uid="{00000000-0005-0000-0000-00002A200000}"/>
    <cellStyle name="표_사진대지_구미정수장A(건축)(최종)(1)" xfId="1296" xr:uid="{00000000-0005-0000-0000-00002B200000}"/>
    <cellStyle name="표_사진대지_구미정수장A(건축)(최종)(1) 2" xfId="8423" xr:uid="{00000000-0005-0000-0000-00002C200000}"/>
    <cellStyle name="표_서울대 바이오테크 설계내역서" xfId="6735" xr:uid="{00000000-0005-0000-0000-00002D200000}"/>
    <cellStyle name="표_서울대 바이오테크 설계내역서 2" xfId="8338" xr:uid="{00000000-0005-0000-0000-00002E200000}"/>
    <cellStyle name="표_서울대 바이오테크 설계내역서(수정)" xfId="6736" xr:uid="{00000000-0005-0000-0000-00002F200000}"/>
    <cellStyle name="표_서울대 바이오테크 설계내역서(수정) 2" xfId="8339" xr:uid="{00000000-0005-0000-0000-000030200000}"/>
    <cellStyle name="표_석성정수장WBS(최종)" xfId="1297" xr:uid="{00000000-0005-0000-0000-000031200000}"/>
    <cellStyle name="표_석성정수장WBS(최종) 2" xfId="1298" xr:uid="{00000000-0005-0000-0000-000032200000}"/>
    <cellStyle name="표_석성정수장WBS(최종)_설계변경내역서(100928)-4" xfId="1299" xr:uid="{00000000-0005-0000-0000-000033200000}"/>
    <cellStyle name="표_설계내역서(변경)" xfId="6737" xr:uid="{00000000-0005-0000-0000-000034200000}"/>
    <cellStyle name="표_설계내역서(변경)_01.내역서(원당천)환경수정" xfId="6738" xr:uid="{00000000-0005-0000-0000-000035200000}"/>
    <cellStyle name="표_설계내역서1(1)" xfId="6739" xr:uid="{00000000-0005-0000-0000-000036200000}"/>
    <cellStyle name="표_섬강 하천기본계획(보완) 수립용역(조정2)" xfId="8340" xr:uid="{00000000-0005-0000-0000-000037200000}"/>
    <cellStyle name="표_심사내역서1" xfId="6740" xr:uid="{00000000-0005-0000-0000-000038200000}"/>
    <cellStyle name="표_심사내역서1 2" xfId="8341" xr:uid="{00000000-0005-0000-0000-000039200000}"/>
    <cellStyle name="표_양주복지지구내역서(품셈)" xfId="6741" xr:uid="{00000000-0005-0000-0000-00003A200000}"/>
    <cellStyle name="표_양주복지지구내역서(품셈)_설계내역서(정자말)작업(1)" xfId="6742" xr:uid="{00000000-0005-0000-0000-00003B200000}"/>
    <cellStyle name="표_영양군재해위험지구정비사업(양평지구)실시설계" xfId="8342" xr:uid="{00000000-0005-0000-0000-00003C200000}"/>
    <cellStyle name="표_영양군재해위험지구정비사업(양평지구)실시설계--" xfId="8343" xr:uid="{00000000-0005-0000-0000-00003D200000}"/>
    <cellStyle name="표_영양군재해위험지구정비사업(양평지구)실시설계(3차수정)" xfId="8344" xr:uid="{00000000-0005-0000-0000-00003E200000}"/>
    <cellStyle name="표_영양군재해위험지구정비사업(양평지구)실시설계(수정)" xfId="8345" xr:uid="{00000000-0005-0000-0000-00003F200000}"/>
    <cellStyle name="표_오수공수량산출서" xfId="1300" xr:uid="{00000000-0005-0000-0000-000040200000}"/>
    <cellStyle name="표_오수공수량산출서_구미정수장A(건축)(최종)(1)" xfId="1301" xr:uid="{00000000-0005-0000-0000-000041200000}"/>
    <cellStyle name="표_오수공수량산출서_구미정수장A(건축)(최종)(1) 2" xfId="1302" xr:uid="{00000000-0005-0000-0000-000042200000}"/>
    <cellStyle name="표_오수공수량산출서_구미정수장A(건축)(최종)(1)_설계변경내역서(100928)-4" xfId="1303" xr:uid="{00000000-0005-0000-0000-000043200000}"/>
    <cellStyle name="표_오수공수량산출서_석성정수장WBS(최종)" xfId="1304" xr:uid="{00000000-0005-0000-0000-000044200000}"/>
    <cellStyle name="표_오수공수량산출서_석성정수장WBS(최종) 2" xfId="1305" xr:uid="{00000000-0005-0000-0000-000045200000}"/>
    <cellStyle name="표_오수공수량산출서_석성정수장WBS(최종)_설계변경내역서(100928)-4" xfId="1306" xr:uid="{00000000-0005-0000-0000-000046200000}"/>
    <cellStyle name="표_울산 도시개발사업(교평)" xfId="6743" xr:uid="{00000000-0005-0000-0000-000047200000}"/>
    <cellStyle name="표_울산 도시개발사업(교평)_01.설계내역서" xfId="8346" xr:uid="{00000000-0005-0000-0000-000048200000}"/>
    <cellStyle name="표_울산 도시개발사업(교평)_01.신천 생태하천 설계변경내역서" xfId="6744" xr:uid="{00000000-0005-0000-0000-000049200000}"/>
    <cellStyle name="표_울산 도시개발사업(교평)_01.신천 생태하천 설계변경내역서_01 내역서(진건천)" xfId="6745" xr:uid="{00000000-0005-0000-0000-00004A200000}"/>
    <cellStyle name="표_울산 도시개발사업(교평)_01.신천 생태하천 설계변경내역서_01 유성천 수해상습지(기본계획 변경)" xfId="6746" xr:uid="{00000000-0005-0000-0000-00004B200000}"/>
    <cellStyle name="표_울산 도시개발사업(교평)_01.신천 생태하천 설계변경내역서_01 유성천 수해상습지(기본계획 변경)_01.내역서(원당천)환경수정" xfId="6747" xr:uid="{00000000-0005-0000-0000-00004C200000}"/>
    <cellStyle name="표_울산 도시개발사업(교평)_01.신천 생태하천 설계변경내역서_01 유성천 수해상습지(기본계획 변경)_01.소요생연 침수방지대책 설계예산서(20121127)" xfId="6748" xr:uid="{00000000-0005-0000-0000-00004D200000}"/>
    <cellStyle name="표_울산 도시개발사업(교평)_01.신천 생태하천 설계변경내역서_01 유성천 수해상습지(기본계획 변경)_7-2투입인력" xfId="6749" xr:uid="{00000000-0005-0000-0000-00004E200000}"/>
    <cellStyle name="표_울산 도시개발사업(교평)_01.신천 생태하천 설계변경내역서_01 유성천 수해상습지(기본계획 변경)_설계내역서_선유3빗물펌프장(20120507)" xfId="6750" xr:uid="{00000000-0005-0000-0000-00004F200000}"/>
    <cellStyle name="표_울산 도시개발사업(교평)_01.신천 생태하천 설계변경내역서_01 유성천 수해상습지(기본계획 변경)_연천배수펌프장 개선사업 기본및실시설계용역 내역서-1" xfId="6751" xr:uid="{00000000-0005-0000-0000-000050200000}"/>
    <cellStyle name="표_울산 도시개발사업(교평)_01.신천 생태하천 설계변경내역서_01 유성천 수해상습지_내역서" xfId="6752" xr:uid="{00000000-0005-0000-0000-000051200000}"/>
    <cellStyle name="표_울산 도시개발사업(교평)_01.신천 생태하천 설계변경내역서_01 유성천 수해상습지_내역서_01.내역서(원당천)환경수정" xfId="6753" xr:uid="{00000000-0005-0000-0000-000052200000}"/>
    <cellStyle name="표_울산 도시개발사업(교평)_01.신천 생태하천 설계변경내역서_01 유성천 수해상습지_내역서_01.소요생연 침수방지대책 설계예산서(20121127)" xfId="6754" xr:uid="{00000000-0005-0000-0000-000053200000}"/>
    <cellStyle name="표_울산 도시개발사업(교평)_01.신천 생태하천 설계변경내역서_01 유성천 수해상습지_내역서_7-2투입인력" xfId="6755" xr:uid="{00000000-0005-0000-0000-000054200000}"/>
    <cellStyle name="표_울산 도시개발사업(교평)_01.신천 생태하천 설계변경내역서_01 유성천 수해상습지_내역서_설계내역서_선유3빗물펌프장(20120507)" xfId="6756" xr:uid="{00000000-0005-0000-0000-000055200000}"/>
    <cellStyle name="표_울산 도시개발사업(교평)_01.신천 생태하천 설계변경내역서_01 유성천 수해상습지_내역서_연천배수펌프장 개선사업 기본및실시설계용역 내역서-1" xfId="6757" xr:uid="{00000000-0005-0000-0000-000056200000}"/>
    <cellStyle name="표_울산 도시개발사업(교평)_01.신천 생태하천 설계변경내역서_01.내역서 - 원당천 개선복구" xfId="6758" xr:uid="{00000000-0005-0000-0000-000057200000}"/>
    <cellStyle name="표_울산 도시개발사업(교평)_01.신천 생태하천 설계변경내역서_01.내역서(2억원)" xfId="6759" xr:uid="{00000000-0005-0000-0000-000058200000}"/>
    <cellStyle name="표_울산 도시개발사업(교평)_01.신천 생태하천 설계변경내역서_01.내역서(선암리,원당천)통합" xfId="6760" xr:uid="{00000000-0005-0000-0000-000059200000}"/>
    <cellStyle name="표_울산 도시개발사업(교평)_01.신천 생태하천 설계변경내역서_01.내역서(원당천)" xfId="6761" xr:uid="{00000000-0005-0000-0000-00005A200000}"/>
    <cellStyle name="표_울산 도시개발사업(교평)_01.신천 생태하천 설계변경내역서_01.내역서(원당천)환경수정" xfId="6762" xr:uid="{00000000-0005-0000-0000-00005B200000}"/>
    <cellStyle name="표_울산 도시개발사업(교평)_01.신천 생태하천 설계변경내역서_01.세말천_소하천정비공사_내역서(최종)" xfId="6763" xr:uid="{00000000-0005-0000-0000-00005C200000}"/>
    <cellStyle name="표_울산 도시개발사업(교평)_01.신천 생태하천 설계변경내역서_01.소요생연 침수방지대책 설계예산서(20121127)" xfId="6764" xr:uid="{00000000-0005-0000-0000-00005D200000}"/>
    <cellStyle name="표_울산 도시개발사업(교평)_01.신천 생태하천 설계변경내역서_7-2투입인력" xfId="6765" xr:uid="{00000000-0005-0000-0000-00005E200000}"/>
    <cellStyle name="표_울산 도시개발사업(교평)_01.신천 생태하천 설계변경내역서_고향의강(진잠천)_실시설계_용역_내역서(발주내역)" xfId="6766" xr:uid="{00000000-0005-0000-0000-00005F200000}"/>
    <cellStyle name="표_울산 도시개발사업(교평)_01.신천 생태하천 설계변경내역서_고향의강(진잠천)_실시설계_용역_내역서(발주내역)_01.소요생연 침수방지대책 설계예산서(20121127)" xfId="6767" xr:uid="{00000000-0005-0000-0000-000060200000}"/>
    <cellStyle name="표_울산 도시개발사업(교평)_01.신천 생태하천 설계변경내역서_고향의강(진잠천)_실시설계_용역_내역서(발주내역)_7-2투입인력" xfId="6768" xr:uid="{00000000-0005-0000-0000-000061200000}"/>
    <cellStyle name="표_울산 도시개발사업(교평)_01.신천 생태하천 설계변경내역서_고향의강(진잠천)_실시설계_용역_내역서(발주내역)_동두천시_침수방지대책수립실시설계예산서(0823)" xfId="6769" xr:uid="{00000000-0005-0000-0000-000062200000}"/>
    <cellStyle name="표_울산 도시개발사업(교평)_01.신천 생태하천 설계변경내역서_고향의강(진잠천)_실시설계_용역_내역서(발주내역)_설계내역서_선유3빗물펌프장(20120507)" xfId="6770" xr:uid="{00000000-0005-0000-0000-000063200000}"/>
    <cellStyle name="표_울산 도시개발사업(교평)_01.신천 생태하천 설계변경내역서_고향의강(진잠천)_실시설계_용역_내역서(발주내역)_연천배수펌프장 개선사업 기본및실시설계용역 내역서-1" xfId="6771" xr:uid="{00000000-0005-0000-0000-000064200000}"/>
    <cellStyle name="표_울산 도시개발사업(교평)_01.신천 생태하천 설계변경내역서_고향의강(진잠천)_실시설계_용역_내역서(발주내역)_침수방지대책_예산서_0823(관거조사포함)" xfId="6772" xr:uid="{00000000-0005-0000-0000-000065200000}"/>
    <cellStyle name="표_울산 도시개발사업(교평)_01.신천 생태하천 설계변경내역서_내역서(수해원인조사및분석)" xfId="6773" xr:uid="{00000000-0005-0000-0000-000066200000}"/>
    <cellStyle name="표_울산 도시개발사업(교평)_01.신천 생태하천 설계변경내역서_동두천시_침수방지대책수립실시설계예산서(0823)" xfId="6774" xr:uid="{00000000-0005-0000-0000-000067200000}"/>
    <cellStyle name="표_울산 도시개발사업(교평)_01.신천 생태하천 설계변경내역서_동두천시침수방지대책수립실시설계예산서(0816)" xfId="6775" xr:uid="{00000000-0005-0000-0000-000068200000}"/>
    <cellStyle name="표_울산 도시개발사업(교평)_01.신천 생태하천 설계변경내역서_설계내역서_선유3빗물펌프장(20120507)" xfId="6776" xr:uid="{00000000-0005-0000-0000-000069200000}"/>
    <cellStyle name="표_울산 도시개발사업(교평)_01.신천 생태하천 설계변경내역서_연천배수펌프장 개선사업 기본및실시설계용역 내역서-1" xfId="6777" xr:uid="{00000000-0005-0000-0000-00006A200000}"/>
    <cellStyle name="표_울산 도시개발사업(교평)_01.신천 생태하천 설계변경내역서_유성천_수해상습지(인건비+측정)_내역서" xfId="6778" xr:uid="{00000000-0005-0000-0000-00006B200000}"/>
    <cellStyle name="표_울산 도시개발사업(교평)_01.신천 생태하천 설계변경내역서_정생천_수해상습지_개선사업_기본및실시설계용역" xfId="6779" xr:uid="{00000000-0005-0000-0000-00006C200000}"/>
    <cellStyle name="표_울산 도시개발사업(교평)_01.신천 생태하천 설계변경내역서_침수방지대책_예산서_0823(관거조사포함)" xfId="6780" xr:uid="{00000000-0005-0000-0000-00006D200000}"/>
    <cellStyle name="표_울산 도시개발사업(교평)_01.신천 생태하천 설계변경내역서_하천내구조물설치에따른 수리수문분석_내역서(최종)" xfId="6781" xr:uid="{00000000-0005-0000-0000-00006E200000}"/>
    <cellStyle name="표_울산 도시개발사업(교평)_고향의_강_내역(환경)" xfId="6782" xr:uid="{00000000-0005-0000-0000-00006F200000}"/>
    <cellStyle name="표_울산 도시개발사업(교평)_고향의_강_내역(환경)_01 내역서(진건천)" xfId="6783" xr:uid="{00000000-0005-0000-0000-000070200000}"/>
    <cellStyle name="표_울산 도시개발사업(교평)_고향의_강_내역(환경)_01 유성천 수해상습지(기본계획 변경)" xfId="6784" xr:uid="{00000000-0005-0000-0000-000071200000}"/>
    <cellStyle name="표_울산 도시개발사업(교평)_고향의_강_내역(환경)_01 유성천 수해상습지(기본계획 변경)_01.내역서(원당천)환경수정" xfId="6785" xr:uid="{00000000-0005-0000-0000-000072200000}"/>
    <cellStyle name="표_울산 도시개발사업(교평)_고향의_강_내역(환경)_01 유성천 수해상습지(기본계획 변경)_01.소요생연 침수방지대책 설계예산서(20121127)" xfId="6786" xr:uid="{00000000-0005-0000-0000-000073200000}"/>
    <cellStyle name="표_울산 도시개발사업(교평)_고향의_강_내역(환경)_01 유성천 수해상습지(기본계획 변경)_7-2투입인력" xfId="6787" xr:uid="{00000000-0005-0000-0000-000074200000}"/>
    <cellStyle name="표_울산 도시개발사업(교평)_고향의_강_내역(환경)_01 유성천 수해상습지(기본계획 변경)_설계내역서_선유3빗물펌프장(20120507)" xfId="6788" xr:uid="{00000000-0005-0000-0000-000075200000}"/>
    <cellStyle name="표_울산 도시개발사업(교평)_고향의_강_내역(환경)_01 유성천 수해상습지(기본계획 변경)_연천배수펌프장 개선사업 기본및실시설계용역 내역서-1" xfId="6789" xr:uid="{00000000-0005-0000-0000-000076200000}"/>
    <cellStyle name="표_울산 도시개발사업(교평)_고향의_강_내역(환경)_01 유성천 수해상습지_내역서" xfId="6790" xr:uid="{00000000-0005-0000-0000-000077200000}"/>
    <cellStyle name="표_울산 도시개발사업(교평)_고향의_강_내역(환경)_01 유성천 수해상습지_내역서_01.내역서(원당천)환경수정" xfId="6791" xr:uid="{00000000-0005-0000-0000-000078200000}"/>
    <cellStyle name="표_울산 도시개발사업(교평)_고향의_강_내역(환경)_01 유성천 수해상습지_내역서_01.소요생연 침수방지대책 설계예산서(20121127)" xfId="6792" xr:uid="{00000000-0005-0000-0000-000079200000}"/>
    <cellStyle name="표_울산 도시개발사업(교평)_고향의_강_내역(환경)_01 유성천 수해상습지_내역서_7-2투입인력" xfId="6793" xr:uid="{00000000-0005-0000-0000-00007A200000}"/>
    <cellStyle name="표_울산 도시개발사업(교평)_고향의_강_내역(환경)_01 유성천 수해상습지_내역서_설계내역서_선유3빗물펌프장(20120507)" xfId="6794" xr:uid="{00000000-0005-0000-0000-00007B200000}"/>
    <cellStyle name="표_울산 도시개발사업(교평)_고향의_강_내역(환경)_01 유성천 수해상습지_내역서_연천배수펌프장 개선사업 기본및실시설계용역 내역서-1" xfId="6795" xr:uid="{00000000-0005-0000-0000-00007C200000}"/>
    <cellStyle name="표_울산 도시개발사업(교평)_고향의_강_내역(환경)_01.내역서 - 원당천 개선복구" xfId="6796" xr:uid="{00000000-0005-0000-0000-00007D200000}"/>
    <cellStyle name="표_울산 도시개발사업(교평)_고향의_강_내역(환경)_01.내역서(2억원)" xfId="6797" xr:uid="{00000000-0005-0000-0000-00007E200000}"/>
    <cellStyle name="표_울산 도시개발사업(교평)_고향의_강_내역(환경)_01.내역서(선암리,원당천)통합" xfId="6798" xr:uid="{00000000-0005-0000-0000-00007F200000}"/>
    <cellStyle name="표_울산 도시개발사업(교평)_고향의_강_내역(환경)_01.내역서(원당천)" xfId="6799" xr:uid="{00000000-0005-0000-0000-000080200000}"/>
    <cellStyle name="표_울산 도시개발사업(교평)_고향의_강_내역(환경)_01.내역서(원당천)환경수정" xfId="6800" xr:uid="{00000000-0005-0000-0000-000081200000}"/>
    <cellStyle name="표_울산 도시개발사업(교평)_고향의_강_내역(환경)_01.세말천_소하천정비공사_내역서(최종)" xfId="6801" xr:uid="{00000000-0005-0000-0000-000082200000}"/>
    <cellStyle name="표_울산 도시개발사업(교평)_고향의_강_내역(환경)_01.소요생연 침수방지대책 설계예산서(20121127)" xfId="6802" xr:uid="{00000000-0005-0000-0000-000083200000}"/>
    <cellStyle name="표_울산 도시개발사업(교평)_고향의_강_내역(환경)_7-2투입인력" xfId="6803" xr:uid="{00000000-0005-0000-0000-000084200000}"/>
    <cellStyle name="표_울산 도시개발사업(교평)_고향의_강_내역(환경)_고향의강(진잠천)_실시설계_용역_내역서(발주내역)" xfId="6804" xr:uid="{00000000-0005-0000-0000-000085200000}"/>
    <cellStyle name="표_울산 도시개발사업(교평)_고향의_강_내역(환경)_고향의강(진잠천)_실시설계_용역_내역서(발주내역)_01.소요생연 침수방지대책 설계예산서(20121127)" xfId="6805" xr:uid="{00000000-0005-0000-0000-000086200000}"/>
    <cellStyle name="표_울산 도시개발사업(교평)_고향의_강_내역(환경)_고향의강(진잠천)_실시설계_용역_내역서(발주내역)_7-2투입인력" xfId="6806" xr:uid="{00000000-0005-0000-0000-000087200000}"/>
    <cellStyle name="표_울산 도시개발사업(교평)_고향의_강_내역(환경)_고향의강(진잠천)_실시설계_용역_내역서(발주내역)_동두천시_침수방지대책수립실시설계예산서(0823)" xfId="6807" xr:uid="{00000000-0005-0000-0000-000088200000}"/>
    <cellStyle name="표_울산 도시개발사업(교평)_고향의_강_내역(환경)_고향의강(진잠천)_실시설계_용역_내역서(발주내역)_설계내역서_선유3빗물펌프장(20120507)" xfId="6808" xr:uid="{00000000-0005-0000-0000-000089200000}"/>
    <cellStyle name="표_울산 도시개발사업(교평)_고향의_강_내역(환경)_고향의강(진잠천)_실시설계_용역_내역서(발주내역)_연천배수펌프장 개선사업 기본및실시설계용역 내역서-1" xfId="6809" xr:uid="{00000000-0005-0000-0000-00008A200000}"/>
    <cellStyle name="표_울산 도시개발사업(교평)_고향의_강_내역(환경)_고향의강(진잠천)_실시설계_용역_내역서(발주내역)_침수방지대책_예산서_0823(관거조사포함)" xfId="6810" xr:uid="{00000000-0005-0000-0000-00008B200000}"/>
    <cellStyle name="표_울산 도시개발사업(교평)_고향의_강_내역(환경)_내역서(수해원인조사및분석)" xfId="6811" xr:uid="{00000000-0005-0000-0000-00008C200000}"/>
    <cellStyle name="표_울산 도시개발사업(교평)_고향의_강_내역(환경)_동두천시_침수방지대책수립실시설계예산서(0823)" xfId="6812" xr:uid="{00000000-0005-0000-0000-00008D200000}"/>
    <cellStyle name="표_울산 도시개발사업(교평)_고향의_강_내역(환경)_동두천시침수방지대책수립실시설계예산서(0816)" xfId="6813" xr:uid="{00000000-0005-0000-0000-00008E200000}"/>
    <cellStyle name="표_울산 도시개발사업(교평)_고향의_강_내역(환경)_설계내역서_선유3빗물펌프장(20120507)" xfId="6814" xr:uid="{00000000-0005-0000-0000-00008F200000}"/>
    <cellStyle name="표_울산 도시개발사업(교평)_고향의_강_내역(환경)_연천배수펌프장 개선사업 기본및실시설계용역 내역서-1" xfId="6815" xr:uid="{00000000-0005-0000-0000-000090200000}"/>
    <cellStyle name="표_울산 도시개발사업(교평)_고향의_강_내역(환경)_유성천_수해상습지(인건비+측정)_내역서" xfId="6816" xr:uid="{00000000-0005-0000-0000-000091200000}"/>
    <cellStyle name="표_울산 도시개발사업(교평)_고향의_강_내역(환경)_정생천_수해상습지_개선사업_기본및실시설계용역" xfId="6817" xr:uid="{00000000-0005-0000-0000-000092200000}"/>
    <cellStyle name="표_울산 도시개발사업(교평)_고향의_강_내역(환경)_침수방지대책_예산서_0823(관거조사포함)" xfId="6818" xr:uid="{00000000-0005-0000-0000-000093200000}"/>
    <cellStyle name="표_울산 도시개발사업(교평)_설계내역서(변경)" xfId="6819" xr:uid="{00000000-0005-0000-0000-000094200000}"/>
    <cellStyle name="표_울산 도시개발사업(교평)_설계내역서(변경)_01.내역서(원당천)환경수정" xfId="6820" xr:uid="{00000000-0005-0000-0000-000095200000}"/>
    <cellStyle name="표_울산 도시개발사업(교평)_설계내역서(변경)_01.소요생연 침수방지대책 설계예산서(20121127)" xfId="6821" xr:uid="{00000000-0005-0000-0000-000096200000}"/>
    <cellStyle name="표_울산 도시개발사업(교평)_설계내역서(변경)_7-2투입인력" xfId="6822" xr:uid="{00000000-0005-0000-0000-000097200000}"/>
    <cellStyle name="표_울산 도시개발사업(교평)_설계내역서(변경)_설계내역서_선유3빗물펌프장(20120507)" xfId="6823" xr:uid="{00000000-0005-0000-0000-000098200000}"/>
    <cellStyle name="표_울산 도시개발사업(교평)_설계내역서(변경)_연천배수펌프장 개선사업 기본및실시설계용역 내역서-1" xfId="6824" xr:uid="{00000000-0005-0000-0000-000099200000}"/>
    <cellStyle name="표_울산 도시개발사업(교평)_양주복지지구내역서(품셈)" xfId="6825" xr:uid="{00000000-0005-0000-0000-00009A200000}"/>
    <cellStyle name="표_울산 도시개발사업(교평)_양주복지지구내역서(품셈)_설계내역서(정자말)작업(1)" xfId="6826" xr:uid="{00000000-0005-0000-0000-00009B200000}"/>
    <cellStyle name="표_울산 도시개발사업(교평)_의정부_도시관리계획(GB해제,_제1종지구단위계획)_사전환경성검토" xfId="6827" xr:uid="{00000000-0005-0000-0000-00009C200000}"/>
    <cellStyle name="표_의정부_도시관리계획(GB해제,_제1종지구단위계획)_사전환경성검토" xfId="6828" xr:uid="{00000000-0005-0000-0000-00009D200000}"/>
    <cellStyle name="표_이충무공순국공원용역설계서(2008)" xfId="6829" xr:uid="{00000000-0005-0000-0000-00009E200000}"/>
    <cellStyle name="표_일위대가양식" xfId="1307" xr:uid="{00000000-0005-0000-0000-00009F200000}"/>
    <cellStyle name="표_장계천-내역서" xfId="8347" xr:uid="{00000000-0005-0000-0000-0000A0200000}"/>
    <cellStyle name="표_측량인허가" xfId="6830" xr:uid="{00000000-0005-0000-0000-0000A1200000}"/>
    <cellStyle name="표_토목내역" xfId="1308" xr:uid="{00000000-0005-0000-0000-0000A2200000}"/>
    <cellStyle name="표_토목내역 2" xfId="7061" xr:uid="{00000000-0005-0000-0000-0000A3200000}"/>
    <cellStyle name="표_토질조사" xfId="6831" xr:uid="{00000000-0005-0000-0000-0000A4200000}"/>
    <cellStyle name="표_토질조사 2" xfId="7062" xr:uid="{00000000-0005-0000-0000-0000A5200000}"/>
    <cellStyle name="표_토질조사(변경)" xfId="6832" xr:uid="{00000000-0005-0000-0000-0000A6200000}"/>
    <cellStyle name="표_토질조사(변경) 2" xfId="8348" xr:uid="{00000000-0005-0000-0000-0000A7200000}"/>
    <cellStyle name="표_현황측량예산서" xfId="6833" xr:uid="{00000000-0005-0000-0000-0000A8200000}"/>
    <cellStyle name="표_현황측량예산서 2" xfId="8349" xr:uid="{00000000-0005-0000-0000-0000A9200000}"/>
    <cellStyle name="표_황령산 봉수대 용역내역서" xfId="6834" xr:uid="{00000000-0005-0000-0000-0000AA200000}"/>
    <cellStyle name="표준" xfId="0" builtinId="0"/>
    <cellStyle name="표준 10" xfId="1638" xr:uid="{00000000-0005-0000-0000-0000AC200000}"/>
    <cellStyle name="표준 10 2" xfId="8350" xr:uid="{00000000-0005-0000-0000-0000AD200000}"/>
    <cellStyle name="표준 10 2 2" xfId="8469" xr:uid="{00000000-0005-0000-0000-0000AE200000}"/>
    <cellStyle name="표준 11" xfId="4432" xr:uid="{00000000-0005-0000-0000-0000AF200000}"/>
    <cellStyle name="표준 11 2" xfId="8351" xr:uid="{00000000-0005-0000-0000-0000B0200000}"/>
    <cellStyle name="표준 11 3" xfId="8476" xr:uid="{00000000-0005-0000-0000-0000B1200000}"/>
    <cellStyle name="표준 12" xfId="8352" xr:uid="{00000000-0005-0000-0000-0000B2200000}"/>
    <cellStyle name="표준 12 2" xfId="8478" xr:uid="{00000000-0005-0000-0000-0000B3200000}"/>
    <cellStyle name="표준 13" xfId="8353" xr:uid="{00000000-0005-0000-0000-0000B4200000}"/>
    <cellStyle name="표준 14" xfId="7075" xr:uid="{00000000-0005-0000-0000-0000B5200000}"/>
    <cellStyle name="표준 14 2" xfId="8484" xr:uid="{00000000-0005-0000-0000-0000B6200000}"/>
    <cellStyle name="표준 15" xfId="1639" xr:uid="{00000000-0005-0000-0000-0000B7200000}"/>
    <cellStyle name="표준 15 2" xfId="8466" xr:uid="{00000000-0005-0000-0000-0000B8200000}"/>
    <cellStyle name="표준 16" xfId="8354" xr:uid="{00000000-0005-0000-0000-0000B9200000}"/>
    <cellStyle name="표준 17" xfId="8355" xr:uid="{00000000-0005-0000-0000-0000BA200000}"/>
    <cellStyle name="표준 177" xfId="8356" xr:uid="{00000000-0005-0000-0000-0000BB200000}"/>
    <cellStyle name="표준 18" xfId="8357" xr:uid="{00000000-0005-0000-0000-0000BC200000}"/>
    <cellStyle name="표준 18 2" xfId="8468" xr:uid="{00000000-0005-0000-0000-0000BD200000}"/>
    <cellStyle name="표준 19" xfId="8358" xr:uid="{00000000-0005-0000-0000-0000BE200000}"/>
    <cellStyle name="표준 2" xfId="2" xr:uid="{00000000-0005-0000-0000-0000BF200000}"/>
    <cellStyle name="표준 2 10" xfId="8455" xr:uid="{00000000-0005-0000-0000-0000C0200000}"/>
    <cellStyle name="표준 2 11" xfId="7076" xr:uid="{00000000-0005-0000-0000-0000C1200000}"/>
    <cellStyle name="표준 2 11 2" xfId="8483" xr:uid="{00000000-0005-0000-0000-0000C2200000}"/>
    <cellStyle name="표준 2 2" xfId="1309" xr:uid="{00000000-0005-0000-0000-0000C3200000}"/>
    <cellStyle name="표준 2 2 2" xfId="7064" xr:uid="{00000000-0005-0000-0000-0000C4200000}"/>
    <cellStyle name="표준 2 2 2 2" xfId="8477" xr:uid="{00000000-0005-0000-0000-0000C5200000}"/>
    <cellStyle name="표준 2 2 3" xfId="7065" xr:uid="{00000000-0005-0000-0000-0000C6200000}"/>
    <cellStyle name="표준 2 2 4" xfId="7063" xr:uid="{00000000-0005-0000-0000-0000C7200000}"/>
    <cellStyle name="표준 2 2 7" xfId="8496" xr:uid="{00000000-0005-0000-0000-0000C8200000}"/>
    <cellStyle name="표준 2 3" xfId="1625" xr:uid="{00000000-0005-0000-0000-0000C9200000}"/>
    <cellStyle name="표준 2 3 2" xfId="4428" xr:uid="{00000000-0005-0000-0000-0000CA200000}"/>
    <cellStyle name="표준 2 3 2 2" xfId="8493" xr:uid="{00000000-0005-0000-0000-0000CB200000}"/>
    <cellStyle name="표준 2 3 3" xfId="8359" xr:uid="{00000000-0005-0000-0000-0000CC200000}"/>
    <cellStyle name="표준 2 4" xfId="8360" xr:uid="{00000000-0005-0000-0000-0000CD200000}"/>
    <cellStyle name="표준 2 4 2" xfId="8361" xr:uid="{00000000-0005-0000-0000-0000CE200000}"/>
    <cellStyle name="표준 2 4 2 2" xfId="8501" xr:uid="{00000000-0005-0000-0000-0000CF200000}"/>
    <cellStyle name="표준 2 5" xfId="8362" xr:uid="{00000000-0005-0000-0000-0000D0200000}"/>
    <cellStyle name="표준 2_2. 토질조사내역서(선유3)-01" xfId="6835" xr:uid="{00000000-0005-0000-0000-0000D1200000}"/>
    <cellStyle name="표준 20" xfId="8363" xr:uid="{00000000-0005-0000-0000-0000D2200000}"/>
    <cellStyle name="표준 21" xfId="7080" xr:uid="{00000000-0005-0000-0000-0000D3200000}"/>
    <cellStyle name="표준 21 2" xfId="8437" xr:uid="{00000000-0005-0000-0000-0000D4200000}"/>
    <cellStyle name="표준 21 3" xfId="8488" xr:uid="{00000000-0005-0000-0000-0000D5200000}"/>
    <cellStyle name="표준 22" xfId="8448" xr:uid="{00000000-0005-0000-0000-0000D6200000}"/>
    <cellStyle name="표준 23" xfId="8459" xr:uid="{00000000-0005-0000-0000-0000D7200000}"/>
    <cellStyle name="표준 24" xfId="7077" xr:uid="{00000000-0005-0000-0000-0000D8200000}"/>
    <cellStyle name="표준 24 2" xfId="8482" xr:uid="{00000000-0005-0000-0000-0000D9200000}"/>
    <cellStyle name="표준 24 2 2" xfId="8485" xr:uid="{00000000-0005-0000-0000-0000DA200000}"/>
    <cellStyle name="표준 25" xfId="8460" xr:uid="{00000000-0005-0000-0000-0000DB200000}"/>
    <cellStyle name="표준 25 2" xfId="8495" xr:uid="{00000000-0005-0000-0000-0000DC200000}"/>
    <cellStyle name="표준 26" xfId="8465" xr:uid="{00000000-0005-0000-0000-0000DD200000}"/>
    <cellStyle name="표준 27" xfId="8462" xr:uid="{00000000-0005-0000-0000-0000DE200000}"/>
    <cellStyle name="표준 27 2" xfId="8492" xr:uid="{00000000-0005-0000-0000-0000DF200000}"/>
    <cellStyle name="표준 28" xfId="8467" xr:uid="{00000000-0005-0000-0000-0000E0200000}"/>
    <cellStyle name="표준 29" xfId="8489" xr:uid="{00000000-0005-0000-0000-0000E1200000}"/>
    <cellStyle name="표준 3" xfId="1310" xr:uid="{00000000-0005-0000-0000-0000E2200000}"/>
    <cellStyle name="표준 3 2" xfId="1626" xr:uid="{00000000-0005-0000-0000-0000E3200000}"/>
    <cellStyle name="표준 3 3" xfId="1627" xr:uid="{00000000-0005-0000-0000-0000E4200000}"/>
    <cellStyle name="표준 3 4" xfId="1640" xr:uid="{00000000-0005-0000-0000-0000E5200000}"/>
    <cellStyle name="표준 3 4 3" xfId="8472" xr:uid="{00000000-0005-0000-0000-0000E6200000}"/>
    <cellStyle name="표준 3 5" xfId="7066" xr:uid="{00000000-0005-0000-0000-0000E7200000}"/>
    <cellStyle name="표준 3 6" xfId="8454" xr:uid="{00000000-0005-0000-0000-0000E8200000}"/>
    <cellStyle name="표준 3_토일천 실시설계" xfId="8364" xr:uid="{00000000-0005-0000-0000-0000E9200000}"/>
    <cellStyle name="표준 30" xfId="8490" xr:uid="{00000000-0005-0000-0000-0000EA200000}"/>
    <cellStyle name="표준 31" xfId="8497" xr:uid="{00000000-0005-0000-0000-0000EB200000}"/>
    <cellStyle name="표준 32" xfId="8507" xr:uid="{00000000-0005-0000-0000-0000EC200000}"/>
    <cellStyle name="표준 4" xfId="1311" xr:uid="{00000000-0005-0000-0000-0000ED200000}"/>
    <cellStyle name="표준 4 11" xfId="8365" xr:uid="{00000000-0005-0000-0000-0000EE200000}"/>
    <cellStyle name="표준 4 2" xfId="1628" xr:uid="{00000000-0005-0000-0000-0000EF200000}"/>
    <cellStyle name="표준 4 2 2" xfId="8366" xr:uid="{00000000-0005-0000-0000-0000F0200000}"/>
    <cellStyle name="표준 4 3" xfId="7067" xr:uid="{00000000-0005-0000-0000-0000F1200000}"/>
    <cellStyle name="표준 4 4" xfId="4429" xr:uid="{00000000-0005-0000-0000-0000F2200000}"/>
    <cellStyle name="표준 5" xfId="1318" xr:uid="{00000000-0005-0000-0000-0000F3200000}"/>
    <cellStyle name="표준 5 2" xfId="7068" xr:uid="{00000000-0005-0000-0000-0000F4200000}"/>
    <cellStyle name="표준 5 2 2" xfId="8367" xr:uid="{00000000-0005-0000-0000-0000F5200000}"/>
    <cellStyle name="표준 5 2 3" xfId="8486" xr:uid="{00000000-0005-0000-0000-0000F6200000}"/>
    <cellStyle name="표준 5 2 7" xfId="8368" xr:uid="{00000000-0005-0000-0000-0000F7200000}"/>
    <cellStyle name="표준 5 3" xfId="8369" xr:uid="{00000000-0005-0000-0000-0000F8200000}"/>
    <cellStyle name="표준 5 6" xfId="7079" xr:uid="{00000000-0005-0000-0000-0000F9200000}"/>
    <cellStyle name="표준 50 4" xfId="8500" xr:uid="{00000000-0005-0000-0000-0000FA200000}"/>
    <cellStyle name="표준 50 4 2" xfId="8508" xr:uid="{00000000-0005-0000-0000-0000FB200000}"/>
    <cellStyle name="표준 53" xfId="6836" xr:uid="{00000000-0005-0000-0000-0000FC200000}"/>
    <cellStyle name="표준 53 2" xfId="8370" xr:uid="{00000000-0005-0000-0000-0000FD200000}"/>
    <cellStyle name="표준 54" xfId="6837" xr:uid="{00000000-0005-0000-0000-0000FE200000}"/>
    <cellStyle name="표준 54 2" xfId="8371" xr:uid="{00000000-0005-0000-0000-0000FF200000}"/>
    <cellStyle name="표준 56" xfId="6838" xr:uid="{00000000-0005-0000-0000-000000210000}"/>
    <cellStyle name="표준 56 2" xfId="8372" xr:uid="{00000000-0005-0000-0000-000001210000}"/>
    <cellStyle name="표준 57" xfId="6839" xr:uid="{00000000-0005-0000-0000-000002210000}"/>
    <cellStyle name="표준 57 2" xfId="8373" xr:uid="{00000000-0005-0000-0000-000003210000}"/>
    <cellStyle name="표준 58" xfId="6840" xr:uid="{00000000-0005-0000-0000-000004210000}"/>
    <cellStyle name="표준 58 2" xfId="8374" xr:uid="{00000000-0005-0000-0000-000005210000}"/>
    <cellStyle name="표준 59" xfId="6841" xr:uid="{00000000-0005-0000-0000-000006210000}"/>
    <cellStyle name="표준 59 2" xfId="8375" xr:uid="{00000000-0005-0000-0000-000007210000}"/>
    <cellStyle name="표준 6" xfId="1320" xr:uid="{00000000-0005-0000-0000-000008210000}"/>
    <cellStyle name="표준 6 2" xfId="7069" xr:uid="{00000000-0005-0000-0000-000009210000}"/>
    <cellStyle name="표준 6 3" xfId="8376" xr:uid="{00000000-0005-0000-0000-00000A210000}"/>
    <cellStyle name="표준 6 4" xfId="8449" xr:uid="{00000000-0005-0000-0000-00000B210000}"/>
    <cellStyle name="표준 60" xfId="6842" xr:uid="{00000000-0005-0000-0000-00000C210000}"/>
    <cellStyle name="표준 60 2" xfId="8377" xr:uid="{00000000-0005-0000-0000-00000D210000}"/>
    <cellStyle name="표준 61" xfId="6843" xr:uid="{00000000-0005-0000-0000-00000E210000}"/>
    <cellStyle name="표준 61 2" xfId="8378" xr:uid="{00000000-0005-0000-0000-00000F210000}"/>
    <cellStyle name="표준 62" xfId="6844" xr:uid="{00000000-0005-0000-0000-000010210000}"/>
    <cellStyle name="표준 62 2" xfId="8379" xr:uid="{00000000-0005-0000-0000-000011210000}"/>
    <cellStyle name="표준 63" xfId="6845" xr:uid="{00000000-0005-0000-0000-000012210000}"/>
    <cellStyle name="표준 63 2" xfId="8380" xr:uid="{00000000-0005-0000-0000-000013210000}"/>
    <cellStyle name="표준 7" xfId="1322" xr:uid="{00000000-0005-0000-0000-000014210000}"/>
    <cellStyle name="표준 7 2" xfId="1323" xr:uid="{00000000-0005-0000-0000-000015210000}"/>
    <cellStyle name="표준 7 3" xfId="8381" xr:uid="{00000000-0005-0000-0000-000016210000}"/>
    <cellStyle name="표준 8" xfId="1325" xr:uid="{00000000-0005-0000-0000-000017210000}"/>
    <cellStyle name="표준 8 2" xfId="8382" xr:uid="{00000000-0005-0000-0000-000018210000}"/>
    <cellStyle name="표준 9" xfId="1324" xr:uid="{00000000-0005-0000-0000-000019210000}"/>
    <cellStyle name="표준 9 2" xfId="8383" xr:uid="{00000000-0005-0000-0000-00001A210000}"/>
    <cellStyle name="표준_00000.송정천 하천기본계획및실시설계용역_설계예산서 2" xfId="8499" xr:uid="{00000000-0005-0000-0000-00001B210000}"/>
    <cellStyle name="표준_02미원천수계내역서(대가조정)" xfId="8512" xr:uid="{00000000-0005-0000-0000-00001C210000}"/>
    <cellStyle name="표준_123" xfId="8480" xr:uid="{00000000-0005-0000-0000-00001D210000}"/>
    <cellStyle name="표준_400.하천일람(2004.7.20)의 백업의 백업" xfId="8505" xr:uid="{00000000-0005-0000-0000-00001E210000}"/>
    <cellStyle name="표준_a-01.항공사진측량(최종)" xfId="8473" xr:uid="{00000000-0005-0000-0000-00001F210000}"/>
    <cellStyle name="標準_Akia(F）-8" xfId="1312" xr:uid="{00000000-0005-0000-0000-000020210000}"/>
    <cellStyle name="표준_ViewRiver" xfId="8504" xr:uid="{00000000-0005-0000-0000-000021210000}"/>
    <cellStyle name="표준_남지교가설공사 일위대가표-1" xfId="8510" xr:uid="{00000000-0005-0000-0000-000022210000}"/>
    <cellStyle name="표준_내역서(상하수도)" xfId="8471" xr:uid="{00000000-0005-0000-0000-000023210000}"/>
    <cellStyle name="표준_붙임5_설계내역서(110216 215백만원)" xfId="8513" xr:uid="{00000000-0005-0000-0000-000024210000}"/>
    <cellStyle name="표준_사재검내역(개척지구개발계획-행정계획)2" xfId="8475" xr:uid="{00000000-0005-0000-0000-000025210000}"/>
    <cellStyle name="표준_양양(광정천 수계 통합감리)" xfId="8474" xr:uid="{00000000-0005-0000-0000-000026210000}"/>
    <cellStyle name="표준1" xfId="1313" xr:uid="{00000000-0005-0000-0000-000027210000}"/>
    <cellStyle name="표준1 2" xfId="1629" xr:uid="{00000000-0005-0000-0000-000028210000}"/>
    <cellStyle name="표준123" xfId="6846" xr:uid="{00000000-0005-0000-0000-000029210000}"/>
    <cellStyle name="표준123 2" xfId="8384" xr:uid="{00000000-0005-0000-0000-00002A210000}"/>
    <cellStyle name="표준2" xfId="1630" xr:uid="{00000000-0005-0000-0000-00002B210000}"/>
    <cellStyle name="표준2 2" xfId="4430" xr:uid="{00000000-0005-0000-0000-00002C210000}"/>
    <cellStyle name="표준JKDH" xfId="6847" xr:uid="{00000000-0005-0000-0000-00002D210000}"/>
    <cellStyle name="표준JKDH 2" xfId="8385" xr:uid="{00000000-0005-0000-0000-00002E210000}"/>
    <cellStyle name="표준ۤ총공사원가(집행원가)" xfId="1631" xr:uid="{00000000-0005-0000-0000-00002F210000}"/>
    <cellStyle name="표쥰" xfId="1632" xr:uid="{00000000-0005-0000-0000-000030210000}"/>
    <cellStyle name="표쥰 2" xfId="8386" xr:uid="{00000000-0005-0000-0000-000031210000}"/>
    <cellStyle name="하이퍼링크 2" xfId="4431" xr:uid="{00000000-0005-0000-0000-000032210000}"/>
    <cellStyle name="합계" xfId="1314" xr:uid="{00000000-0005-0000-0000-000033210000}"/>
    <cellStyle name="합계 2" xfId="1633" xr:uid="{00000000-0005-0000-0000-000034210000}"/>
    <cellStyle name="합계 3" xfId="7070" xr:uid="{00000000-0005-0000-0000-000035210000}"/>
    <cellStyle name="합산" xfId="1315" xr:uid="{00000000-0005-0000-0000-000036210000}"/>
    <cellStyle name="합산 2" xfId="8387" xr:uid="{00000000-0005-0000-0000-000037210000}"/>
    <cellStyle name="합산 3" xfId="8388" xr:uid="{00000000-0005-0000-0000-000038210000}"/>
    <cellStyle name="貨幣 [0]_GARMENT STEP FORM HK" xfId="1634" xr:uid="{00000000-0005-0000-0000-000039210000}"/>
    <cellStyle name="貨幣_GARMENT STEP FORM HK" xfId="1635" xr:uid="{00000000-0005-0000-0000-00003A210000}"/>
    <cellStyle name="화폐기호" xfId="1316" xr:uid="{00000000-0005-0000-0000-00003B210000}"/>
    <cellStyle name="화폐기호 2" xfId="1636" xr:uid="{00000000-0005-0000-0000-00003C210000}"/>
    <cellStyle name="화폐기호 3" xfId="7071" xr:uid="{00000000-0005-0000-0000-00003D210000}"/>
    <cellStyle name="화폐기호 4" xfId="8389" xr:uid="{00000000-0005-0000-0000-00003E210000}"/>
    <cellStyle name="화폐기호0" xfId="1317" xr:uid="{00000000-0005-0000-0000-00003F210000}"/>
    <cellStyle name="화폐기호0 2" xfId="1637" xr:uid="{00000000-0005-0000-0000-000040210000}"/>
    <cellStyle name="화폐기호0 3" xfId="7072" xr:uid="{00000000-0005-0000-0000-000041210000}"/>
    <cellStyle name="화폐기호0 4" xfId="8390" xr:uid="{00000000-0005-0000-0000-000042210000}"/>
  </cellStyles>
  <dxfs count="1">
    <dxf>
      <font>
        <color auto="1"/>
        <name val="맑은 고딕"/>
        <scheme val="none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0000FF"/>
      <color rgb="FFF907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eg"/><Relationship Id="rId2" Type="http://schemas.openxmlformats.org/officeDocument/2006/relationships/image" Target="../media/image13.jpeg"/><Relationship Id="rId1" Type="http://schemas.openxmlformats.org/officeDocument/2006/relationships/image" Target="../media/image12.jpeg"/><Relationship Id="rId4" Type="http://schemas.openxmlformats.org/officeDocument/2006/relationships/image" Target="../media/image1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61484</xdr:colOff>
      <xdr:row>1</xdr:row>
      <xdr:rowOff>31220</xdr:rowOff>
    </xdr:from>
    <xdr:to>
      <xdr:col>28</xdr:col>
      <xdr:colOff>663087</xdr:colOff>
      <xdr:row>12</xdr:row>
      <xdr:rowOff>21858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561F1CC-B23C-4BE1-8032-80D62B4C2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5157" y="346278"/>
          <a:ext cx="2819463" cy="2817218"/>
        </a:xfrm>
        <a:prstGeom prst="rect">
          <a:avLst/>
        </a:prstGeom>
      </xdr:spPr>
    </xdr:pic>
    <xdr:clientData/>
  </xdr:twoCellAnchor>
  <xdr:twoCellAnchor>
    <xdr:from>
      <xdr:col>28</xdr:col>
      <xdr:colOff>308742</xdr:colOff>
      <xdr:row>10</xdr:row>
      <xdr:rowOff>124811</xdr:rowOff>
    </xdr:from>
    <xdr:to>
      <xdr:col>28</xdr:col>
      <xdr:colOff>584638</xdr:colOff>
      <xdr:row>11</xdr:row>
      <xdr:rowOff>65690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FED59A5B-E7E8-472A-BC07-E895C8379B80}"/>
            </a:ext>
          </a:extLst>
        </xdr:cNvPr>
        <xdr:cNvSpPr/>
      </xdr:nvSpPr>
      <xdr:spPr>
        <a:xfrm>
          <a:off x="14313776" y="2752397"/>
          <a:ext cx="275896" cy="190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1</xdr:row>
      <xdr:rowOff>0</xdr:rowOff>
    </xdr:from>
    <xdr:to>
      <xdr:col>24</xdr:col>
      <xdr:colOff>542190</xdr:colOff>
      <xdr:row>26</xdr:row>
      <xdr:rowOff>233882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6DFEF3C-EEB7-4BCD-954B-BB281ABDA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20500" y="313765"/>
          <a:ext cx="5876190" cy="8333333"/>
        </a:xfrm>
        <a:prstGeom prst="rect">
          <a:avLst/>
        </a:prstGeom>
      </xdr:spPr>
    </xdr:pic>
    <xdr:clientData/>
  </xdr:twoCellAnchor>
  <xdr:twoCellAnchor editAs="oneCell">
    <xdr:from>
      <xdr:col>24</xdr:col>
      <xdr:colOff>748392</xdr:colOff>
      <xdr:row>19</xdr:row>
      <xdr:rowOff>68036</xdr:rowOff>
    </xdr:from>
    <xdr:to>
      <xdr:col>32</xdr:col>
      <xdr:colOff>509535</xdr:colOff>
      <xdr:row>26</xdr:row>
      <xdr:rowOff>244928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CE766A7-4265-4D15-98A3-210232CC7B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53229" b="18620"/>
        <a:stretch/>
      </xdr:blipFill>
      <xdr:spPr>
        <a:xfrm>
          <a:off x="17798142" y="6395357"/>
          <a:ext cx="5857143" cy="2367642"/>
        </a:xfrm>
        <a:prstGeom prst="rect">
          <a:avLst/>
        </a:prstGeom>
      </xdr:spPr>
    </xdr:pic>
    <xdr:clientData/>
  </xdr:twoCellAnchor>
  <xdr:twoCellAnchor editAs="oneCell">
    <xdr:from>
      <xdr:col>17</xdr:col>
      <xdr:colOff>748393</xdr:colOff>
      <xdr:row>30</xdr:row>
      <xdr:rowOff>136071</xdr:rowOff>
    </xdr:from>
    <xdr:to>
      <xdr:col>24</xdr:col>
      <xdr:colOff>148653</xdr:colOff>
      <xdr:row>35</xdr:row>
      <xdr:rowOff>237347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AF5AB5B-E8B3-446F-BFFC-4AE47E851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79679" y="14927035"/>
          <a:ext cx="4734260" cy="1666097"/>
        </a:xfrm>
        <a:prstGeom prst="rect">
          <a:avLst/>
        </a:prstGeom>
      </xdr:spPr>
    </xdr:pic>
    <xdr:clientData/>
  </xdr:twoCellAnchor>
  <xdr:twoCellAnchor editAs="oneCell">
    <xdr:from>
      <xdr:col>17</xdr:col>
      <xdr:colOff>755633</xdr:colOff>
      <xdr:row>35</xdr:row>
      <xdr:rowOff>236667</xdr:rowOff>
    </xdr:from>
    <xdr:to>
      <xdr:col>24</xdr:col>
      <xdr:colOff>148919</xdr:colOff>
      <xdr:row>40</xdr:row>
      <xdr:rowOff>233842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1C5BE84-531E-4CF3-A32E-351625F62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86919" y="16592453"/>
          <a:ext cx="4727286" cy="1684461"/>
        </a:xfrm>
        <a:prstGeom prst="rect">
          <a:avLst/>
        </a:prstGeom>
      </xdr:spPr>
    </xdr:pic>
    <xdr:clientData/>
  </xdr:twoCellAnchor>
  <xdr:twoCellAnchor>
    <xdr:from>
      <xdr:col>18</xdr:col>
      <xdr:colOff>256230</xdr:colOff>
      <xdr:row>32</xdr:row>
      <xdr:rowOff>63039</xdr:rowOff>
    </xdr:from>
    <xdr:to>
      <xdr:col>21</xdr:col>
      <xdr:colOff>43164</xdr:colOff>
      <xdr:row>33</xdr:row>
      <xdr:rowOff>170495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5A9663F-8B29-4C18-BD9C-3184B7CEDF05}"/>
            </a:ext>
          </a:extLst>
        </xdr:cNvPr>
        <xdr:cNvSpPr/>
      </xdr:nvSpPr>
      <xdr:spPr bwMode="auto">
        <a:xfrm>
          <a:off x="11849516" y="15479932"/>
          <a:ext cx="2072934" cy="420420"/>
        </a:xfrm>
        <a:prstGeom prst="rect">
          <a:avLst/>
        </a:prstGeom>
        <a:noFill/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255498</xdr:colOff>
      <xdr:row>34</xdr:row>
      <xdr:rowOff>63125</xdr:rowOff>
    </xdr:from>
    <xdr:to>
      <xdr:col>21</xdr:col>
      <xdr:colOff>59723</xdr:colOff>
      <xdr:row>34</xdr:row>
      <xdr:rowOff>295682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10266C2C-4A8B-4966-B0A1-BD02F557807B}"/>
            </a:ext>
          </a:extLst>
        </xdr:cNvPr>
        <xdr:cNvSpPr/>
      </xdr:nvSpPr>
      <xdr:spPr bwMode="auto">
        <a:xfrm>
          <a:off x="11848784" y="16105946"/>
          <a:ext cx="2090225" cy="232557"/>
        </a:xfrm>
        <a:prstGeom prst="rect">
          <a:avLst/>
        </a:prstGeom>
        <a:noFill/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249511</xdr:colOff>
      <xdr:row>40</xdr:row>
      <xdr:rowOff>78825</xdr:rowOff>
    </xdr:from>
    <xdr:to>
      <xdr:col>21</xdr:col>
      <xdr:colOff>358828</xdr:colOff>
      <xdr:row>40</xdr:row>
      <xdr:rowOff>224925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573FB54B-C110-4BEE-9177-CD5690E4C0D1}"/>
            </a:ext>
          </a:extLst>
        </xdr:cNvPr>
        <xdr:cNvSpPr/>
      </xdr:nvSpPr>
      <xdr:spPr bwMode="auto">
        <a:xfrm>
          <a:off x="12727261" y="18121896"/>
          <a:ext cx="2395317" cy="146100"/>
        </a:xfrm>
        <a:prstGeom prst="rect">
          <a:avLst/>
        </a:prstGeom>
        <a:noFill/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17</xdr:col>
      <xdr:colOff>734787</xdr:colOff>
      <xdr:row>5</xdr:row>
      <xdr:rowOff>299358</xdr:rowOff>
    </xdr:from>
    <xdr:to>
      <xdr:col>23</xdr:col>
      <xdr:colOff>680358</xdr:colOff>
      <xdr:row>8</xdr:row>
      <xdr:rowOff>244929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25244B68-424F-49EA-BA94-8D42DACE3313}"/>
            </a:ext>
          </a:extLst>
        </xdr:cNvPr>
        <xdr:cNvSpPr/>
      </xdr:nvSpPr>
      <xdr:spPr>
        <a:xfrm>
          <a:off x="12450537" y="2054679"/>
          <a:ext cx="4517571" cy="95250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62289</xdr:colOff>
      <xdr:row>7</xdr:row>
      <xdr:rowOff>121228</xdr:rowOff>
    </xdr:from>
    <xdr:to>
      <xdr:col>17</xdr:col>
      <xdr:colOff>551180</xdr:colOff>
      <xdr:row>25</xdr:row>
      <xdr:rowOff>185378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CDA7449-2A15-4CEB-BC37-AAA39DB31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76153" y="2164773"/>
          <a:ext cx="8108891" cy="505178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160564</xdr:colOff>
      <xdr:row>0</xdr:row>
      <xdr:rowOff>64078</xdr:rowOff>
    </xdr:from>
    <xdr:to>
      <xdr:col>18</xdr:col>
      <xdr:colOff>399559</xdr:colOff>
      <xdr:row>29</xdr:row>
      <xdr:rowOff>166255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1E75A5EB-5074-4374-8E36-B84F404A8E6A}"/>
            </a:ext>
          </a:extLst>
        </xdr:cNvPr>
        <xdr:cNvGrpSpPr/>
      </xdr:nvGrpSpPr>
      <xdr:grpSpPr>
        <a:xfrm>
          <a:off x="7455593" y="64078"/>
          <a:ext cx="6278966" cy="8450559"/>
          <a:chOff x="7304314" y="64078"/>
          <a:chExt cx="6287370" cy="8912802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EA6CE50C-AA1B-4110-8732-A5734BE450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04314" y="64078"/>
            <a:ext cx="6287370" cy="8912802"/>
          </a:xfrm>
          <a:prstGeom prst="rect">
            <a:avLst/>
          </a:prstGeom>
        </xdr:spPr>
      </xdr:pic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4C12EF49-FC5F-49C3-8395-C137EF39E324}"/>
              </a:ext>
            </a:extLst>
          </xdr:cNvPr>
          <xdr:cNvSpPr/>
        </xdr:nvSpPr>
        <xdr:spPr>
          <a:xfrm>
            <a:off x="9610725" y="5572125"/>
            <a:ext cx="2771775" cy="1009650"/>
          </a:xfrm>
          <a:prstGeom prst="rect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24898</xdr:colOff>
      <xdr:row>1</xdr:row>
      <xdr:rowOff>2476</xdr:rowOff>
    </xdr:from>
    <xdr:to>
      <xdr:col>5</xdr:col>
      <xdr:colOff>715772</xdr:colOff>
      <xdr:row>22</xdr:row>
      <xdr:rowOff>149679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854585A-8034-49D1-B525-57D2CB4EA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541" y="315440"/>
          <a:ext cx="5929624" cy="8257060"/>
        </a:xfrm>
        <a:prstGeom prst="rect">
          <a:avLst/>
        </a:prstGeom>
      </xdr:spPr>
    </xdr:pic>
    <xdr:clientData/>
  </xdr:twoCellAnchor>
  <xdr:twoCellAnchor editAs="oneCell">
    <xdr:from>
      <xdr:col>6</xdr:col>
      <xdr:colOff>136073</xdr:colOff>
      <xdr:row>1</xdr:row>
      <xdr:rowOff>0</xdr:rowOff>
    </xdr:from>
    <xdr:to>
      <xdr:col>13</xdr:col>
      <xdr:colOff>666751</xdr:colOff>
      <xdr:row>23</xdr:row>
      <xdr:rowOff>1838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7EDB589-AD6A-40B2-B91C-AA7434D12E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9466" y="312964"/>
          <a:ext cx="5864678" cy="828858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0</xdr:rowOff>
    </xdr:from>
    <xdr:to>
      <xdr:col>9</xdr:col>
      <xdr:colOff>535305</xdr:colOff>
      <xdr:row>90</xdr:row>
      <xdr:rowOff>160020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AD16476-B077-4D79-B438-8A86FEDE2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30" b="3503"/>
        <a:stretch>
          <a:fillRect/>
        </a:stretch>
      </xdr:blipFill>
      <xdr:spPr bwMode="auto">
        <a:xfrm>
          <a:off x="1390650" y="7010400"/>
          <a:ext cx="6840855" cy="11738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152400</xdr:colOff>
      <xdr:row>74</xdr:row>
      <xdr:rowOff>95250</xdr:rowOff>
    </xdr:from>
    <xdr:to>
      <xdr:col>9</xdr:col>
      <xdr:colOff>556260</xdr:colOff>
      <xdr:row>76</xdr:row>
      <xdr:rowOff>13335</xdr:rowOff>
    </xdr:to>
    <xdr:sp macro="" textlink="">
      <xdr:nvSpPr>
        <xdr:cNvPr id="5" name="모서리가 둥근 직사각형 4">
          <a:extLst>
            <a:ext uri="{FF2B5EF4-FFF2-40B4-BE49-F238E27FC236}">
              <a16:creationId xmlns:a16="http://schemas.microsoft.com/office/drawing/2014/main" id="{6E23299A-D774-4D9C-8F30-89DE5270B60B}"/>
            </a:ext>
          </a:extLst>
        </xdr:cNvPr>
        <xdr:cNvSpPr/>
      </xdr:nvSpPr>
      <xdr:spPr>
        <a:xfrm>
          <a:off x="1543050" y="15792450"/>
          <a:ext cx="6709410" cy="28003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630555</xdr:colOff>
      <xdr:row>17</xdr:row>
      <xdr:rowOff>182880</xdr:rowOff>
    </xdr:from>
    <xdr:to>
      <xdr:col>22</xdr:col>
      <xdr:colOff>478155</xdr:colOff>
      <xdr:row>17</xdr:row>
      <xdr:rowOff>182880</xdr:rowOff>
    </xdr:to>
    <xdr:cxnSp macro="">
      <xdr:nvCxnSpPr>
        <xdr:cNvPr id="6" name="직선 연결선 5">
          <a:extLst>
            <a:ext uri="{FF2B5EF4-FFF2-40B4-BE49-F238E27FC236}">
              <a16:creationId xmlns:a16="http://schemas.microsoft.com/office/drawing/2014/main" id="{F32245C7-C6DC-429F-BF0A-87B68F66F3EF}"/>
            </a:ext>
          </a:extLst>
        </xdr:cNvPr>
        <xdr:cNvCxnSpPr/>
      </xdr:nvCxnSpPr>
      <xdr:spPr>
        <a:xfrm>
          <a:off x="14213205" y="4764405"/>
          <a:ext cx="3181350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468630</xdr:colOff>
      <xdr:row>17</xdr:row>
      <xdr:rowOff>11430</xdr:rowOff>
    </xdr:from>
    <xdr:to>
      <xdr:col>20</xdr:col>
      <xdr:colOff>521880</xdr:colOff>
      <xdr:row>17</xdr:row>
      <xdr:rowOff>217170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EF01A398-0B2E-495E-B5B4-3EF1383E4E7B}"/>
            </a:ext>
          </a:extLst>
        </xdr:cNvPr>
        <xdr:cNvSpPr/>
      </xdr:nvSpPr>
      <xdr:spPr>
        <a:xfrm>
          <a:off x="15384780" y="4592955"/>
          <a:ext cx="720000" cy="20574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18</xdr:col>
      <xdr:colOff>150495</xdr:colOff>
      <xdr:row>11</xdr:row>
      <xdr:rowOff>76200</xdr:rowOff>
    </xdr:from>
    <xdr:to>
      <xdr:col>19</xdr:col>
      <xdr:colOff>239745</xdr:colOff>
      <xdr:row>11</xdr:row>
      <xdr:rowOff>76200</xdr:rowOff>
    </xdr:to>
    <xdr:cxnSp macro="">
      <xdr:nvCxnSpPr>
        <xdr:cNvPr id="8" name="직선 연결선 7">
          <a:extLst>
            <a:ext uri="{FF2B5EF4-FFF2-40B4-BE49-F238E27FC236}">
              <a16:creationId xmlns:a16="http://schemas.microsoft.com/office/drawing/2014/main" id="{2B9067A2-0E8D-4FA6-883B-31F8877F9A79}"/>
            </a:ext>
          </a:extLst>
        </xdr:cNvPr>
        <xdr:cNvCxnSpPr/>
      </xdr:nvCxnSpPr>
      <xdr:spPr>
        <a:xfrm>
          <a:off x="14399895" y="3286125"/>
          <a:ext cx="756000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245739</xdr:colOff>
      <xdr:row>13</xdr:row>
      <xdr:rowOff>0</xdr:rowOff>
    </xdr:from>
    <xdr:to>
      <xdr:col>23</xdr:col>
      <xdr:colOff>655989</xdr:colOff>
      <xdr:row>13</xdr:row>
      <xdr:rowOff>0</xdr:rowOff>
    </xdr:to>
    <xdr:cxnSp macro="">
      <xdr:nvCxnSpPr>
        <xdr:cNvPr id="9" name="직선 연결선 8">
          <a:extLst>
            <a:ext uri="{FF2B5EF4-FFF2-40B4-BE49-F238E27FC236}">
              <a16:creationId xmlns:a16="http://schemas.microsoft.com/office/drawing/2014/main" id="{2F033008-B6D8-4AA5-975A-7B916A25EC74}"/>
            </a:ext>
          </a:extLst>
        </xdr:cNvPr>
        <xdr:cNvCxnSpPr/>
      </xdr:nvCxnSpPr>
      <xdr:spPr>
        <a:xfrm>
          <a:off x="14495139" y="3667125"/>
          <a:ext cx="3744000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144780</xdr:colOff>
      <xdr:row>12</xdr:row>
      <xdr:rowOff>59055</xdr:rowOff>
    </xdr:from>
    <xdr:to>
      <xdr:col>20</xdr:col>
      <xdr:colOff>31365</xdr:colOff>
      <xdr:row>13</xdr:row>
      <xdr:rowOff>34290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D314E2C3-5709-4930-B6F2-2D7E9AAC3242}"/>
            </a:ext>
          </a:extLst>
        </xdr:cNvPr>
        <xdr:cNvSpPr/>
      </xdr:nvSpPr>
      <xdr:spPr>
        <a:xfrm>
          <a:off x="15060930" y="3497580"/>
          <a:ext cx="553335" cy="20383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6</xdr:col>
      <xdr:colOff>741325</xdr:colOff>
      <xdr:row>56</xdr:row>
      <xdr:rowOff>80989</xdr:rowOff>
    </xdr:from>
    <xdr:to>
      <xdr:col>11</xdr:col>
      <xdr:colOff>137835</xdr:colOff>
      <xdr:row>56</xdr:row>
      <xdr:rowOff>80989</xdr:rowOff>
    </xdr:to>
    <xdr:cxnSp macro="">
      <xdr:nvCxnSpPr>
        <xdr:cNvPr id="15" name="직선 연결선 14">
          <a:extLst>
            <a:ext uri="{FF2B5EF4-FFF2-40B4-BE49-F238E27FC236}">
              <a16:creationId xmlns:a16="http://schemas.microsoft.com/office/drawing/2014/main" id="{4DC85ABB-8B21-4331-8A32-96925D0A5087}"/>
            </a:ext>
          </a:extLst>
        </xdr:cNvPr>
        <xdr:cNvCxnSpPr/>
      </xdr:nvCxnSpPr>
      <xdr:spPr>
        <a:xfrm>
          <a:off x="6733416" y="11701489"/>
          <a:ext cx="3985828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571500</xdr:colOff>
      <xdr:row>8</xdr:row>
      <xdr:rowOff>241038</xdr:rowOff>
    </xdr:from>
    <xdr:to>
      <xdr:col>10</xdr:col>
      <xdr:colOff>250340</xdr:colOff>
      <xdr:row>15</xdr:row>
      <xdr:rowOff>98724</xdr:rowOff>
    </xdr:to>
    <xdr:sp macro="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311DD218-D410-484D-B480-BA4D3CFD721E}"/>
            </a:ext>
          </a:extLst>
        </xdr:cNvPr>
        <xdr:cNvSpPr/>
      </xdr:nvSpPr>
      <xdr:spPr>
        <a:xfrm>
          <a:off x="11396382" y="2314126"/>
          <a:ext cx="440840" cy="1740274"/>
        </a:xfrm>
        <a:prstGeom prst="roundRect">
          <a:avLst>
            <a:gd name="adj" fmla="val 4451"/>
          </a:avLst>
        </a:prstGeom>
        <a:noFill/>
        <a:ln w="3810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231322</xdr:colOff>
      <xdr:row>1</xdr:row>
      <xdr:rowOff>285750</xdr:rowOff>
    </xdr:from>
    <xdr:to>
      <xdr:col>21</xdr:col>
      <xdr:colOff>21994</xdr:colOff>
      <xdr:row>19</xdr:row>
      <xdr:rowOff>17119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DAED955-F8EB-4C98-AE11-12101D888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51179" y="666750"/>
          <a:ext cx="6921904" cy="673142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83</xdr:row>
      <xdr:rowOff>0</xdr:rowOff>
    </xdr:from>
    <xdr:to>
      <xdr:col>16</xdr:col>
      <xdr:colOff>1064895</xdr:colOff>
      <xdr:row>114</xdr:row>
      <xdr:rowOff>20955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561577E-65E2-478C-82DF-44520B9E6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4249400"/>
          <a:ext cx="3769995" cy="5349240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84</xdr:row>
      <xdr:rowOff>0</xdr:rowOff>
    </xdr:from>
    <xdr:to>
      <xdr:col>20</xdr:col>
      <xdr:colOff>516255</xdr:colOff>
      <xdr:row>115</xdr:row>
      <xdr:rowOff>34290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FD3D159-3DF2-4B5D-90A2-3DB92DA2D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14420850"/>
          <a:ext cx="3769995" cy="5349240"/>
        </a:xfrm>
        <a:prstGeom prst="rect">
          <a:avLst/>
        </a:prstGeom>
      </xdr:spPr>
    </xdr:pic>
    <xdr:clientData/>
  </xdr:twoCellAnchor>
  <xdr:twoCellAnchor editAs="oneCell">
    <xdr:from>
      <xdr:col>24</xdr:col>
      <xdr:colOff>0</xdr:colOff>
      <xdr:row>92</xdr:row>
      <xdr:rowOff>0</xdr:rowOff>
    </xdr:from>
    <xdr:to>
      <xdr:col>28</xdr:col>
      <xdr:colOff>97155</xdr:colOff>
      <xdr:row>123</xdr:row>
      <xdr:rowOff>20955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2AA2D39-C9A1-4AB3-B3A4-DD30084C8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01325" y="15830550"/>
          <a:ext cx="3779520" cy="5345430"/>
        </a:xfrm>
        <a:prstGeom prst="rect">
          <a:avLst/>
        </a:prstGeom>
      </xdr:spPr>
    </xdr:pic>
    <xdr:clientData/>
  </xdr:twoCellAnchor>
  <xdr:twoCellAnchor editAs="oneCell">
    <xdr:from>
      <xdr:col>37</xdr:col>
      <xdr:colOff>0</xdr:colOff>
      <xdr:row>6</xdr:row>
      <xdr:rowOff>0</xdr:rowOff>
    </xdr:from>
    <xdr:to>
      <xdr:col>43</xdr:col>
      <xdr:colOff>437388</xdr:colOff>
      <xdr:row>49</xdr:row>
      <xdr:rowOff>54102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343894D-406C-4A0C-BDF2-DF359209E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78725" y="1028700"/>
          <a:ext cx="5291328" cy="748360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0\&#49688;&#50672;&#50644;&#51648;&#45768;&#50612;&#47553;\03_&#51652;&#54665;&#51473;%20Projects\2025\17_&#53685;&#48373;&#52380;%20&#51452;&#48124;&#48708;&#49345;&#45824;&#52376;&#44228;&#54925;%20&#49688;&#47549;%20&#50857;&#50669;\01_&#54665;&#51221;&#44288;&#47144;\15_&#53685;&#48373;&#52380;%20&#50976;&#50669;%20&#52840;&#49688;&#48169;&#51648;&#45824;&#52293;%20&#44592;&#48376;&#44228;&#54925;%20&#49688;&#47549;%20&#50857;&#50669;\00_3_2_&#49368;&#54540;_&#45236;&#50669;&#49436;(&#49437;&#44368;&#52380;%20&#50976;&#50669;%20&#52840;&#49688;&#48169;&#51648;&#45824;&#52293;%20&#47560;&#49828;&#53552;&#54540;&#47004;%20&#48143;%20&#44592;&#48376;&#44228;&#54925;%20&#49688;&#4754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DATA1"/>
      <sheetName val="1.표지"/>
      <sheetName val="내역서"/>
      <sheetName val="1.마스터플랜"/>
      <sheetName val="일위대가1 (마스터플랜)"/>
      <sheetName val="보정계수 산출"/>
      <sheetName val="적용수량"/>
      <sheetName val="실시설계(기준소요인력)"/>
      <sheetName val="직접경비"/>
      <sheetName val="2. 하천기본계획비"/>
      <sheetName val="산근2-0(하천기본계획-수량)"/>
      <sheetName val="일위대가2 (하천기본계획)"/>
      <sheetName val="산근2-45(출장비)"/>
      <sheetName val="하천기본계획(기준소요인력)"/>
      <sheetName val="하천기본계획(요율)"/>
      <sheetName val="일위대가2 (측량조사)"/>
      <sheetName val="산근2-0 (현장조사물량산출)"/>
      <sheetName val="산근2-1(측량조사)"/>
      <sheetName val="산근2-5(지장물조사)"/>
      <sheetName val="산근 2-6 (공공측량성과심사)"/>
      <sheetName val="일위대가3 (지반조사)"/>
      <sheetName val="산근3-0 (지반조사)"/>
      <sheetName val="산근3-1(지반조사 단가)"/>
      <sheetName val="일위대가2 (추가업무)"/>
      <sheetName val="산근4-1 (설계안전성검토)"/>
      <sheetName val="산근4-2(설계안전보건대장)"/>
      <sheetName val="산근4-3(공사기간 적정성 검토)"/>
      <sheetName val="산근2-1(조감도)"/>
      <sheetName val="5. 비상대처계획"/>
      <sheetName val="일위대가5(비상대처계획)"/>
      <sheetName val="비상대처계획(보정계수 산출)"/>
      <sheetName val="비상대처계획(적용수량)"/>
      <sheetName val="비상대처계획(기준소요인력)"/>
      <sheetName val="비상대처계획(직접경비)"/>
      <sheetName val="산근3-1(공제요율-설계)"/>
      <sheetName val="산근3-1(공제요율-엔지니어링)"/>
      <sheetName val="산근4 노임"/>
      <sheetName val="산근8 공사비_수정"/>
      <sheetName val="타당성조사_출력×"/>
    </sheetNames>
    <sheetDataSet>
      <sheetData sheetId="0">
        <row r="23">
          <cell r="E23"/>
        </row>
        <row r="24">
          <cell r="E2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R47"/>
  <sheetViews>
    <sheetView tabSelected="1" view="pageBreakPreview" zoomScale="70" zoomScaleSheetLayoutView="70" workbookViewId="0">
      <pane ySplit="2" topLeftCell="A15" activePane="bottomLeft" state="frozen"/>
      <selection activeCell="L9" sqref="L9:L10"/>
      <selection pane="bottomLeft" activeCell="M47" sqref="M47"/>
    </sheetView>
  </sheetViews>
  <sheetFormatPr defaultColWidth="7.88671875" defaultRowHeight="14.25"/>
  <cols>
    <col min="1" max="1" width="2.44140625" style="330" customWidth="1"/>
    <col min="2" max="2" width="16.5546875" style="330" customWidth="1"/>
    <col min="3" max="3" width="30.6640625" style="330" customWidth="1"/>
    <col min="4" max="6" width="8.44140625" style="330" customWidth="1"/>
    <col min="7" max="7" width="7.21875" style="330" customWidth="1"/>
    <col min="8" max="9" width="8.109375" style="330" customWidth="1"/>
    <col min="10" max="11" width="8.44140625" style="330" customWidth="1"/>
    <col min="12" max="12" width="7.88671875" style="330"/>
    <col min="13" max="13" width="19.44140625" style="330" bestFit="1" customWidth="1"/>
    <col min="14" max="14" width="8.44140625" style="330" bestFit="1" customWidth="1"/>
    <col min="15" max="15" width="9.44140625" style="330" bestFit="1" customWidth="1"/>
    <col min="16" max="16" width="7.88671875" style="330"/>
    <col min="17" max="19" width="15.5546875" style="330" customWidth="1"/>
    <col min="20" max="256" width="7.88671875" style="330"/>
    <col min="257" max="257" width="2.88671875" style="330" customWidth="1"/>
    <col min="258" max="258" width="16.44140625" style="330" customWidth="1"/>
    <col min="259" max="259" width="31.5546875" style="330" customWidth="1"/>
    <col min="260" max="262" width="9.5546875" style="330" customWidth="1"/>
    <col min="263" max="263" width="8.44140625" style="330" customWidth="1"/>
    <col min="264" max="265" width="9.44140625" style="330" customWidth="1"/>
    <col min="266" max="267" width="9.5546875" style="330" customWidth="1"/>
    <col min="268" max="512" width="7.88671875" style="330"/>
    <col min="513" max="513" width="2.88671875" style="330" customWidth="1"/>
    <col min="514" max="514" width="16.44140625" style="330" customWidth="1"/>
    <col min="515" max="515" width="31.5546875" style="330" customWidth="1"/>
    <col min="516" max="518" width="9.5546875" style="330" customWidth="1"/>
    <col min="519" max="519" width="8.44140625" style="330" customWidth="1"/>
    <col min="520" max="521" width="9.44140625" style="330" customWidth="1"/>
    <col min="522" max="523" width="9.5546875" style="330" customWidth="1"/>
    <col min="524" max="768" width="7.88671875" style="330"/>
    <col min="769" max="769" width="2.88671875" style="330" customWidth="1"/>
    <col min="770" max="770" width="16.44140625" style="330" customWidth="1"/>
    <col min="771" max="771" width="31.5546875" style="330" customWidth="1"/>
    <col min="772" max="774" width="9.5546875" style="330" customWidth="1"/>
    <col min="775" max="775" width="8.44140625" style="330" customWidth="1"/>
    <col min="776" max="777" width="9.44140625" style="330" customWidth="1"/>
    <col min="778" max="779" width="9.5546875" style="330" customWidth="1"/>
    <col min="780" max="1024" width="7.88671875" style="330"/>
    <col min="1025" max="1025" width="2.88671875" style="330" customWidth="1"/>
    <col min="1026" max="1026" width="16.44140625" style="330" customWidth="1"/>
    <col min="1027" max="1027" width="31.5546875" style="330" customWidth="1"/>
    <col min="1028" max="1030" width="9.5546875" style="330" customWidth="1"/>
    <col min="1031" max="1031" width="8.44140625" style="330" customWidth="1"/>
    <col min="1032" max="1033" width="9.44140625" style="330" customWidth="1"/>
    <col min="1034" max="1035" width="9.5546875" style="330" customWidth="1"/>
    <col min="1036" max="1280" width="7.88671875" style="330"/>
    <col min="1281" max="1281" width="2.88671875" style="330" customWidth="1"/>
    <col min="1282" max="1282" width="16.44140625" style="330" customWidth="1"/>
    <col min="1283" max="1283" width="31.5546875" style="330" customWidth="1"/>
    <col min="1284" max="1286" width="9.5546875" style="330" customWidth="1"/>
    <col min="1287" max="1287" width="8.44140625" style="330" customWidth="1"/>
    <col min="1288" max="1289" width="9.44140625" style="330" customWidth="1"/>
    <col min="1290" max="1291" width="9.5546875" style="330" customWidth="1"/>
    <col min="1292" max="1536" width="7.88671875" style="330"/>
    <col min="1537" max="1537" width="2.88671875" style="330" customWidth="1"/>
    <col min="1538" max="1538" width="16.44140625" style="330" customWidth="1"/>
    <col min="1539" max="1539" width="31.5546875" style="330" customWidth="1"/>
    <col min="1540" max="1542" width="9.5546875" style="330" customWidth="1"/>
    <col min="1543" max="1543" width="8.44140625" style="330" customWidth="1"/>
    <col min="1544" max="1545" width="9.44140625" style="330" customWidth="1"/>
    <col min="1546" max="1547" width="9.5546875" style="330" customWidth="1"/>
    <col min="1548" max="1792" width="7.88671875" style="330"/>
    <col min="1793" max="1793" width="2.88671875" style="330" customWidth="1"/>
    <col min="1794" max="1794" width="16.44140625" style="330" customWidth="1"/>
    <col min="1795" max="1795" width="31.5546875" style="330" customWidth="1"/>
    <col min="1796" max="1798" width="9.5546875" style="330" customWidth="1"/>
    <col min="1799" max="1799" width="8.44140625" style="330" customWidth="1"/>
    <col min="1800" max="1801" width="9.44140625" style="330" customWidth="1"/>
    <col min="1802" max="1803" width="9.5546875" style="330" customWidth="1"/>
    <col min="1804" max="2048" width="7.88671875" style="330"/>
    <col min="2049" max="2049" width="2.88671875" style="330" customWidth="1"/>
    <col min="2050" max="2050" width="16.44140625" style="330" customWidth="1"/>
    <col min="2051" max="2051" width="31.5546875" style="330" customWidth="1"/>
    <col min="2052" max="2054" width="9.5546875" style="330" customWidth="1"/>
    <col min="2055" max="2055" width="8.44140625" style="330" customWidth="1"/>
    <col min="2056" max="2057" width="9.44140625" style="330" customWidth="1"/>
    <col min="2058" max="2059" width="9.5546875" style="330" customWidth="1"/>
    <col min="2060" max="2304" width="7.88671875" style="330"/>
    <col min="2305" max="2305" width="2.88671875" style="330" customWidth="1"/>
    <col min="2306" max="2306" width="16.44140625" style="330" customWidth="1"/>
    <col min="2307" max="2307" width="31.5546875" style="330" customWidth="1"/>
    <col min="2308" max="2310" width="9.5546875" style="330" customWidth="1"/>
    <col min="2311" max="2311" width="8.44140625" style="330" customWidth="1"/>
    <col min="2312" max="2313" width="9.44140625" style="330" customWidth="1"/>
    <col min="2314" max="2315" width="9.5546875" style="330" customWidth="1"/>
    <col min="2316" max="2560" width="7.88671875" style="330"/>
    <col min="2561" max="2561" width="2.88671875" style="330" customWidth="1"/>
    <col min="2562" max="2562" width="16.44140625" style="330" customWidth="1"/>
    <col min="2563" max="2563" width="31.5546875" style="330" customWidth="1"/>
    <col min="2564" max="2566" width="9.5546875" style="330" customWidth="1"/>
    <col min="2567" max="2567" width="8.44140625" style="330" customWidth="1"/>
    <col min="2568" max="2569" width="9.44140625" style="330" customWidth="1"/>
    <col min="2570" max="2571" width="9.5546875" style="330" customWidth="1"/>
    <col min="2572" max="2816" width="7.88671875" style="330"/>
    <col min="2817" max="2817" width="2.88671875" style="330" customWidth="1"/>
    <col min="2818" max="2818" width="16.44140625" style="330" customWidth="1"/>
    <col min="2819" max="2819" width="31.5546875" style="330" customWidth="1"/>
    <col min="2820" max="2822" width="9.5546875" style="330" customWidth="1"/>
    <col min="2823" max="2823" width="8.44140625" style="330" customWidth="1"/>
    <col min="2824" max="2825" width="9.44140625" style="330" customWidth="1"/>
    <col min="2826" max="2827" width="9.5546875" style="330" customWidth="1"/>
    <col min="2828" max="3072" width="7.88671875" style="330"/>
    <col min="3073" max="3073" width="2.88671875" style="330" customWidth="1"/>
    <col min="3074" max="3074" width="16.44140625" style="330" customWidth="1"/>
    <col min="3075" max="3075" width="31.5546875" style="330" customWidth="1"/>
    <col min="3076" max="3078" width="9.5546875" style="330" customWidth="1"/>
    <col min="3079" max="3079" width="8.44140625" style="330" customWidth="1"/>
    <col min="3080" max="3081" width="9.44140625" style="330" customWidth="1"/>
    <col min="3082" max="3083" width="9.5546875" style="330" customWidth="1"/>
    <col min="3084" max="3328" width="7.88671875" style="330"/>
    <col min="3329" max="3329" width="2.88671875" style="330" customWidth="1"/>
    <col min="3330" max="3330" width="16.44140625" style="330" customWidth="1"/>
    <col min="3331" max="3331" width="31.5546875" style="330" customWidth="1"/>
    <col min="3332" max="3334" width="9.5546875" style="330" customWidth="1"/>
    <col min="3335" max="3335" width="8.44140625" style="330" customWidth="1"/>
    <col min="3336" max="3337" width="9.44140625" style="330" customWidth="1"/>
    <col min="3338" max="3339" width="9.5546875" style="330" customWidth="1"/>
    <col min="3340" max="3584" width="7.88671875" style="330"/>
    <col min="3585" max="3585" width="2.88671875" style="330" customWidth="1"/>
    <col min="3586" max="3586" width="16.44140625" style="330" customWidth="1"/>
    <col min="3587" max="3587" width="31.5546875" style="330" customWidth="1"/>
    <col min="3588" max="3590" width="9.5546875" style="330" customWidth="1"/>
    <col min="3591" max="3591" width="8.44140625" style="330" customWidth="1"/>
    <col min="3592" max="3593" width="9.44140625" style="330" customWidth="1"/>
    <col min="3594" max="3595" width="9.5546875" style="330" customWidth="1"/>
    <col min="3596" max="3840" width="7.88671875" style="330"/>
    <col min="3841" max="3841" width="2.88671875" style="330" customWidth="1"/>
    <col min="3842" max="3842" width="16.44140625" style="330" customWidth="1"/>
    <col min="3843" max="3843" width="31.5546875" style="330" customWidth="1"/>
    <col min="3844" max="3846" width="9.5546875" style="330" customWidth="1"/>
    <col min="3847" max="3847" width="8.44140625" style="330" customWidth="1"/>
    <col min="3848" max="3849" width="9.44140625" style="330" customWidth="1"/>
    <col min="3850" max="3851" width="9.5546875" style="330" customWidth="1"/>
    <col min="3852" max="4096" width="7.88671875" style="330"/>
    <col min="4097" max="4097" width="2.88671875" style="330" customWidth="1"/>
    <col min="4098" max="4098" width="16.44140625" style="330" customWidth="1"/>
    <col min="4099" max="4099" width="31.5546875" style="330" customWidth="1"/>
    <col min="4100" max="4102" width="9.5546875" style="330" customWidth="1"/>
    <col min="4103" max="4103" width="8.44140625" style="330" customWidth="1"/>
    <col min="4104" max="4105" width="9.44140625" style="330" customWidth="1"/>
    <col min="4106" max="4107" width="9.5546875" style="330" customWidth="1"/>
    <col min="4108" max="4352" width="7.88671875" style="330"/>
    <col min="4353" max="4353" width="2.88671875" style="330" customWidth="1"/>
    <col min="4354" max="4354" width="16.44140625" style="330" customWidth="1"/>
    <col min="4355" max="4355" width="31.5546875" style="330" customWidth="1"/>
    <col min="4356" max="4358" width="9.5546875" style="330" customWidth="1"/>
    <col min="4359" max="4359" width="8.44140625" style="330" customWidth="1"/>
    <col min="4360" max="4361" width="9.44140625" style="330" customWidth="1"/>
    <col min="4362" max="4363" width="9.5546875" style="330" customWidth="1"/>
    <col min="4364" max="4608" width="7.88671875" style="330"/>
    <col min="4609" max="4609" width="2.88671875" style="330" customWidth="1"/>
    <col min="4610" max="4610" width="16.44140625" style="330" customWidth="1"/>
    <col min="4611" max="4611" width="31.5546875" style="330" customWidth="1"/>
    <col min="4612" max="4614" width="9.5546875" style="330" customWidth="1"/>
    <col min="4615" max="4615" width="8.44140625" style="330" customWidth="1"/>
    <col min="4616" max="4617" width="9.44140625" style="330" customWidth="1"/>
    <col min="4618" max="4619" width="9.5546875" style="330" customWidth="1"/>
    <col min="4620" max="4864" width="7.88671875" style="330"/>
    <col min="4865" max="4865" width="2.88671875" style="330" customWidth="1"/>
    <col min="4866" max="4866" width="16.44140625" style="330" customWidth="1"/>
    <col min="4867" max="4867" width="31.5546875" style="330" customWidth="1"/>
    <col min="4868" max="4870" width="9.5546875" style="330" customWidth="1"/>
    <col min="4871" max="4871" width="8.44140625" style="330" customWidth="1"/>
    <col min="4872" max="4873" width="9.44140625" style="330" customWidth="1"/>
    <col min="4874" max="4875" width="9.5546875" style="330" customWidth="1"/>
    <col min="4876" max="5120" width="7.88671875" style="330"/>
    <col min="5121" max="5121" width="2.88671875" style="330" customWidth="1"/>
    <col min="5122" max="5122" width="16.44140625" style="330" customWidth="1"/>
    <col min="5123" max="5123" width="31.5546875" style="330" customWidth="1"/>
    <col min="5124" max="5126" width="9.5546875" style="330" customWidth="1"/>
    <col min="5127" max="5127" width="8.44140625" style="330" customWidth="1"/>
    <col min="5128" max="5129" width="9.44140625" style="330" customWidth="1"/>
    <col min="5130" max="5131" width="9.5546875" style="330" customWidth="1"/>
    <col min="5132" max="5376" width="7.88671875" style="330"/>
    <col min="5377" max="5377" width="2.88671875" style="330" customWidth="1"/>
    <col min="5378" max="5378" width="16.44140625" style="330" customWidth="1"/>
    <col min="5379" max="5379" width="31.5546875" style="330" customWidth="1"/>
    <col min="5380" max="5382" width="9.5546875" style="330" customWidth="1"/>
    <col min="5383" max="5383" width="8.44140625" style="330" customWidth="1"/>
    <col min="5384" max="5385" width="9.44140625" style="330" customWidth="1"/>
    <col min="5386" max="5387" width="9.5546875" style="330" customWidth="1"/>
    <col min="5388" max="5632" width="7.88671875" style="330"/>
    <col min="5633" max="5633" width="2.88671875" style="330" customWidth="1"/>
    <col min="5634" max="5634" width="16.44140625" style="330" customWidth="1"/>
    <col min="5635" max="5635" width="31.5546875" style="330" customWidth="1"/>
    <col min="5636" max="5638" width="9.5546875" style="330" customWidth="1"/>
    <col min="5639" max="5639" width="8.44140625" style="330" customWidth="1"/>
    <col min="5640" max="5641" width="9.44140625" style="330" customWidth="1"/>
    <col min="5642" max="5643" width="9.5546875" style="330" customWidth="1"/>
    <col min="5644" max="5888" width="7.88671875" style="330"/>
    <col min="5889" max="5889" width="2.88671875" style="330" customWidth="1"/>
    <col min="5890" max="5890" width="16.44140625" style="330" customWidth="1"/>
    <col min="5891" max="5891" width="31.5546875" style="330" customWidth="1"/>
    <col min="5892" max="5894" width="9.5546875" style="330" customWidth="1"/>
    <col min="5895" max="5895" width="8.44140625" style="330" customWidth="1"/>
    <col min="5896" max="5897" width="9.44140625" style="330" customWidth="1"/>
    <col min="5898" max="5899" width="9.5546875" style="330" customWidth="1"/>
    <col min="5900" max="6144" width="7.88671875" style="330"/>
    <col min="6145" max="6145" width="2.88671875" style="330" customWidth="1"/>
    <col min="6146" max="6146" width="16.44140625" style="330" customWidth="1"/>
    <col min="6147" max="6147" width="31.5546875" style="330" customWidth="1"/>
    <col min="6148" max="6150" width="9.5546875" style="330" customWidth="1"/>
    <col min="6151" max="6151" width="8.44140625" style="330" customWidth="1"/>
    <col min="6152" max="6153" width="9.44140625" style="330" customWidth="1"/>
    <col min="6154" max="6155" width="9.5546875" style="330" customWidth="1"/>
    <col min="6156" max="6400" width="7.88671875" style="330"/>
    <col min="6401" max="6401" width="2.88671875" style="330" customWidth="1"/>
    <col min="6402" max="6402" width="16.44140625" style="330" customWidth="1"/>
    <col min="6403" max="6403" width="31.5546875" style="330" customWidth="1"/>
    <col min="6404" max="6406" width="9.5546875" style="330" customWidth="1"/>
    <col min="6407" max="6407" width="8.44140625" style="330" customWidth="1"/>
    <col min="6408" max="6409" width="9.44140625" style="330" customWidth="1"/>
    <col min="6410" max="6411" width="9.5546875" style="330" customWidth="1"/>
    <col min="6412" max="6656" width="7.88671875" style="330"/>
    <col min="6657" max="6657" width="2.88671875" style="330" customWidth="1"/>
    <col min="6658" max="6658" width="16.44140625" style="330" customWidth="1"/>
    <col min="6659" max="6659" width="31.5546875" style="330" customWidth="1"/>
    <col min="6660" max="6662" width="9.5546875" style="330" customWidth="1"/>
    <col min="6663" max="6663" width="8.44140625" style="330" customWidth="1"/>
    <col min="6664" max="6665" width="9.44140625" style="330" customWidth="1"/>
    <col min="6666" max="6667" width="9.5546875" style="330" customWidth="1"/>
    <col min="6668" max="6912" width="7.88671875" style="330"/>
    <col min="6913" max="6913" width="2.88671875" style="330" customWidth="1"/>
    <col min="6914" max="6914" width="16.44140625" style="330" customWidth="1"/>
    <col min="6915" max="6915" width="31.5546875" style="330" customWidth="1"/>
    <col min="6916" max="6918" width="9.5546875" style="330" customWidth="1"/>
    <col min="6919" max="6919" width="8.44140625" style="330" customWidth="1"/>
    <col min="6920" max="6921" width="9.44140625" style="330" customWidth="1"/>
    <col min="6922" max="6923" width="9.5546875" style="330" customWidth="1"/>
    <col min="6924" max="7168" width="7.88671875" style="330"/>
    <col min="7169" max="7169" width="2.88671875" style="330" customWidth="1"/>
    <col min="7170" max="7170" width="16.44140625" style="330" customWidth="1"/>
    <col min="7171" max="7171" width="31.5546875" style="330" customWidth="1"/>
    <col min="7172" max="7174" width="9.5546875" style="330" customWidth="1"/>
    <col min="7175" max="7175" width="8.44140625" style="330" customWidth="1"/>
    <col min="7176" max="7177" width="9.44140625" style="330" customWidth="1"/>
    <col min="7178" max="7179" width="9.5546875" style="330" customWidth="1"/>
    <col min="7180" max="7424" width="7.88671875" style="330"/>
    <col min="7425" max="7425" width="2.88671875" style="330" customWidth="1"/>
    <col min="7426" max="7426" width="16.44140625" style="330" customWidth="1"/>
    <col min="7427" max="7427" width="31.5546875" style="330" customWidth="1"/>
    <col min="7428" max="7430" width="9.5546875" style="330" customWidth="1"/>
    <col min="7431" max="7431" width="8.44140625" style="330" customWidth="1"/>
    <col min="7432" max="7433" width="9.44140625" style="330" customWidth="1"/>
    <col min="7434" max="7435" width="9.5546875" style="330" customWidth="1"/>
    <col min="7436" max="7680" width="7.88671875" style="330"/>
    <col min="7681" max="7681" width="2.88671875" style="330" customWidth="1"/>
    <col min="7682" max="7682" width="16.44140625" style="330" customWidth="1"/>
    <col min="7683" max="7683" width="31.5546875" style="330" customWidth="1"/>
    <col min="7684" max="7686" width="9.5546875" style="330" customWidth="1"/>
    <col min="7687" max="7687" width="8.44140625" style="330" customWidth="1"/>
    <col min="7688" max="7689" width="9.44140625" style="330" customWidth="1"/>
    <col min="7690" max="7691" width="9.5546875" style="330" customWidth="1"/>
    <col min="7692" max="7936" width="7.88671875" style="330"/>
    <col min="7937" max="7937" width="2.88671875" style="330" customWidth="1"/>
    <col min="7938" max="7938" width="16.44140625" style="330" customWidth="1"/>
    <col min="7939" max="7939" width="31.5546875" style="330" customWidth="1"/>
    <col min="7940" max="7942" width="9.5546875" style="330" customWidth="1"/>
    <col min="7943" max="7943" width="8.44140625" style="330" customWidth="1"/>
    <col min="7944" max="7945" width="9.44140625" style="330" customWidth="1"/>
    <col min="7946" max="7947" width="9.5546875" style="330" customWidth="1"/>
    <col min="7948" max="8192" width="7.88671875" style="330"/>
    <col min="8193" max="8193" width="2.88671875" style="330" customWidth="1"/>
    <col min="8194" max="8194" width="16.44140625" style="330" customWidth="1"/>
    <col min="8195" max="8195" width="31.5546875" style="330" customWidth="1"/>
    <col min="8196" max="8198" width="9.5546875" style="330" customWidth="1"/>
    <col min="8199" max="8199" width="8.44140625" style="330" customWidth="1"/>
    <col min="8200" max="8201" width="9.44140625" style="330" customWidth="1"/>
    <col min="8202" max="8203" width="9.5546875" style="330" customWidth="1"/>
    <col min="8204" max="8448" width="7.88671875" style="330"/>
    <col min="8449" max="8449" width="2.88671875" style="330" customWidth="1"/>
    <col min="8450" max="8450" width="16.44140625" style="330" customWidth="1"/>
    <col min="8451" max="8451" width="31.5546875" style="330" customWidth="1"/>
    <col min="8452" max="8454" width="9.5546875" style="330" customWidth="1"/>
    <col min="8455" max="8455" width="8.44140625" style="330" customWidth="1"/>
    <col min="8456" max="8457" width="9.44140625" style="330" customWidth="1"/>
    <col min="8458" max="8459" width="9.5546875" style="330" customWidth="1"/>
    <col min="8460" max="8704" width="7.88671875" style="330"/>
    <col min="8705" max="8705" width="2.88671875" style="330" customWidth="1"/>
    <col min="8706" max="8706" width="16.44140625" style="330" customWidth="1"/>
    <col min="8707" max="8707" width="31.5546875" style="330" customWidth="1"/>
    <col min="8708" max="8710" width="9.5546875" style="330" customWidth="1"/>
    <col min="8711" max="8711" width="8.44140625" style="330" customWidth="1"/>
    <col min="8712" max="8713" width="9.44140625" style="330" customWidth="1"/>
    <col min="8714" max="8715" width="9.5546875" style="330" customWidth="1"/>
    <col min="8716" max="8960" width="7.88671875" style="330"/>
    <col min="8961" max="8961" width="2.88671875" style="330" customWidth="1"/>
    <col min="8962" max="8962" width="16.44140625" style="330" customWidth="1"/>
    <col min="8963" max="8963" width="31.5546875" style="330" customWidth="1"/>
    <col min="8964" max="8966" width="9.5546875" style="330" customWidth="1"/>
    <col min="8967" max="8967" width="8.44140625" style="330" customWidth="1"/>
    <col min="8968" max="8969" width="9.44140625" style="330" customWidth="1"/>
    <col min="8970" max="8971" width="9.5546875" style="330" customWidth="1"/>
    <col min="8972" max="9216" width="7.88671875" style="330"/>
    <col min="9217" max="9217" width="2.88671875" style="330" customWidth="1"/>
    <col min="9218" max="9218" width="16.44140625" style="330" customWidth="1"/>
    <col min="9219" max="9219" width="31.5546875" style="330" customWidth="1"/>
    <col min="9220" max="9222" width="9.5546875" style="330" customWidth="1"/>
    <col min="9223" max="9223" width="8.44140625" style="330" customWidth="1"/>
    <col min="9224" max="9225" width="9.44140625" style="330" customWidth="1"/>
    <col min="9226" max="9227" width="9.5546875" style="330" customWidth="1"/>
    <col min="9228" max="9472" width="7.88671875" style="330"/>
    <col min="9473" max="9473" width="2.88671875" style="330" customWidth="1"/>
    <col min="9474" max="9474" width="16.44140625" style="330" customWidth="1"/>
    <col min="9475" max="9475" width="31.5546875" style="330" customWidth="1"/>
    <col min="9476" max="9478" width="9.5546875" style="330" customWidth="1"/>
    <col min="9479" max="9479" width="8.44140625" style="330" customWidth="1"/>
    <col min="9480" max="9481" width="9.44140625" style="330" customWidth="1"/>
    <col min="9482" max="9483" width="9.5546875" style="330" customWidth="1"/>
    <col min="9484" max="9728" width="7.88671875" style="330"/>
    <col min="9729" max="9729" width="2.88671875" style="330" customWidth="1"/>
    <col min="9730" max="9730" width="16.44140625" style="330" customWidth="1"/>
    <col min="9731" max="9731" width="31.5546875" style="330" customWidth="1"/>
    <col min="9732" max="9734" width="9.5546875" style="330" customWidth="1"/>
    <col min="9735" max="9735" width="8.44140625" style="330" customWidth="1"/>
    <col min="9736" max="9737" width="9.44140625" style="330" customWidth="1"/>
    <col min="9738" max="9739" width="9.5546875" style="330" customWidth="1"/>
    <col min="9740" max="9984" width="7.88671875" style="330"/>
    <col min="9985" max="9985" width="2.88671875" style="330" customWidth="1"/>
    <col min="9986" max="9986" width="16.44140625" style="330" customWidth="1"/>
    <col min="9987" max="9987" width="31.5546875" style="330" customWidth="1"/>
    <col min="9988" max="9990" width="9.5546875" style="330" customWidth="1"/>
    <col min="9991" max="9991" width="8.44140625" style="330" customWidth="1"/>
    <col min="9992" max="9993" width="9.44140625" style="330" customWidth="1"/>
    <col min="9994" max="9995" width="9.5546875" style="330" customWidth="1"/>
    <col min="9996" max="10240" width="7.88671875" style="330"/>
    <col min="10241" max="10241" width="2.88671875" style="330" customWidth="1"/>
    <col min="10242" max="10242" width="16.44140625" style="330" customWidth="1"/>
    <col min="10243" max="10243" width="31.5546875" style="330" customWidth="1"/>
    <col min="10244" max="10246" width="9.5546875" style="330" customWidth="1"/>
    <col min="10247" max="10247" width="8.44140625" style="330" customWidth="1"/>
    <col min="10248" max="10249" width="9.44140625" style="330" customWidth="1"/>
    <col min="10250" max="10251" width="9.5546875" style="330" customWidth="1"/>
    <col min="10252" max="10496" width="7.88671875" style="330"/>
    <col min="10497" max="10497" width="2.88671875" style="330" customWidth="1"/>
    <col min="10498" max="10498" width="16.44140625" style="330" customWidth="1"/>
    <col min="10499" max="10499" width="31.5546875" style="330" customWidth="1"/>
    <col min="10500" max="10502" width="9.5546875" style="330" customWidth="1"/>
    <col min="10503" max="10503" width="8.44140625" style="330" customWidth="1"/>
    <col min="10504" max="10505" width="9.44140625" style="330" customWidth="1"/>
    <col min="10506" max="10507" width="9.5546875" style="330" customWidth="1"/>
    <col min="10508" max="10752" width="7.88671875" style="330"/>
    <col min="10753" max="10753" width="2.88671875" style="330" customWidth="1"/>
    <col min="10754" max="10754" width="16.44140625" style="330" customWidth="1"/>
    <col min="10755" max="10755" width="31.5546875" style="330" customWidth="1"/>
    <col min="10756" max="10758" width="9.5546875" style="330" customWidth="1"/>
    <col min="10759" max="10759" width="8.44140625" style="330" customWidth="1"/>
    <col min="10760" max="10761" width="9.44140625" style="330" customWidth="1"/>
    <col min="10762" max="10763" width="9.5546875" style="330" customWidth="1"/>
    <col min="10764" max="11008" width="7.88671875" style="330"/>
    <col min="11009" max="11009" width="2.88671875" style="330" customWidth="1"/>
    <col min="11010" max="11010" width="16.44140625" style="330" customWidth="1"/>
    <col min="11011" max="11011" width="31.5546875" style="330" customWidth="1"/>
    <col min="11012" max="11014" width="9.5546875" style="330" customWidth="1"/>
    <col min="11015" max="11015" width="8.44140625" style="330" customWidth="1"/>
    <col min="11016" max="11017" width="9.44140625" style="330" customWidth="1"/>
    <col min="11018" max="11019" width="9.5546875" style="330" customWidth="1"/>
    <col min="11020" max="11264" width="7.88671875" style="330"/>
    <col min="11265" max="11265" width="2.88671875" style="330" customWidth="1"/>
    <col min="11266" max="11266" width="16.44140625" style="330" customWidth="1"/>
    <col min="11267" max="11267" width="31.5546875" style="330" customWidth="1"/>
    <col min="11268" max="11270" width="9.5546875" style="330" customWidth="1"/>
    <col min="11271" max="11271" width="8.44140625" style="330" customWidth="1"/>
    <col min="11272" max="11273" width="9.44140625" style="330" customWidth="1"/>
    <col min="11274" max="11275" width="9.5546875" style="330" customWidth="1"/>
    <col min="11276" max="11520" width="7.88671875" style="330"/>
    <col min="11521" max="11521" width="2.88671875" style="330" customWidth="1"/>
    <col min="11522" max="11522" width="16.44140625" style="330" customWidth="1"/>
    <col min="11523" max="11523" width="31.5546875" style="330" customWidth="1"/>
    <col min="11524" max="11526" width="9.5546875" style="330" customWidth="1"/>
    <col min="11527" max="11527" width="8.44140625" style="330" customWidth="1"/>
    <col min="11528" max="11529" width="9.44140625" style="330" customWidth="1"/>
    <col min="11530" max="11531" width="9.5546875" style="330" customWidth="1"/>
    <col min="11532" max="11776" width="7.88671875" style="330"/>
    <col min="11777" max="11777" width="2.88671875" style="330" customWidth="1"/>
    <col min="11778" max="11778" width="16.44140625" style="330" customWidth="1"/>
    <col min="11779" max="11779" width="31.5546875" style="330" customWidth="1"/>
    <col min="11780" max="11782" width="9.5546875" style="330" customWidth="1"/>
    <col min="11783" max="11783" width="8.44140625" style="330" customWidth="1"/>
    <col min="11784" max="11785" width="9.44140625" style="330" customWidth="1"/>
    <col min="11786" max="11787" width="9.5546875" style="330" customWidth="1"/>
    <col min="11788" max="12032" width="7.88671875" style="330"/>
    <col min="12033" max="12033" width="2.88671875" style="330" customWidth="1"/>
    <col min="12034" max="12034" width="16.44140625" style="330" customWidth="1"/>
    <col min="12035" max="12035" width="31.5546875" style="330" customWidth="1"/>
    <col min="12036" max="12038" width="9.5546875" style="330" customWidth="1"/>
    <col min="12039" max="12039" width="8.44140625" style="330" customWidth="1"/>
    <col min="12040" max="12041" width="9.44140625" style="330" customWidth="1"/>
    <col min="12042" max="12043" width="9.5546875" style="330" customWidth="1"/>
    <col min="12044" max="12288" width="7.88671875" style="330"/>
    <col min="12289" max="12289" width="2.88671875" style="330" customWidth="1"/>
    <col min="12290" max="12290" width="16.44140625" style="330" customWidth="1"/>
    <col min="12291" max="12291" width="31.5546875" style="330" customWidth="1"/>
    <col min="12292" max="12294" width="9.5546875" style="330" customWidth="1"/>
    <col min="12295" max="12295" width="8.44140625" style="330" customWidth="1"/>
    <col min="12296" max="12297" width="9.44140625" style="330" customWidth="1"/>
    <col min="12298" max="12299" width="9.5546875" style="330" customWidth="1"/>
    <col min="12300" max="12544" width="7.88671875" style="330"/>
    <col min="12545" max="12545" width="2.88671875" style="330" customWidth="1"/>
    <col min="12546" max="12546" width="16.44140625" style="330" customWidth="1"/>
    <col min="12547" max="12547" width="31.5546875" style="330" customWidth="1"/>
    <col min="12548" max="12550" width="9.5546875" style="330" customWidth="1"/>
    <col min="12551" max="12551" width="8.44140625" style="330" customWidth="1"/>
    <col min="12552" max="12553" width="9.44140625" style="330" customWidth="1"/>
    <col min="12554" max="12555" width="9.5546875" style="330" customWidth="1"/>
    <col min="12556" max="12800" width="7.88671875" style="330"/>
    <col min="12801" max="12801" width="2.88671875" style="330" customWidth="1"/>
    <col min="12802" max="12802" width="16.44140625" style="330" customWidth="1"/>
    <col min="12803" max="12803" width="31.5546875" style="330" customWidth="1"/>
    <col min="12804" max="12806" width="9.5546875" style="330" customWidth="1"/>
    <col min="12807" max="12807" width="8.44140625" style="330" customWidth="1"/>
    <col min="12808" max="12809" width="9.44140625" style="330" customWidth="1"/>
    <col min="12810" max="12811" width="9.5546875" style="330" customWidth="1"/>
    <col min="12812" max="13056" width="7.88671875" style="330"/>
    <col min="13057" max="13057" width="2.88671875" style="330" customWidth="1"/>
    <col min="13058" max="13058" width="16.44140625" style="330" customWidth="1"/>
    <col min="13059" max="13059" width="31.5546875" style="330" customWidth="1"/>
    <col min="13060" max="13062" width="9.5546875" style="330" customWidth="1"/>
    <col min="13063" max="13063" width="8.44140625" style="330" customWidth="1"/>
    <col min="13064" max="13065" width="9.44140625" style="330" customWidth="1"/>
    <col min="13066" max="13067" width="9.5546875" style="330" customWidth="1"/>
    <col min="13068" max="13312" width="7.88671875" style="330"/>
    <col min="13313" max="13313" width="2.88671875" style="330" customWidth="1"/>
    <col min="13314" max="13314" width="16.44140625" style="330" customWidth="1"/>
    <col min="13315" max="13315" width="31.5546875" style="330" customWidth="1"/>
    <col min="13316" max="13318" width="9.5546875" style="330" customWidth="1"/>
    <col min="13319" max="13319" width="8.44140625" style="330" customWidth="1"/>
    <col min="13320" max="13321" width="9.44140625" style="330" customWidth="1"/>
    <col min="13322" max="13323" width="9.5546875" style="330" customWidth="1"/>
    <col min="13324" max="13568" width="7.88671875" style="330"/>
    <col min="13569" max="13569" width="2.88671875" style="330" customWidth="1"/>
    <col min="13570" max="13570" width="16.44140625" style="330" customWidth="1"/>
    <col min="13571" max="13571" width="31.5546875" style="330" customWidth="1"/>
    <col min="13572" max="13574" width="9.5546875" style="330" customWidth="1"/>
    <col min="13575" max="13575" width="8.44140625" style="330" customWidth="1"/>
    <col min="13576" max="13577" width="9.44140625" style="330" customWidth="1"/>
    <col min="13578" max="13579" width="9.5546875" style="330" customWidth="1"/>
    <col min="13580" max="13824" width="7.88671875" style="330"/>
    <col min="13825" max="13825" width="2.88671875" style="330" customWidth="1"/>
    <col min="13826" max="13826" width="16.44140625" style="330" customWidth="1"/>
    <col min="13827" max="13827" width="31.5546875" style="330" customWidth="1"/>
    <col min="13828" max="13830" width="9.5546875" style="330" customWidth="1"/>
    <col min="13831" max="13831" width="8.44140625" style="330" customWidth="1"/>
    <col min="13832" max="13833" width="9.44140625" style="330" customWidth="1"/>
    <col min="13834" max="13835" width="9.5546875" style="330" customWidth="1"/>
    <col min="13836" max="14080" width="7.88671875" style="330"/>
    <col min="14081" max="14081" width="2.88671875" style="330" customWidth="1"/>
    <col min="14082" max="14082" width="16.44140625" style="330" customWidth="1"/>
    <col min="14083" max="14083" width="31.5546875" style="330" customWidth="1"/>
    <col min="14084" max="14086" width="9.5546875" style="330" customWidth="1"/>
    <col min="14087" max="14087" width="8.44140625" style="330" customWidth="1"/>
    <col min="14088" max="14089" width="9.44140625" style="330" customWidth="1"/>
    <col min="14090" max="14091" width="9.5546875" style="330" customWidth="1"/>
    <col min="14092" max="14336" width="7.88671875" style="330"/>
    <col min="14337" max="14337" width="2.88671875" style="330" customWidth="1"/>
    <col min="14338" max="14338" width="16.44140625" style="330" customWidth="1"/>
    <col min="14339" max="14339" width="31.5546875" style="330" customWidth="1"/>
    <col min="14340" max="14342" width="9.5546875" style="330" customWidth="1"/>
    <col min="14343" max="14343" width="8.44140625" style="330" customWidth="1"/>
    <col min="14344" max="14345" width="9.44140625" style="330" customWidth="1"/>
    <col min="14346" max="14347" width="9.5546875" style="330" customWidth="1"/>
    <col min="14348" max="14592" width="7.88671875" style="330"/>
    <col min="14593" max="14593" width="2.88671875" style="330" customWidth="1"/>
    <col min="14594" max="14594" width="16.44140625" style="330" customWidth="1"/>
    <col min="14595" max="14595" width="31.5546875" style="330" customWidth="1"/>
    <col min="14596" max="14598" width="9.5546875" style="330" customWidth="1"/>
    <col min="14599" max="14599" width="8.44140625" style="330" customWidth="1"/>
    <col min="14600" max="14601" width="9.44140625" style="330" customWidth="1"/>
    <col min="14602" max="14603" width="9.5546875" style="330" customWidth="1"/>
    <col min="14604" max="14848" width="7.88671875" style="330"/>
    <col min="14849" max="14849" width="2.88671875" style="330" customWidth="1"/>
    <col min="14850" max="14850" width="16.44140625" style="330" customWidth="1"/>
    <col min="14851" max="14851" width="31.5546875" style="330" customWidth="1"/>
    <col min="14852" max="14854" width="9.5546875" style="330" customWidth="1"/>
    <col min="14855" max="14855" width="8.44140625" style="330" customWidth="1"/>
    <col min="14856" max="14857" width="9.44140625" style="330" customWidth="1"/>
    <col min="14858" max="14859" width="9.5546875" style="330" customWidth="1"/>
    <col min="14860" max="15104" width="7.88671875" style="330"/>
    <col min="15105" max="15105" width="2.88671875" style="330" customWidth="1"/>
    <col min="15106" max="15106" width="16.44140625" style="330" customWidth="1"/>
    <col min="15107" max="15107" width="31.5546875" style="330" customWidth="1"/>
    <col min="15108" max="15110" width="9.5546875" style="330" customWidth="1"/>
    <col min="15111" max="15111" width="8.44140625" style="330" customWidth="1"/>
    <col min="15112" max="15113" width="9.44140625" style="330" customWidth="1"/>
    <col min="15114" max="15115" width="9.5546875" style="330" customWidth="1"/>
    <col min="15116" max="15360" width="7.88671875" style="330"/>
    <col min="15361" max="15361" width="2.88671875" style="330" customWidth="1"/>
    <col min="15362" max="15362" width="16.44140625" style="330" customWidth="1"/>
    <col min="15363" max="15363" width="31.5546875" style="330" customWidth="1"/>
    <col min="15364" max="15366" width="9.5546875" style="330" customWidth="1"/>
    <col min="15367" max="15367" width="8.44140625" style="330" customWidth="1"/>
    <col min="15368" max="15369" width="9.44140625" style="330" customWidth="1"/>
    <col min="15370" max="15371" width="9.5546875" style="330" customWidth="1"/>
    <col min="15372" max="15616" width="7.88671875" style="330"/>
    <col min="15617" max="15617" width="2.88671875" style="330" customWidth="1"/>
    <col min="15618" max="15618" width="16.44140625" style="330" customWidth="1"/>
    <col min="15619" max="15619" width="31.5546875" style="330" customWidth="1"/>
    <col min="15620" max="15622" width="9.5546875" style="330" customWidth="1"/>
    <col min="15623" max="15623" width="8.44140625" style="330" customWidth="1"/>
    <col min="15624" max="15625" width="9.44140625" style="330" customWidth="1"/>
    <col min="15626" max="15627" width="9.5546875" style="330" customWidth="1"/>
    <col min="15628" max="15872" width="7.88671875" style="330"/>
    <col min="15873" max="15873" width="2.88671875" style="330" customWidth="1"/>
    <col min="15874" max="15874" width="16.44140625" style="330" customWidth="1"/>
    <col min="15875" max="15875" width="31.5546875" style="330" customWidth="1"/>
    <col min="15876" max="15878" width="9.5546875" style="330" customWidth="1"/>
    <col min="15879" max="15879" width="8.44140625" style="330" customWidth="1"/>
    <col min="15880" max="15881" width="9.44140625" style="330" customWidth="1"/>
    <col min="15882" max="15883" width="9.5546875" style="330" customWidth="1"/>
    <col min="15884" max="16128" width="7.88671875" style="330"/>
    <col min="16129" max="16129" width="2.88671875" style="330" customWidth="1"/>
    <col min="16130" max="16130" width="16.44140625" style="330" customWidth="1"/>
    <col min="16131" max="16131" width="31.5546875" style="330" customWidth="1"/>
    <col min="16132" max="16134" width="9.5546875" style="330" customWidth="1"/>
    <col min="16135" max="16135" width="8.44140625" style="330" customWidth="1"/>
    <col min="16136" max="16137" width="9.44140625" style="330" customWidth="1"/>
    <col min="16138" max="16139" width="9.5546875" style="330" customWidth="1"/>
    <col min="16140" max="16384" width="7.88671875" style="330"/>
  </cols>
  <sheetData>
    <row r="1" spans="1:16" ht="23.25" customHeight="1">
      <c r="B1" s="331" t="s">
        <v>496</v>
      </c>
    </row>
    <row r="2" spans="1:16" ht="20.25" customHeight="1">
      <c r="B2" s="332" t="s">
        <v>497</v>
      </c>
      <c r="C2" s="1642" t="s">
        <v>2032</v>
      </c>
      <c r="E2" s="333" t="s">
        <v>498</v>
      </c>
      <c r="F2" s="334" t="s">
        <v>2026</v>
      </c>
      <c r="I2" s="332" t="s">
        <v>499</v>
      </c>
      <c r="J2" s="334" t="s">
        <v>2033</v>
      </c>
      <c r="L2" s="335" t="s">
        <v>500</v>
      </c>
    </row>
    <row r="3" spans="1:16" ht="30" customHeight="1">
      <c r="A3" s="1682"/>
      <c r="B3" s="1682"/>
      <c r="C3" s="1682"/>
      <c r="D3" s="336"/>
      <c r="E3" s="336"/>
      <c r="F3" s="336"/>
      <c r="G3" s="336"/>
      <c r="H3" s="336"/>
      <c r="I3" s="336"/>
      <c r="J3" s="336"/>
      <c r="K3" s="336"/>
    </row>
    <row r="4" spans="1:16" ht="15" customHeight="1">
      <c r="A4" s="1682"/>
      <c r="B4" s="1682"/>
      <c r="C4" s="1682"/>
      <c r="D4" s="336"/>
      <c r="E4" s="336"/>
      <c r="F4" s="336"/>
      <c r="G4" s="336"/>
      <c r="H4" s="336"/>
      <c r="I4" s="336"/>
      <c r="J4" s="336"/>
      <c r="K4" s="336"/>
    </row>
    <row r="5" spans="1:16" ht="15" customHeight="1">
      <c r="A5" s="1683"/>
      <c r="B5" s="1683"/>
      <c r="C5" s="336"/>
      <c r="D5" s="336"/>
      <c r="E5" s="336"/>
      <c r="F5" s="336"/>
      <c r="G5" s="336"/>
      <c r="H5" s="336"/>
      <c r="I5" s="336"/>
      <c r="J5" s="336"/>
      <c r="K5" s="336"/>
    </row>
    <row r="6" spans="1:16" ht="36.75" customHeight="1">
      <c r="A6" s="1684" t="str">
        <f>C2&amp;" 설계서"</f>
        <v>통복천 유역 침수방지대책 타당성 조사 및 기본계획 수립 용역 설계서</v>
      </c>
      <c r="B6" s="1684"/>
      <c r="C6" s="1684"/>
      <c r="D6" s="1684"/>
      <c r="E6" s="1684"/>
      <c r="F6" s="1684"/>
      <c r="G6" s="1684"/>
      <c r="H6" s="1684"/>
      <c r="I6" s="1684"/>
      <c r="J6" s="1684"/>
      <c r="K6" s="1684"/>
    </row>
    <row r="7" spans="1:16" ht="14.25" customHeight="1">
      <c r="A7" s="1684"/>
      <c r="B7" s="1684"/>
      <c r="C7" s="1684"/>
      <c r="D7" s="1684"/>
      <c r="E7" s="1684"/>
      <c r="F7" s="1684"/>
      <c r="G7" s="1684"/>
      <c r="H7" s="1684"/>
      <c r="I7" s="1684"/>
      <c r="J7" s="1684"/>
      <c r="K7" s="1684"/>
    </row>
    <row r="8" spans="1:16" ht="14.25" customHeight="1">
      <c r="A8" s="1684"/>
      <c r="B8" s="1684"/>
      <c r="C8" s="1684"/>
      <c r="D8" s="1684"/>
      <c r="E8" s="1684"/>
      <c r="F8" s="1684"/>
      <c r="G8" s="1684"/>
      <c r="H8" s="1684"/>
      <c r="I8" s="1684"/>
      <c r="J8" s="1684"/>
      <c r="K8" s="1684"/>
    </row>
    <row r="9" spans="1:16" ht="14.25" customHeight="1">
      <c r="A9" s="1684"/>
      <c r="B9" s="1684"/>
      <c r="C9" s="1684"/>
      <c r="D9" s="1684"/>
      <c r="E9" s="1684"/>
      <c r="F9" s="1684"/>
      <c r="G9" s="1684"/>
      <c r="H9" s="1684"/>
      <c r="I9" s="1684"/>
      <c r="J9" s="1684"/>
      <c r="K9" s="1684"/>
    </row>
    <row r="10" spans="1:16" ht="24" customHeight="1">
      <c r="A10" s="337"/>
      <c r="B10" s="337"/>
      <c r="C10" s="337"/>
      <c r="D10" s="337"/>
      <c r="E10" s="337"/>
      <c r="F10" s="337"/>
      <c r="G10" s="337"/>
      <c r="H10" s="337"/>
      <c r="I10" s="337"/>
      <c r="J10" s="337"/>
      <c r="K10" s="337"/>
    </row>
    <row r="11" spans="1:16" ht="24" customHeight="1">
      <c r="A11" s="337"/>
      <c r="B11" s="337"/>
      <c r="C11" s="337" t="s">
        <v>501</v>
      </c>
      <c r="D11" s="337"/>
      <c r="E11" s="337"/>
      <c r="F11" s="337"/>
      <c r="G11" s="337"/>
      <c r="H11" s="337"/>
      <c r="I11" s="337"/>
      <c r="J11" s="337"/>
      <c r="K11" s="337"/>
    </row>
    <row r="12" spans="1:16" ht="14.25" customHeight="1">
      <c r="A12" s="337"/>
      <c r="B12" s="337"/>
      <c r="C12" s="337"/>
      <c r="D12" s="337"/>
      <c r="E12" s="337"/>
      <c r="F12" s="337"/>
      <c r="G12" s="337"/>
      <c r="H12" s="337"/>
      <c r="I12" s="337"/>
      <c r="J12" s="337"/>
      <c r="K12" s="337"/>
    </row>
    <row r="13" spans="1:16" ht="30.75" customHeight="1">
      <c r="A13" s="338"/>
      <c r="B13" s="338"/>
      <c r="C13" s="338"/>
      <c r="D13" s="338"/>
      <c r="E13" s="338"/>
      <c r="F13" s="338"/>
      <c r="G13" s="338"/>
      <c r="H13" s="338"/>
      <c r="I13" s="338"/>
      <c r="J13" s="338"/>
      <c r="K13" s="338"/>
    </row>
    <row r="14" spans="1:16" ht="43.5" customHeight="1">
      <c r="A14" s="1685"/>
      <c r="B14" s="1685"/>
      <c r="C14" s="1685"/>
      <c r="D14" s="1685"/>
      <c r="E14" s="1685"/>
      <c r="F14" s="1685"/>
      <c r="G14" s="1685"/>
      <c r="H14" s="1685"/>
      <c r="I14" s="1685"/>
      <c r="J14" s="1685"/>
      <c r="K14" s="1685"/>
    </row>
    <row r="15" spans="1:16" ht="31.5" customHeight="1">
      <c r="A15" s="1686" t="str">
        <f>J2</f>
        <v xml:space="preserve">2026.10.   </v>
      </c>
      <c r="B15" s="1686"/>
      <c r="C15" s="1686"/>
      <c r="D15" s="1686"/>
      <c r="E15" s="1686"/>
      <c r="F15" s="1686"/>
      <c r="G15" s="1686"/>
      <c r="H15" s="1686"/>
      <c r="I15" s="1686"/>
      <c r="J15" s="1686"/>
      <c r="K15" s="1686"/>
    </row>
    <row r="16" spans="1:16" ht="84.75" customHeight="1">
      <c r="A16" s="339"/>
      <c r="B16" s="339"/>
      <c r="C16" s="339"/>
      <c r="D16" s="339"/>
      <c r="E16" s="340"/>
      <c r="F16" s="339"/>
      <c r="G16" s="339"/>
      <c r="H16" s="341"/>
      <c r="I16" s="339"/>
      <c r="J16" s="339"/>
      <c r="K16" s="339"/>
      <c r="P16" s="340"/>
    </row>
    <row r="17" spans="1:16" ht="58.5" customHeight="1">
      <c r="A17" s="1681" t="s">
        <v>2001</v>
      </c>
      <c r="B17" s="1681"/>
      <c r="C17" s="1681"/>
      <c r="D17" s="1681"/>
      <c r="E17" s="1681"/>
      <c r="F17" s="1681"/>
      <c r="G17" s="1681"/>
      <c r="H17" s="1681"/>
      <c r="I17" s="1681"/>
      <c r="J17" s="1681"/>
      <c r="K17" s="1681"/>
    </row>
    <row r="18" spans="1:16" ht="18.75" hidden="1" customHeight="1">
      <c r="A18" s="1681"/>
      <c r="B18" s="1681"/>
      <c r="C18" s="1681"/>
      <c r="D18" s="1681"/>
      <c r="E18" s="1681"/>
      <c r="F18" s="1681"/>
      <c r="G18" s="1681"/>
      <c r="H18" s="1681"/>
      <c r="I18" s="1681"/>
      <c r="J18" s="1681"/>
      <c r="K18" s="1681"/>
    </row>
    <row r="19" spans="1:16">
      <c r="A19" s="1681"/>
      <c r="B19" s="1681"/>
      <c r="C19" s="1681"/>
      <c r="D19" s="1681"/>
      <c r="E19" s="1681"/>
      <c r="F19" s="1681"/>
      <c r="G19" s="1681"/>
      <c r="H19" s="1681"/>
      <c r="I19" s="1681"/>
      <c r="J19" s="1681"/>
      <c r="K19" s="1681"/>
    </row>
    <row r="20" spans="1:16" ht="18.75">
      <c r="A20" s="336"/>
      <c r="B20" s="336"/>
      <c r="C20" s="336"/>
      <c r="D20" s="336"/>
      <c r="E20" s="336"/>
      <c r="F20" s="336"/>
      <c r="G20" s="336"/>
      <c r="H20" s="336"/>
      <c r="I20" s="336"/>
      <c r="J20" s="336"/>
      <c r="K20" s="336"/>
    </row>
    <row r="21" spans="1:16" ht="24.75" customHeight="1">
      <c r="A21" s="1689" t="s">
        <v>502</v>
      </c>
      <c r="B21" s="1689"/>
      <c r="C21" s="1689" t="str">
        <f>J2</f>
        <v xml:space="preserve">2026.10.   </v>
      </c>
      <c r="D21" s="1689" t="s">
        <v>503</v>
      </c>
      <c r="E21" s="1689"/>
      <c r="F21" s="1689" t="s">
        <v>2035</v>
      </c>
      <c r="G21" s="1689"/>
      <c r="H21" s="1689" t="s">
        <v>2034</v>
      </c>
      <c r="I21" s="1689"/>
      <c r="J21" s="1694" t="s">
        <v>2036</v>
      </c>
      <c r="K21" s="1695"/>
      <c r="O21" s="341"/>
    </row>
    <row r="22" spans="1:16" ht="13.5" customHeight="1">
      <c r="A22" s="1689"/>
      <c r="B22" s="1689"/>
      <c r="C22" s="1689"/>
      <c r="D22" s="1693"/>
      <c r="E22" s="1693"/>
      <c r="F22" s="1693"/>
      <c r="G22" s="1693"/>
      <c r="H22" s="1693"/>
      <c r="I22" s="1693"/>
      <c r="J22" s="1696"/>
      <c r="K22" s="1697"/>
    </row>
    <row r="23" spans="1:16" ht="13.5" customHeight="1">
      <c r="A23" s="1689"/>
      <c r="B23" s="1689"/>
      <c r="C23" s="1689"/>
      <c r="D23" s="1693"/>
      <c r="E23" s="1693"/>
      <c r="F23" s="1693"/>
      <c r="G23" s="1693"/>
      <c r="H23" s="1693"/>
      <c r="I23" s="1693"/>
      <c r="J23" s="1696"/>
      <c r="K23" s="1697"/>
    </row>
    <row r="24" spans="1:16" ht="13.5" customHeight="1">
      <c r="A24" s="1689"/>
      <c r="B24" s="1689"/>
      <c r="C24" s="1689"/>
      <c r="D24" s="1693"/>
      <c r="E24" s="1693"/>
      <c r="F24" s="1693"/>
      <c r="G24" s="1693"/>
      <c r="H24" s="1693"/>
      <c r="I24" s="1693"/>
      <c r="J24" s="1696"/>
      <c r="K24" s="1697"/>
      <c r="P24" s="341"/>
    </row>
    <row r="25" spans="1:16" ht="13.5" customHeight="1">
      <c r="A25" s="1689"/>
      <c r="B25" s="1689"/>
      <c r="C25" s="1689"/>
      <c r="D25" s="1693"/>
      <c r="E25" s="1693"/>
      <c r="F25" s="1693"/>
      <c r="G25" s="1693"/>
      <c r="H25" s="1693"/>
      <c r="I25" s="1693"/>
      <c r="J25" s="1696"/>
      <c r="K25" s="1697"/>
    </row>
    <row r="26" spans="1:16" ht="13.5" customHeight="1">
      <c r="A26" s="1689"/>
      <c r="B26" s="1689"/>
      <c r="C26" s="1689"/>
      <c r="D26" s="1693"/>
      <c r="E26" s="1693"/>
      <c r="F26" s="1693"/>
      <c r="G26" s="1693"/>
      <c r="H26" s="1693"/>
      <c r="I26" s="1693"/>
      <c r="J26" s="1698"/>
      <c r="K26" s="1699"/>
      <c r="P26" s="341"/>
    </row>
    <row r="27" spans="1:16" ht="15" customHeight="1">
      <c r="A27" s="342"/>
      <c r="B27" s="343"/>
      <c r="C27" s="336"/>
      <c r="D27" s="336"/>
      <c r="E27" s="336"/>
      <c r="F27" s="336"/>
      <c r="G27" s="336"/>
      <c r="H27" s="336"/>
      <c r="I27" s="336"/>
      <c r="J27" s="336"/>
      <c r="K27" s="344"/>
    </row>
    <row r="28" spans="1:16" ht="15" hidden="1" customHeight="1">
      <c r="A28" s="342"/>
      <c r="B28" s="343"/>
      <c r="C28" s="336"/>
      <c r="D28" s="336"/>
      <c r="E28" s="336"/>
      <c r="F28" s="336"/>
      <c r="G28" s="336"/>
      <c r="H28" s="336"/>
      <c r="I28" s="336"/>
      <c r="J28" s="336"/>
      <c r="K28" s="344"/>
    </row>
    <row r="29" spans="1:16" ht="15" hidden="1" customHeight="1">
      <c r="A29" s="342"/>
      <c r="B29" s="343"/>
      <c r="C29" s="336"/>
      <c r="D29" s="336"/>
      <c r="E29" s="336"/>
      <c r="F29" s="336"/>
      <c r="G29" s="336"/>
      <c r="H29" s="336"/>
      <c r="I29" s="336"/>
      <c r="J29" s="336"/>
      <c r="K29" s="344"/>
    </row>
    <row r="30" spans="1:16" ht="15" hidden="1" customHeight="1">
      <c r="A30" s="342"/>
      <c r="B30" s="343"/>
      <c r="C30" s="336"/>
      <c r="D30" s="336"/>
      <c r="E30" s="336"/>
      <c r="F30" s="336"/>
      <c r="G30" s="336"/>
      <c r="H30" s="336"/>
      <c r="I30" s="336"/>
      <c r="J30" s="336"/>
      <c r="K30" s="344"/>
    </row>
    <row r="31" spans="1:16" ht="15" hidden="1" customHeight="1">
      <c r="A31" s="1690" t="str">
        <f>"⊙ 용 역 명 : "&amp;C2</f>
        <v>⊙ 용 역 명 : 통복천 유역 침수방지대책 타당성 조사 및 기본계획 수립 용역</v>
      </c>
      <c r="B31" s="1691"/>
      <c r="C31" s="1691"/>
      <c r="D31" s="1691"/>
      <c r="E31" s="1691"/>
      <c r="F31" s="1691"/>
      <c r="G31" s="1691"/>
      <c r="H31" s="1691"/>
      <c r="I31" s="1691"/>
      <c r="J31" s="1691"/>
      <c r="K31" s="1692"/>
    </row>
    <row r="32" spans="1:16" ht="15" customHeight="1">
      <c r="A32" s="1690"/>
      <c r="B32" s="1691"/>
      <c r="C32" s="1691"/>
      <c r="D32" s="1691"/>
      <c r="E32" s="1691"/>
      <c r="F32" s="1691"/>
      <c r="G32" s="1691"/>
      <c r="H32" s="1691"/>
      <c r="I32" s="1691"/>
      <c r="J32" s="1691"/>
      <c r="K32" s="1692"/>
    </row>
    <row r="33" spans="1:18" ht="15" customHeight="1">
      <c r="A33" s="1690"/>
      <c r="B33" s="1691"/>
      <c r="C33" s="1691"/>
      <c r="D33" s="1691"/>
      <c r="E33" s="1691"/>
      <c r="F33" s="1691"/>
      <c r="G33" s="1691"/>
      <c r="H33" s="1691"/>
      <c r="I33" s="1691"/>
      <c r="J33" s="1691"/>
      <c r="K33" s="1692"/>
    </row>
    <row r="34" spans="1:18" ht="21" customHeight="1">
      <c r="A34" s="1690"/>
      <c r="B34" s="1691"/>
      <c r="C34" s="1691"/>
      <c r="D34" s="1691"/>
      <c r="E34" s="1691"/>
      <c r="F34" s="1691"/>
      <c r="G34" s="1691"/>
      <c r="H34" s="1691"/>
      <c r="I34" s="1691"/>
      <c r="J34" s="1691"/>
      <c r="K34" s="1692"/>
    </row>
    <row r="35" spans="1:18" ht="21.95" customHeight="1">
      <c r="A35" s="345"/>
      <c r="B35" s="346" t="s">
        <v>504</v>
      </c>
      <c r="C35" s="336" t="s">
        <v>2031</v>
      </c>
      <c r="D35" s="347"/>
      <c r="F35" s="348"/>
      <c r="G35" s="348"/>
      <c r="H35" s="348"/>
      <c r="I35" s="348"/>
      <c r="J35" s="348"/>
      <c r="K35" s="349"/>
    </row>
    <row r="36" spans="1:18" ht="21.95" customHeight="1">
      <c r="A36" s="345"/>
      <c r="B36" s="346"/>
      <c r="C36" s="336"/>
      <c r="D36" s="347"/>
      <c r="F36" s="348"/>
      <c r="G36" s="348"/>
      <c r="H36" s="348"/>
      <c r="I36" s="348"/>
      <c r="J36" s="348"/>
      <c r="K36" s="349"/>
    </row>
    <row r="37" spans="1:18" ht="21.95" customHeight="1">
      <c r="A37" s="345"/>
      <c r="B37" s="346"/>
      <c r="C37" s="336"/>
      <c r="D37" s="347"/>
      <c r="F37" s="348"/>
      <c r="G37" s="348"/>
      <c r="H37" s="348"/>
      <c r="I37" s="348"/>
      <c r="J37" s="348"/>
      <c r="K37" s="349"/>
    </row>
    <row r="38" spans="1:18" ht="21.95" customHeight="1">
      <c r="A38" s="345"/>
      <c r="B38" s="346"/>
      <c r="C38" s="336"/>
      <c r="D38" s="347"/>
      <c r="F38" s="348"/>
      <c r="G38" s="348"/>
      <c r="H38" s="348"/>
      <c r="I38" s="348"/>
      <c r="J38" s="348"/>
      <c r="K38" s="349"/>
    </row>
    <row r="39" spans="1:18" ht="21.95" customHeight="1">
      <c r="A39" s="345"/>
      <c r="B39" s="346"/>
      <c r="C39" s="336"/>
      <c r="D39" s="347"/>
      <c r="E39" s="336"/>
      <c r="F39" s="348"/>
      <c r="G39" s="348"/>
      <c r="H39" s="348"/>
      <c r="I39" s="348"/>
      <c r="J39" s="348"/>
      <c r="K39" s="349"/>
    </row>
    <row r="40" spans="1:18" ht="21.95" customHeight="1">
      <c r="A40" s="345"/>
      <c r="B40" s="346"/>
      <c r="D40" s="347"/>
      <c r="F40" s="348"/>
      <c r="G40" s="348"/>
      <c r="H40" s="348"/>
      <c r="I40" s="348"/>
      <c r="J40" s="348"/>
      <c r="K40" s="349"/>
    </row>
    <row r="41" spans="1:18" ht="21.95" customHeight="1">
      <c r="A41" s="345"/>
      <c r="B41" s="346"/>
      <c r="C41" s="336"/>
      <c r="D41" s="347"/>
      <c r="F41" s="348"/>
      <c r="G41" s="348"/>
      <c r="H41" s="348"/>
      <c r="I41" s="348"/>
      <c r="J41" s="348"/>
      <c r="K41" s="349"/>
    </row>
    <row r="42" spans="1:18" ht="21.75" customHeight="1">
      <c r="A42" s="345"/>
      <c r="B42" s="346"/>
      <c r="C42" s="336"/>
      <c r="D42" s="347"/>
      <c r="E42" s="348"/>
      <c r="F42" s="348"/>
      <c r="G42" s="348"/>
      <c r="H42" s="348"/>
      <c r="I42" s="348"/>
      <c r="J42" s="348"/>
      <c r="K42" s="349"/>
      <c r="Q42" s="333"/>
      <c r="R42" s="333"/>
    </row>
    <row r="43" spans="1:18" ht="49.5" customHeight="1">
      <c r="A43" s="345"/>
      <c r="B43" s="346" t="s">
        <v>505</v>
      </c>
      <c r="C43" s="336" t="str">
        <f>"금"&amp;TEXT((G44),"0,000")&amp;"원"&amp;"(금"&amp;NUMBERSTRING((G44),1)&amp;"원)"</f>
        <v>금370,865,000원(금삼억칠천팔십육만오천원)</v>
      </c>
      <c r="D43" s="348"/>
      <c r="E43" s="348"/>
      <c r="F43" s="348"/>
      <c r="G43" s="348"/>
      <c r="H43" s="348"/>
      <c r="I43" s="348"/>
      <c r="J43" s="348"/>
      <c r="K43" s="349"/>
      <c r="M43" s="350"/>
    </row>
    <row r="44" spans="1:18" ht="30" customHeight="1">
      <c r="A44" s="342"/>
      <c r="B44" s="351"/>
      <c r="C44" s="336"/>
      <c r="D44" s="352"/>
      <c r="E44" s="1687" t="s">
        <v>506</v>
      </c>
      <c r="F44" s="1687"/>
      <c r="G44" s="1688">
        <f>내역서!I6</f>
        <v>370865000</v>
      </c>
      <c r="H44" s="1688"/>
      <c r="I44" s="1688"/>
      <c r="J44" s="348"/>
      <c r="K44" s="344"/>
      <c r="M44" s="350"/>
    </row>
    <row r="45" spans="1:18" ht="30" customHeight="1">
      <c r="A45" s="342"/>
      <c r="B45" s="351"/>
      <c r="C45" s="336"/>
      <c r="D45" s="352"/>
      <c r="E45" s="1687" t="s">
        <v>507</v>
      </c>
      <c r="F45" s="1687"/>
      <c r="G45" s="1688">
        <f>내역서!I14</f>
        <v>337150000</v>
      </c>
      <c r="H45" s="1688"/>
      <c r="I45" s="1688"/>
      <c r="J45" s="348"/>
      <c r="K45" s="344"/>
      <c r="M45" s="350"/>
    </row>
    <row r="46" spans="1:18" ht="30" customHeight="1">
      <c r="A46" s="342"/>
      <c r="B46" s="336"/>
      <c r="C46" s="353"/>
      <c r="D46" s="352"/>
      <c r="E46" s="1687" t="s">
        <v>508</v>
      </c>
      <c r="F46" s="1687"/>
      <c r="G46" s="1688">
        <f>내역서!I15</f>
        <v>33715000</v>
      </c>
      <c r="H46" s="1688"/>
      <c r="I46" s="1688"/>
      <c r="J46" s="348"/>
      <c r="K46" s="344"/>
      <c r="M46" s="350">
        <f>M43-M45</f>
        <v>0</v>
      </c>
    </row>
    <row r="47" spans="1:18" ht="21.95" customHeight="1">
      <c r="A47" s="354"/>
      <c r="B47" s="355"/>
      <c r="C47" s="356"/>
      <c r="D47" s="357"/>
      <c r="E47" s="357"/>
      <c r="F47" s="357"/>
      <c r="G47" s="358"/>
      <c r="H47" s="359"/>
      <c r="I47" s="359"/>
      <c r="J47" s="360"/>
      <c r="K47" s="361"/>
    </row>
  </sheetData>
  <mergeCells count="22">
    <mergeCell ref="E46:F46"/>
    <mergeCell ref="G46:I46"/>
    <mergeCell ref="A21:B26"/>
    <mergeCell ref="C21:C26"/>
    <mergeCell ref="D21:E21"/>
    <mergeCell ref="F21:G21"/>
    <mergeCell ref="H21:I21"/>
    <mergeCell ref="A31:K34"/>
    <mergeCell ref="E44:F44"/>
    <mergeCell ref="G44:I44"/>
    <mergeCell ref="E45:F45"/>
    <mergeCell ref="G45:I45"/>
    <mergeCell ref="D22:E26"/>
    <mergeCell ref="F22:G26"/>
    <mergeCell ref="H22:I26"/>
    <mergeCell ref="J21:K26"/>
    <mergeCell ref="A17:K19"/>
    <mergeCell ref="A3:C4"/>
    <mergeCell ref="A5:B5"/>
    <mergeCell ref="A6:K9"/>
    <mergeCell ref="A14:K14"/>
    <mergeCell ref="A15:K15"/>
  </mergeCells>
  <phoneticPr fontId="181" type="noConversion"/>
  <printOptions horizontalCentered="1" verticalCentered="1"/>
  <pageMargins left="0.74803149606299213" right="0.55118110236220474" top="0.6692913385826772" bottom="0.59055118110236227" header="0.51181102362204722" footer="0.51181102362204722"/>
  <pageSetup paperSize="9" scale="95" orientation="landscape" r:id="rId1"/>
  <headerFooter alignWithMargins="0"/>
  <rowBreaks count="1" manualBreakCount="1">
    <brk id="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">
    <tabColor rgb="FFFFFF00"/>
  </sheetPr>
  <dimension ref="A1:W16"/>
  <sheetViews>
    <sheetView showGridLines="0" view="pageBreakPreview" zoomScaleNormal="100" zoomScaleSheetLayoutView="100" workbookViewId="0">
      <selection activeCell="F19" sqref="F19"/>
    </sheetView>
  </sheetViews>
  <sheetFormatPr defaultColWidth="8.88671875" defaultRowHeight="12"/>
  <cols>
    <col min="1" max="3" width="2.5546875" style="15" customWidth="1"/>
    <col min="4" max="4" width="18.109375" style="15" customWidth="1"/>
    <col min="5" max="5" width="6.5546875" style="15" customWidth="1"/>
    <col min="6" max="6" width="5.44140625" style="14" customWidth="1"/>
    <col min="7" max="7" width="3.88671875" style="13" customWidth="1"/>
    <col min="8" max="8" width="10.77734375" style="12" bestFit="1" customWidth="1"/>
    <col min="9" max="11" width="11.6640625" style="15" bestFit="1" customWidth="1"/>
    <col min="12" max="14" width="9.77734375" style="15" customWidth="1"/>
    <col min="15" max="15" width="11.109375" style="15" customWidth="1"/>
    <col min="16" max="16" width="12.88671875" style="14" bestFit="1" customWidth="1"/>
    <col min="17" max="17" width="3" style="1" customWidth="1"/>
    <col min="18" max="18" width="11.77734375" style="1" bestFit="1" customWidth="1"/>
    <col min="19" max="20" width="11.21875" style="1" customWidth="1"/>
    <col min="21" max="21" width="12.5546875" style="1" bestFit="1" customWidth="1"/>
    <col min="22" max="23" width="17.44140625" style="1" bestFit="1" customWidth="1"/>
    <col min="24" max="24" width="4.6640625" style="1" bestFit="1" customWidth="1"/>
    <col min="25" max="25" width="17.44140625" style="1" bestFit="1" customWidth="1"/>
    <col min="26" max="27" width="15.44140625" style="1" bestFit="1" customWidth="1"/>
    <col min="28" max="28" width="17.44140625" style="1" bestFit="1" customWidth="1"/>
    <col min="29" max="16384" width="8.88671875" style="1"/>
  </cols>
  <sheetData>
    <row r="1" spans="1:23" s="4" customFormat="1" ht="8.1" customHeight="1">
      <c r="A1" s="15"/>
      <c r="B1" s="15"/>
      <c r="C1" s="15"/>
      <c r="D1" s="15"/>
      <c r="E1" s="15"/>
      <c r="F1" s="20"/>
      <c r="G1" s="19"/>
      <c r="H1" s="18"/>
      <c r="I1" s="15"/>
      <c r="J1" s="15"/>
      <c r="K1" s="15"/>
      <c r="L1" s="15"/>
      <c r="M1" s="15"/>
      <c r="N1" s="15"/>
      <c r="O1" s="15"/>
      <c r="P1" s="20"/>
    </row>
    <row r="2" spans="1:23" s="1319" customFormat="1" ht="20.100000000000001" customHeight="1">
      <c r="A2" s="1705" t="s">
        <v>144</v>
      </c>
      <c r="B2" s="1705"/>
      <c r="C2" s="1705"/>
      <c r="D2" s="1705"/>
      <c r="E2" s="1705"/>
      <c r="F2" s="1705"/>
      <c r="G2" s="1705"/>
      <c r="H2" s="1705"/>
      <c r="I2" s="1705"/>
      <c r="J2" s="1705"/>
      <c r="K2" s="1705"/>
      <c r="L2" s="1705"/>
      <c r="M2" s="1705"/>
      <c r="N2" s="1705"/>
      <c r="O2" s="1705"/>
      <c r="P2" s="1705"/>
    </row>
    <row r="3" spans="1:23" s="4" customFormat="1" ht="8.1" customHeight="1">
      <c r="A3" s="15"/>
      <c r="B3" s="15"/>
      <c r="C3" s="15"/>
      <c r="D3" s="11"/>
      <c r="E3" s="15"/>
      <c r="F3" s="20"/>
      <c r="G3" s="19"/>
      <c r="H3" s="18"/>
      <c r="I3" s="15"/>
      <c r="J3" s="15"/>
      <c r="K3" s="15"/>
      <c r="L3" s="15"/>
      <c r="M3" s="15"/>
      <c r="N3" s="15"/>
      <c r="O3" s="15"/>
      <c r="P3" s="17" t="s">
        <v>82</v>
      </c>
    </row>
    <row r="4" spans="1:23" s="4" customFormat="1" ht="21" customHeight="1">
      <c r="A4" s="1706" t="s">
        <v>138</v>
      </c>
      <c r="B4" s="1706"/>
      <c r="C4" s="1706"/>
      <c r="D4" s="1706" t="s">
        <v>111</v>
      </c>
      <c r="E4" s="1706" t="s">
        <v>34</v>
      </c>
      <c r="F4" s="1706" t="s">
        <v>35</v>
      </c>
      <c r="G4" s="1706" t="s">
        <v>49</v>
      </c>
      <c r="H4" s="16" t="s">
        <v>80</v>
      </c>
      <c r="I4" s="16"/>
      <c r="J4" s="16" t="s">
        <v>113</v>
      </c>
      <c r="K4" s="16"/>
      <c r="L4" s="16" t="s">
        <v>83</v>
      </c>
      <c r="M4" s="16"/>
      <c r="N4" s="16" t="s">
        <v>84</v>
      </c>
      <c r="O4" s="16"/>
      <c r="P4" s="1706" t="s">
        <v>143</v>
      </c>
    </row>
    <row r="5" spans="1:23" s="4" customFormat="1" ht="21" customHeight="1">
      <c r="A5" s="1706"/>
      <c r="B5" s="1706"/>
      <c r="C5" s="1706"/>
      <c r="D5" s="1706"/>
      <c r="E5" s="1706"/>
      <c r="F5" s="1706"/>
      <c r="G5" s="1706"/>
      <c r="H5" s="35" t="s">
        <v>137</v>
      </c>
      <c r="I5" s="35" t="s">
        <v>142</v>
      </c>
      <c r="J5" s="35" t="s">
        <v>137</v>
      </c>
      <c r="K5" s="35" t="s">
        <v>142</v>
      </c>
      <c r="L5" s="35" t="s">
        <v>137</v>
      </c>
      <c r="M5" s="35" t="s">
        <v>142</v>
      </c>
      <c r="N5" s="35" t="s">
        <v>137</v>
      </c>
      <c r="O5" s="35" t="s">
        <v>142</v>
      </c>
      <c r="P5" s="1706"/>
    </row>
    <row r="6" spans="1:23" s="4" customFormat="1" ht="25.15" customHeight="1">
      <c r="A6" s="1702" t="s">
        <v>2032</v>
      </c>
      <c r="B6" s="1703"/>
      <c r="C6" s="1703"/>
      <c r="D6" s="1703"/>
      <c r="E6" s="1703"/>
      <c r="F6" s="1703"/>
      <c r="G6" s="1704"/>
      <c r="H6" s="1650"/>
      <c r="I6" s="1651">
        <f>SUM(I14,I15)</f>
        <v>370865000</v>
      </c>
      <c r="J6" s="1650"/>
      <c r="K6" s="1651"/>
      <c r="L6" s="1650"/>
      <c r="M6" s="1651"/>
      <c r="N6" s="1650"/>
      <c r="O6" s="1651"/>
      <c r="P6" s="1650"/>
      <c r="V6" s="1662"/>
    </row>
    <row r="7" spans="1:23" s="4" customFormat="1" ht="25.15" customHeight="1">
      <c r="A7" s="35" t="s">
        <v>43</v>
      </c>
      <c r="B7" s="1701" t="s">
        <v>2025</v>
      </c>
      <c r="C7" s="1701"/>
      <c r="D7" s="1701"/>
      <c r="E7" s="35"/>
      <c r="F7" s="35"/>
      <c r="G7" s="35"/>
      <c r="H7" s="1652"/>
      <c r="I7" s="1652">
        <f t="shared" ref="I7:I11" si="0">K7+M7+O7</f>
        <v>334651854</v>
      </c>
      <c r="J7" s="1652"/>
      <c r="K7" s="1652">
        <f>TRUNC(SUM(K8:K11),0)</f>
        <v>132441212</v>
      </c>
      <c r="L7" s="1652"/>
      <c r="M7" s="1652">
        <f>TRUNC(SUM(M8:M11),0)</f>
        <v>0</v>
      </c>
      <c r="N7" s="1652"/>
      <c r="O7" s="1652">
        <f>TRUNC(SUM(O8:O11),0)</f>
        <v>202210642</v>
      </c>
      <c r="P7" s="1653"/>
      <c r="R7" s="1661"/>
      <c r="S7" s="1661"/>
      <c r="T7" s="1661"/>
      <c r="V7" s="1663"/>
      <c r="W7" s="1664"/>
    </row>
    <row r="8" spans="1:23" s="4" customFormat="1" ht="21" customHeight="1">
      <c r="A8" s="1653"/>
      <c r="B8" s="1653">
        <v>1</v>
      </c>
      <c r="C8" s="1700" t="s">
        <v>160</v>
      </c>
      <c r="D8" s="1700"/>
      <c r="E8" s="1653"/>
      <c r="F8" s="1653">
        <v>1</v>
      </c>
      <c r="G8" s="1653" t="s">
        <v>56</v>
      </c>
      <c r="H8" s="1654">
        <f>SUM(L8,J8,N8)</f>
        <v>132441212</v>
      </c>
      <c r="I8" s="1655">
        <f t="shared" si="0"/>
        <v>132441212</v>
      </c>
      <c r="J8" s="1655">
        <f>'1.기본계획'!K4</f>
        <v>132441212</v>
      </c>
      <c r="K8" s="1654">
        <f>INT(J8*F8)</f>
        <v>132441212</v>
      </c>
      <c r="L8" s="1655"/>
      <c r="M8" s="1654">
        <f>TRUNC(F8*L8,)</f>
        <v>0</v>
      </c>
      <c r="N8" s="1655">
        <v>0</v>
      </c>
      <c r="O8" s="1654">
        <f>TRUNC(F8*N8,)</f>
        <v>0</v>
      </c>
      <c r="P8" s="1653"/>
      <c r="V8" s="1665"/>
      <c r="W8" s="1664"/>
    </row>
    <row r="9" spans="1:23" s="4" customFormat="1" ht="21" customHeight="1">
      <c r="A9" s="1653"/>
      <c r="B9" s="1653">
        <v>2</v>
      </c>
      <c r="C9" s="1700" t="s">
        <v>141</v>
      </c>
      <c r="D9" s="1700"/>
      <c r="E9" s="1653"/>
      <c r="F9" s="1653">
        <v>1</v>
      </c>
      <c r="G9" s="1653" t="s">
        <v>56</v>
      </c>
      <c r="H9" s="1654">
        <f>SUM(L9,J9,N9)</f>
        <v>900000</v>
      </c>
      <c r="I9" s="1655">
        <f t="shared" si="0"/>
        <v>900000</v>
      </c>
      <c r="J9" s="1655">
        <f>'1.기본계획'!K33</f>
        <v>0</v>
      </c>
      <c r="K9" s="1654">
        <f>INT(J9*F9)</f>
        <v>0</v>
      </c>
      <c r="L9" s="1655"/>
      <c r="M9" s="1654">
        <f>TRUNC(F9*L9,)</f>
        <v>0</v>
      </c>
      <c r="N9" s="1655">
        <f>'1.기본계획'!M33</f>
        <v>900000</v>
      </c>
      <c r="O9" s="1654">
        <f>TRUNC(F9*N9,)</f>
        <v>900000</v>
      </c>
      <c r="P9" s="1653"/>
      <c r="V9" s="1665"/>
      <c r="W9" s="1664"/>
    </row>
    <row r="10" spans="1:23" s="4" customFormat="1" ht="21" customHeight="1">
      <c r="A10" s="1653"/>
      <c r="B10" s="1653">
        <v>3</v>
      </c>
      <c r="C10" s="1700" t="s">
        <v>32</v>
      </c>
      <c r="D10" s="1700"/>
      <c r="E10" s="1653" t="s">
        <v>44</v>
      </c>
      <c r="F10" s="1656">
        <v>1.1000000000000001</v>
      </c>
      <c r="G10" s="1653"/>
      <c r="H10" s="1654"/>
      <c r="I10" s="1655">
        <f t="shared" si="0"/>
        <v>145685333.20000002</v>
      </c>
      <c r="J10" s="1655"/>
      <c r="K10" s="1654"/>
      <c r="L10" s="1655"/>
      <c r="M10" s="1654"/>
      <c r="N10" s="1655"/>
      <c r="O10" s="1654">
        <f>K7*F10</f>
        <v>145685333.20000002</v>
      </c>
      <c r="P10" s="1653"/>
      <c r="V10" s="1663"/>
      <c r="W10" s="1664"/>
    </row>
    <row r="11" spans="1:23" s="4" customFormat="1" ht="21" customHeight="1">
      <c r="A11" s="1653"/>
      <c r="B11" s="1653">
        <v>4</v>
      </c>
      <c r="C11" s="1700" t="s">
        <v>33</v>
      </c>
      <c r="D11" s="1700"/>
      <c r="E11" s="1657" t="s">
        <v>162</v>
      </c>
      <c r="F11" s="1656">
        <v>0.2</v>
      </c>
      <c r="G11" s="1653"/>
      <c r="H11" s="1654"/>
      <c r="I11" s="1655">
        <f t="shared" si="0"/>
        <v>55625309.040000014</v>
      </c>
      <c r="J11" s="1655"/>
      <c r="K11" s="1654"/>
      <c r="L11" s="1655"/>
      <c r="M11" s="1654"/>
      <c r="N11" s="1655"/>
      <c r="O11" s="1654">
        <f>(K7+O10)*F11</f>
        <v>55625309.040000014</v>
      </c>
      <c r="P11" s="1653"/>
      <c r="R11" s="5"/>
      <c r="V11" s="1663"/>
    </row>
    <row r="12" spans="1:23" s="4" customFormat="1" ht="25.15" customHeight="1">
      <c r="A12" s="35" t="s">
        <v>468</v>
      </c>
      <c r="B12" s="1701" t="s">
        <v>169</v>
      </c>
      <c r="C12" s="1701"/>
      <c r="D12" s="1701"/>
      <c r="E12" s="35"/>
      <c r="F12" s="1659"/>
      <c r="G12" s="35"/>
      <c r="H12" s="1652"/>
      <c r="I12" s="1652">
        <f t="shared" ref="I12" si="1">K12+M12+O12</f>
        <v>2500000</v>
      </c>
      <c r="J12" s="1652"/>
      <c r="K12" s="1652">
        <f>SUM(K13:K13)</f>
        <v>0</v>
      </c>
      <c r="L12" s="1652"/>
      <c r="M12" s="1652">
        <f>SUM(M13:M13)</f>
        <v>0</v>
      </c>
      <c r="N12" s="1652"/>
      <c r="O12" s="1652">
        <f>SUM(O13:O13)</f>
        <v>2500000</v>
      </c>
      <c r="P12" s="1653"/>
    </row>
    <row r="13" spans="1:23" s="4" customFormat="1" ht="21" customHeight="1">
      <c r="A13" s="35"/>
      <c r="B13" s="1653">
        <v>1</v>
      </c>
      <c r="C13" s="1700" t="s">
        <v>495</v>
      </c>
      <c r="D13" s="1700"/>
      <c r="E13" s="1653"/>
      <c r="F13" s="1658">
        <v>1</v>
      </c>
      <c r="G13" s="1653" t="s">
        <v>214</v>
      </c>
      <c r="H13" s="1652"/>
      <c r="I13" s="1652"/>
      <c r="J13" s="1652"/>
      <c r="K13" s="1652"/>
      <c r="L13" s="1652"/>
      <c r="M13" s="1652"/>
      <c r="N13" s="1652">
        <f>'산근2(공제요율-엔지니어링)'!K24</f>
        <v>2500000</v>
      </c>
      <c r="O13" s="1652">
        <f t="shared" ref="O13" si="2">N13*F13</f>
        <v>2500000</v>
      </c>
      <c r="P13" s="1653"/>
    </row>
    <row r="14" spans="1:23" s="4" customFormat="1" ht="25.15" customHeight="1">
      <c r="A14" s="35" t="s">
        <v>372</v>
      </c>
      <c r="B14" s="1701" t="s">
        <v>2029</v>
      </c>
      <c r="C14" s="1701"/>
      <c r="D14" s="1701"/>
      <c r="E14" s="35"/>
      <c r="F14" s="1659">
        <v>1</v>
      </c>
      <c r="G14" s="35" t="s">
        <v>56</v>
      </c>
      <c r="H14" s="1652"/>
      <c r="I14" s="1652">
        <f>ROUND(K14+M14+O14,-4)</f>
        <v>337150000</v>
      </c>
      <c r="J14" s="1652"/>
      <c r="K14" s="1652">
        <f>K7+K12</f>
        <v>132441212</v>
      </c>
      <c r="L14" s="1652"/>
      <c r="M14" s="1652">
        <f>M7+M12</f>
        <v>0</v>
      </c>
      <c r="N14" s="1652"/>
      <c r="O14" s="1652">
        <f>O7+O12</f>
        <v>204710642</v>
      </c>
      <c r="P14" s="35"/>
    </row>
    <row r="15" spans="1:23" s="4" customFormat="1" ht="25.15" customHeight="1">
      <c r="A15" s="35" t="s">
        <v>1276</v>
      </c>
      <c r="B15" s="1701" t="s">
        <v>149</v>
      </c>
      <c r="C15" s="1701"/>
      <c r="D15" s="1701"/>
      <c r="E15" s="35"/>
      <c r="F15" s="1656">
        <v>0.1</v>
      </c>
      <c r="G15" s="35"/>
      <c r="H15" s="1652"/>
      <c r="I15" s="1652">
        <f>TRUNC(I14*F15,0)</f>
        <v>33715000</v>
      </c>
      <c r="J15" s="1652"/>
      <c r="K15" s="1660"/>
      <c r="L15" s="1660"/>
      <c r="M15" s="1660"/>
      <c r="N15" s="1660"/>
      <c r="O15" s="1660"/>
      <c r="P15" s="1653"/>
    </row>
    <row r="16" spans="1:23" s="2" customFormat="1" ht="24" customHeight="1">
      <c r="A16" s="9"/>
      <c r="B16" s="9"/>
      <c r="C16" s="9"/>
      <c r="D16" s="9"/>
      <c r="E16" s="9"/>
      <c r="F16" s="8"/>
      <c r="G16" s="7"/>
      <c r="H16" s="6"/>
      <c r="I16" s="6"/>
      <c r="J16" s="6"/>
      <c r="K16" s="6"/>
      <c r="L16" s="6"/>
      <c r="M16" s="6"/>
      <c r="N16" s="6"/>
      <c r="O16" s="6"/>
      <c r="P16" s="10"/>
    </row>
  </sheetData>
  <mergeCells count="17">
    <mergeCell ref="A6:G6"/>
    <mergeCell ref="B7:D7"/>
    <mergeCell ref="C8:D8"/>
    <mergeCell ref="C10:D10"/>
    <mergeCell ref="A2:P2"/>
    <mergeCell ref="A4:C5"/>
    <mergeCell ref="D4:D5"/>
    <mergeCell ref="E4:E5"/>
    <mergeCell ref="F4:F5"/>
    <mergeCell ref="G4:G5"/>
    <mergeCell ref="P4:P5"/>
    <mergeCell ref="C11:D11"/>
    <mergeCell ref="C9:D9"/>
    <mergeCell ref="B14:D14"/>
    <mergeCell ref="B15:D15"/>
    <mergeCell ref="C13:D13"/>
    <mergeCell ref="B12:D12"/>
  </mergeCells>
  <phoneticPr fontId="181" type="noConversion"/>
  <printOptions horizontalCentered="1"/>
  <pageMargins left="0.19685039370078741" right="0.19685039370078741" top="0.39370078740157483" bottom="0.39370078740157483" header="0.31496062992125984" footer="0.11811023622047245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orksheet1_실시설계비">
    <tabColor rgb="FF92D050"/>
  </sheetPr>
  <dimension ref="A1:P34"/>
  <sheetViews>
    <sheetView view="pageBreakPreview" zoomScale="70" zoomScaleNormal="100" zoomScaleSheetLayoutView="70" workbookViewId="0">
      <pane xSplit="4" ySplit="2" topLeftCell="E3" activePane="bottomRight" state="frozen"/>
      <selection pane="topRight"/>
      <selection pane="bottomLeft"/>
      <selection pane="bottomRight" activeCell="P12" sqref="P12"/>
    </sheetView>
  </sheetViews>
  <sheetFormatPr defaultColWidth="8.77734375" defaultRowHeight="24.95" customHeight="1"/>
  <cols>
    <col min="1" max="1" width="4.88671875" style="47" customWidth="1"/>
    <col min="2" max="2" width="22.6640625" style="36" customWidth="1"/>
    <col min="3" max="3" width="12.6640625" style="36" customWidth="1"/>
    <col min="4" max="4" width="6.44140625" style="36" bestFit="1" customWidth="1"/>
    <col min="5" max="5" width="10.88671875" style="36" bestFit="1" customWidth="1"/>
    <col min="6" max="6" width="6.21875" style="66" customWidth="1"/>
    <col min="7" max="7" width="16.44140625" style="66" bestFit="1" customWidth="1"/>
    <col min="8" max="8" width="10.6640625" style="66" customWidth="1"/>
    <col min="9" max="9" width="12.6640625" style="66" customWidth="1"/>
    <col min="10" max="10" width="14.44140625" style="66" bestFit="1" customWidth="1"/>
    <col min="11" max="11" width="15.77734375" style="66" bestFit="1" customWidth="1"/>
    <col min="12" max="12" width="10.6640625" style="66" customWidth="1"/>
    <col min="13" max="13" width="12.6640625" style="66" customWidth="1"/>
    <col min="14" max="14" width="10.6640625" style="36" customWidth="1"/>
    <col min="15" max="15" width="11.21875" style="36" bestFit="1" customWidth="1"/>
    <col min="16" max="16" width="13.77734375" style="36" bestFit="1" customWidth="1"/>
    <col min="17" max="17" width="11.6640625" style="36" bestFit="1" customWidth="1"/>
    <col min="18" max="257" width="8.88671875" style="36"/>
    <col min="258" max="258" width="20.6640625" style="36" customWidth="1"/>
    <col min="259" max="259" width="12.6640625" style="36" customWidth="1"/>
    <col min="260" max="260" width="6.77734375" style="36" customWidth="1"/>
    <col min="261" max="261" width="5.77734375" style="36" customWidth="1"/>
    <col min="262" max="262" width="6.21875" style="36" customWidth="1"/>
    <col min="263" max="263" width="14.77734375" style="36" customWidth="1"/>
    <col min="264" max="264" width="12.21875" style="36" customWidth="1"/>
    <col min="265" max="265" width="11.88671875" style="36" customWidth="1"/>
    <col min="266" max="266" width="12.21875" style="36" customWidth="1"/>
    <col min="267" max="267" width="13" style="36" customWidth="1"/>
    <col min="268" max="268" width="12.21875" style="36" customWidth="1"/>
    <col min="269" max="269" width="13" style="36" customWidth="1"/>
    <col min="270" max="270" width="6.77734375" style="36" customWidth="1"/>
    <col min="271" max="271" width="11.21875" style="36" bestFit="1" customWidth="1"/>
    <col min="272" max="272" width="13.77734375" style="36" bestFit="1" customWidth="1"/>
    <col min="273" max="273" width="11.6640625" style="36" bestFit="1" customWidth="1"/>
    <col min="274" max="513" width="8.88671875" style="36"/>
    <col min="514" max="514" width="20.6640625" style="36" customWidth="1"/>
    <col min="515" max="515" width="12.6640625" style="36" customWidth="1"/>
    <col min="516" max="516" width="6.77734375" style="36" customWidth="1"/>
    <col min="517" max="517" width="5.77734375" style="36" customWidth="1"/>
    <col min="518" max="518" width="6.21875" style="36" customWidth="1"/>
    <col min="519" max="519" width="14.77734375" style="36" customWidth="1"/>
    <col min="520" max="520" width="12.21875" style="36" customWidth="1"/>
    <col min="521" max="521" width="11.88671875" style="36" customWidth="1"/>
    <col min="522" max="522" width="12.21875" style="36" customWidth="1"/>
    <col min="523" max="523" width="13" style="36" customWidth="1"/>
    <col min="524" max="524" width="12.21875" style="36" customWidth="1"/>
    <col min="525" max="525" width="13" style="36" customWidth="1"/>
    <col min="526" max="526" width="6.77734375" style="36" customWidth="1"/>
    <col min="527" max="527" width="11.21875" style="36" bestFit="1" customWidth="1"/>
    <col min="528" max="528" width="13.77734375" style="36" bestFit="1" customWidth="1"/>
    <col min="529" max="529" width="11.6640625" style="36" bestFit="1" customWidth="1"/>
    <col min="530" max="769" width="8.88671875" style="36"/>
    <col min="770" max="770" width="20.6640625" style="36" customWidth="1"/>
    <col min="771" max="771" width="12.6640625" style="36" customWidth="1"/>
    <col min="772" max="772" width="6.77734375" style="36" customWidth="1"/>
    <col min="773" max="773" width="5.77734375" style="36" customWidth="1"/>
    <col min="774" max="774" width="6.21875" style="36" customWidth="1"/>
    <col min="775" max="775" width="14.77734375" style="36" customWidth="1"/>
    <col min="776" max="776" width="12.21875" style="36" customWidth="1"/>
    <col min="777" max="777" width="11.88671875" style="36" customWidth="1"/>
    <col min="778" max="778" width="12.21875" style="36" customWidth="1"/>
    <col min="779" max="779" width="13" style="36" customWidth="1"/>
    <col min="780" max="780" width="12.21875" style="36" customWidth="1"/>
    <col min="781" max="781" width="13" style="36" customWidth="1"/>
    <col min="782" max="782" width="6.77734375" style="36" customWidth="1"/>
    <col min="783" max="783" width="11.21875" style="36" bestFit="1" customWidth="1"/>
    <col min="784" max="784" width="13.77734375" style="36" bestFit="1" customWidth="1"/>
    <col min="785" max="785" width="11.6640625" style="36" bestFit="1" customWidth="1"/>
    <col min="786" max="1025" width="8.88671875" style="36"/>
    <col min="1026" max="1026" width="20.6640625" style="36" customWidth="1"/>
    <col min="1027" max="1027" width="12.6640625" style="36" customWidth="1"/>
    <col min="1028" max="1028" width="6.77734375" style="36" customWidth="1"/>
    <col min="1029" max="1029" width="5.77734375" style="36" customWidth="1"/>
    <col min="1030" max="1030" width="6.21875" style="36" customWidth="1"/>
    <col min="1031" max="1031" width="14.77734375" style="36" customWidth="1"/>
    <col min="1032" max="1032" width="12.21875" style="36" customWidth="1"/>
    <col min="1033" max="1033" width="11.88671875" style="36" customWidth="1"/>
    <col min="1034" max="1034" width="12.21875" style="36" customWidth="1"/>
    <col min="1035" max="1035" width="13" style="36" customWidth="1"/>
    <col min="1036" max="1036" width="12.21875" style="36" customWidth="1"/>
    <col min="1037" max="1037" width="13" style="36" customWidth="1"/>
    <col min="1038" max="1038" width="6.77734375" style="36" customWidth="1"/>
    <col min="1039" max="1039" width="11.21875" style="36" bestFit="1" customWidth="1"/>
    <col min="1040" max="1040" width="13.77734375" style="36" bestFit="1" customWidth="1"/>
    <col min="1041" max="1041" width="11.6640625" style="36" bestFit="1" customWidth="1"/>
    <col min="1042" max="1281" width="8.88671875" style="36"/>
    <col min="1282" max="1282" width="20.6640625" style="36" customWidth="1"/>
    <col min="1283" max="1283" width="12.6640625" style="36" customWidth="1"/>
    <col min="1284" max="1284" width="6.77734375" style="36" customWidth="1"/>
    <col min="1285" max="1285" width="5.77734375" style="36" customWidth="1"/>
    <col min="1286" max="1286" width="6.21875" style="36" customWidth="1"/>
    <col min="1287" max="1287" width="14.77734375" style="36" customWidth="1"/>
    <col min="1288" max="1288" width="12.21875" style="36" customWidth="1"/>
    <col min="1289" max="1289" width="11.88671875" style="36" customWidth="1"/>
    <col min="1290" max="1290" width="12.21875" style="36" customWidth="1"/>
    <col min="1291" max="1291" width="13" style="36" customWidth="1"/>
    <col min="1292" max="1292" width="12.21875" style="36" customWidth="1"/>
    <col min="1293" max="1293" width="13" style="36" customWidth="1"/>
    <col min="1294" max="1294" width="6.77734375" style="36" customWidth="1"/>
    <col min="1295" max="1295" width="11.21875" style="36" bestFit="1" customWidth="1"/>
    <col min="1296" max="1296" width="13.77734375" style="36" bestFit="1" customWidth="1"/>
    <col min="1297" max="1297" width="11.6640625" style="36" bestFit="1" customWidth="1"/>
    <col min="1298" max="1537" width="8.88671875" style="36"/>
    <col min="1538" max="1538" width="20.6640625" style="36" customWidth="1"/>
    <col min="1539" max="1539" width="12.6640625" style="36" customWidth="1"/>
    <col min="1540" max="1540" width="6.77734375" style="36" customWidth="1"/>
    <col min="1541" max="1541" width="5.77734375" style="36" customWidth="1"/>
    <col min="1542" max="1542" width="6.21875" style="36" customWidth="1"/>
    <col min="1543" max="1543" width="14.77734375" style="36" customWidth="1"/>
    <col min="1544" max="1544" width="12.21875" style="36" customWidth="1"/>
    <col min="1545" max="1545" width="11.88671875" style="36" customWidth="1"/>
    <col min="1546" max="1546" width="12.21875" style="36" customWidth="1"/>
    <col min="1547" max="1547" width="13" style="36" customWidth="1"/>
    <col min="1548" max="1548" width="12.21875" style="36" customWidth="1"/>
    <col min="1549" max="1549" width="13" style="36" customWidth="1"/>
    <col min="1550" max="1550" width="6.77734375" style="36" customWidth="1"/>
    <col min="1551" max="1551" width="11.21875" style="36" bestFit="1" customWidth="1"/>
    <col min="1552" max="1552" width="13.77734375" style="36" bestFit="1" customWidth="1"/>
    <col min="1553" max="1553" width="11.6640625" style="36" bestFit="1" customWidth="1"/>
    <col min="1554" max="1793" width="8.88671875" style="36"/>
    <col min="1794" max="1794" width="20.6640625" style="36" customWidth="1"/>
    <col min="1795" max="1795" width="12.6640625" style="36" customWidth="1"/>
    <col min="1796" max="1796" width="6.77734375" style="36" customWidth="1"/>
    <col min="1797" max="1797" width="5.77734375" style="36" customWidth="1"/>
    <col min="1798" max="1798" width="6.21875" style="36" customWidth="1"/>
    <col min="1799" max="1799" width="14.77734375" style="36" customWidth="1"/>
    <col min="1800" max="1800" width="12.21875" style="36" customWidth="1"/>
    <col min="1801" max="1801" width="11.88671875" style="36" customWidth="1"/>
    <col min="1802" max="1802" width="12.21875" style="36" customWidth="1"/>
    <col min="1803" max="1803" width="13" style="36" customWidth="1"/>
    <col min="1804" max="1804" width="12.21875" style="36" customWidth="1"/>
    <col min="1805" max="1805" width="13" style="36" customWidth="1"/>
    <col min="1806" max="1806" width="6.77734375" style="36" customWidth="1"/>
    <col min="1807" max="1807" width="11.21875" style="36" bestFit="1" customWidth="1"/>
    <col min="1808" max="1808" width="13.77734375" style="36" bestFit="1" customWidth="1"/>
    <col min="1809" max="1809" width="11.6640625" style="36" bestFit="1" customWidth="1"/>
    <col min="1810" max="2049" width="8.88671875" style="36"/>
    <col min="2050" max="2050" width="20.6640625" style="36" customWidth="1"/>
    <col min="2051" max="2051" width="12.6640625" style="36" customWidth="1"/>
    <col min="2052" max="2052" width="6.77734375" style="36" customWidth="1"/>
    <col min="2053" max="2053" width="5.77734375" style="36" customWidth="1"/>
    <col min="2054" max="2054" width="6.21875" style="36" customWidth="1"/>
    <col min="2055" max="2055" width="14.77734375" style="36" customWidth="1"/>
    <col min="2056" max="2056" width="12.21875" style="36" customWidth="1"/>
    <col min="2057" max="2057" width="11.88671875" style="36" customWidth="1"/>
    <col min="2058" max="2058" width="12.21875" style="36" customWidth="1"/>
    <col min="2059" max="2059" width="13" style="36" customWidth="1"/>
    <col min="2060" max="2060" width="12.21875" style="36" customWidth="1"/>
    <col min="2061" max="2061" width="13" style="36" customWidth="1"/>
    <col min="2062" max="2062" width="6.77734375" style="36" customWidth="1"/>
    <col min="2063" max="2063" width="11.21875" style="36" bestFit="1" customWidth="1"/>
    <col min="2064" max="2064" width="13.77734375" style="36" bestFit="1" customWidth="1"/>
    <col min="2065" max="2065" width="11.6640625" style="36" bestFit="1" customWidth="1"/>
    <col min="2066" max="2305" width="8.88671875" style="36"/>
    <col min="2306" max="2306" width="20.6640625" style="36" customWidth="1"/>
    <col min="2307" max="2307" width="12.6640625" style="36" customWidth="1"/>
    <col min="2308" max="2308" width="6.77734375" style="36" customWidth="1"/>
    <col min="2309" max="2309" width="5.77734375" style="36" customWidth="1"/>
    <col min="2310" max="2310" width="6.21875" style="36" customWidth="1"/>
    <col min="2311" max="2311" width="14.77734375" style="36" customWidth="1"/>
    <col min="2312" max="2312" width="12.21875" style="36" customWidth="1"/>
    <col min="2313" max="2313" width="11.88671875" style="36" customWidth="1"/>
    <col min="2314" max="2314" width="12.21875" style="36" customWidth="1"/>
    <col min="2315" max="2315" width="13" style="36" customWidth="1"/>
    <col min="2316" max="2316" width="12.21875" style="36" customWidth="1"/>
    <col min="2317" max="2317" width="13" style="36" customWidth="1"/>
    <col min="2318" max="2318" width="6.77734375" style="36" customWidth="1"/>
    <col min="2319" max="2319" width="11.21875" style="36" bestFit="1" customWidth="1"/>
    <col min="2320" max="2320" width="13.77734375" style="36" bestFit="1" customWidth="1"/>
    <col min="2321" max="2321" width="11.6640625" style="36" bestFit="1" customWidth="1"/>
    <col min="2322" max="2561" width="8.88671875" style="36"/>
    <col min="2562" max="2562" width="20.6640625" style="36" customWidth="1"/>
    <col min="2563" max="2563" width="12.6640625" style="36" customWidth="1"/>
    <col min="2564" max="2564" width="6.77734375" style="36" customWidth="1"/>
    <col min="2565" max="2565" width="5.77734375" style="36" customWidth="1"/>
    <col min="2566" max="2566" width="6.21875" style="36" customWidth="1"/>
    <col min="2567" max="2567" width="14.77734375" style="36" customWidth="1"/>
    <col min="2568" max="2568" width="12.21875" style="36" customWidth="1"/>
    <col min="2569" max="2569" width="11.88671875" style="36" customWidth="1"/>
    <col min="2570" max="2570" width="12.21875" style="36" customWidth="1"/>
    <col min="2571" max="2571" width="13" style="36" customWidth="1"/>
    <col min="2572" max="2572" width="12.21875" style="36" customWidth="1"/>
    <col min="2573" max="2573" width="13" style="36" customWidth="1"/>
    <col min="2574" max="2574" width="6.77734375" style="36" customWidth="1"/>
    <col min="2575" max="2575" width="11.21875" style="36" bestFit="1" customWidth="1"/>
    <col min="2576" max="2576" width="13.77734375" style="36" bestFit="1" customWidth="1"/>
    <col min="2577" max="2577" width="11.6640625" style="36" bestFit="1" customWidth="1"/>
    <col min="2578" max="2817" width="8.88671875" style="36"/>
    <col min="2818" max="2818" width="20.6640625" style="36" customWidth="1"/>
    <col min="2819" max="2819" width="12.6640625" style="36" customWidth="1"/>
    <col min="2820" max="2820" width="6.77734375" style="36" customWidth="1"/>
    <col min="2821" max="2821" width="5.77734375" style="36" customWidth="1"/>
    <col min="2822" max="2822" width="6.21875" style="36" customWidth="1"/>
    <col min="2823" max="2823" width="14.77734375" style="36" customWidth="1"/>
    <col min="2824" max="2824" width="12.21875" style="36" customWidth="1"/>
    <col min="2825" max="2825" width="11.88671875" style="36" customWidth="1"/>
    <col min="2826" max="2826" width="12.21875" style="36" customWidth="1"/>
    <col min="2827" max="2827" width="13" style="36" customWidth="1"/>
    <col min="2828" max="2828" width="12.21875" style="36" customWidth="1"/>
    <col min="2829" max="2829" width="13" style="36" customWidth="1"/>
    <col min="2830" max="2830" width="6.77734375" style="36" customWidth="1"/>
    <col min="2831" max="2831" width="11.21875" style="36" bestFit="1" customWidth="1"/>
    <col min="2832" max="2832" width="13.77734375" style="36" bestFit="1" customWidth="1"/>
    <col min="2833" max="2833" width="11.6640625" style="36" bestFit="1" customWidth="1"/>
    <col min="2834" max="3073" width="8.88671875" style="36"/>
    <col min="3074" max="3074" width="20.6640625" style="36" customWidth="1"/>
    <col min="3075" max="3075" width="12.6640625" style="36" customWidth="1"/>
    <col min="3076" max="3076" width="6.77734375" style="36" customWidth="1"/>
    <col min="3077" max="3077" width="5.77734375" style="36" customWidth="1"/>
    <col min="3078" max="3078" width="6.21875" style="36" customWidth="1"/>
    <col min="3079" max="3079" width="14.77734375" style="36" customWidth="1"/>
    <col min="3080" max="3080" width="12.21875" style="36" customWidth="1"/>
    <col min="3081" max="3081" width="11.88671875" style="36" customWidth="1"/>
    <col min="3082" max="3082" width="12.21875" style="36" customWidth="1"/>
    <col min="3083" max="3083" width="13" style="36" customWidth="1"/>
    <col min="3084" max="3084" width="12.21875" style="36" customWidth="1"/>
    <col min="3085" max="3085" width="13" style="36" customWidth="1"/>
    <col min="3086" max="3086" width="6.77734375" style="36" customWidth="1"/>
    <col min="3087" max="3087" width="11.21875" style="36" bestFit="1" customWidth="1"/>
    <col min="3088" max="3088" width="13.77734375" style="36" bestFit="1" customWidth="1"/>
    <col min="3089" max="3089" width="11.6640625" style="36" bestFit="1" customWidth="1"/>
    <col min="3090" max="3329" width="8.88671875" style="36"/>
    <col min="3330" max="3330" width="20.6640625" style="36" customWidth="1"/>
    <col min="3331" max="3331" width="12.6640625" style="36" customWidth="1"/>
    <col min="3332" max="3332" width="6.77734375" style="36" customWidth="1"/>
    <col min="3333" max="3333" width="5.77734375" style="36" customWidth="1"/>
    <col min="3334" max="3334" width="6.21875" style="36" customWidth="1"/>
    <col min="3335" max="3335" width="14.77734375" style="36" customWidth="1"/>
    <col min="3336" max="3336" width="12.21875" style="36" customWidth="1"/>
    <col min="3337" max="3337" width="11.88671875" style="36" customWidth="1"/>
    <col min="3338" max="3338" width="12.21875" style="36" customWidth="1"/>
    <col min="3339" max="3339" width="13" style="36" customWidth="1"/>
    <col min="3340" max="3340" width="12.21875" style="36" customWidth="1"/>
    <col min="3341" max="3341" width="13" style="36" customWidth="1"/>
    <col min="3342" max="3342" width="6.77734375" style="36" customWidth="1"/>
    <col min="3343" max="3343" width="11.21875" style="36" bestFit="1" customWidth="1"/>
    <col min="3344" max="3344" width="13.77734375" style="36" bestFit="1" customWidth="1"/>
    <col min="3345" max="3345" width="11.6640625" style="36" bestFit="1" customWidth="1"/>
    <col min="3346" max="3585" width="8.88671875" style="36"/>
    <col min="3586" max="3586" width="20.6640625" style="36" customWidth="1"/>
    <col min="3587" max="3587" width="12.6640625" style="36" customWidth="1"/>
    <col min="3588" max="3588" width="6.77734375" style="36" customWidth="1"/>
    <col min="3589" max="3589" width="5.77734375" style="36" customWidth="1"/>
    <col min="3590" max="3590" width="6.21875" style="36" customWidth="1"/>
    <col min="3591" max="3591" width="14.77734375" style="36" customWidth="1"/>
    <col min="3592" max="3592" width="12.21875" style="36" customWidth="1"/>
    <col min="3593" max="3593" width="11.88671875" style="36" customWidth="1"/>
    <col min="3594" max="3594" width="12.21875" style="36" customWidth="1"/>
    <col min="3595" max="3595" width="13" style="36" customWidth="1"/>
    <col min="3596" max="3596" width="12.21875" style="36" customWidth="1"/>
    <col min="3597" max="3597" width="13" style="36" customWidth="1"/>
    <col min="3598" max="3598" width="6.77734375" style="36" customWidth="1"/>
    <col min="3599" max="3599" width="11.21875" style="36" bestFit="1" customWidth="1"/>
    <col min="3600" max="3600" width="13.77734375" style="36" bestFit="1" customWidth="1"/>
    <col min="3601" max="3601" width="11.6640625" style="36" bestFit="1" customWidth="1"/>
    <col min="3602" max="3841" width="8.88671875" style="36"/>
    <col min="3842" max="3842" width="20.6640625" style="36" customWidth="1"/>
    <col min="3843" max="3843" width="12.6640625" style="36" customWidth="1"/>
    <col min="3844" max="3844" width="6.77734375" style="36" customWidth="1"/>
    <col min="3845" max="3845" width="5.77734375" style="36" customWidth="1"/>
    <col min="3846" max="3846" width="6.21875" style="36" customWidth="1"/>
    <col min="3847" max="3847" width="14.77734375" style="36" customWidth="1"/>
    <col min="3848" max="3848" width="12.21875" style="36" customWidth="1"/>
    <col min="3849" max="3849" width="11.88671875" style="36" customWidth="1"/>
    <col min="3850" max="3850" width="12.21875" style="36" customWidth="1"/>
    <col min="3851" max="3851" width="13" style="36" customWidth="1"/>
    <col min="3852" max="3852" width="12.21875" style="36" customWidth="1"/>
    <col min="3853" max="3853" width="13" style="36" customWidth="1"/>
    <col min="3854" max="3854" width="6.77734375" style="36" customWidth="1"/>
    <col min="3855" max="3855" width="11.21875" style="36" bestFit="1" customWidth="1"/>
    <col min="3856" max="3856" width="13.77734375" style="36" bestFit="1" customWidth="1"/>
    <col min="3857" max="3857" width="11.6640625" style="36" bestFit="1" customWidth="1"/>
    <col min="3858" max="4097" width="8.88671875" style="36"/>
    <col min="4098" max="4098" width="20.6640625" style="36" customWidth="1"/>
    <col min="4099" max="4099" width="12.6640625" style="36" customWidth="1"/>
    <col min="4100" max="4100" width="6.77734375" style="36" customWidth="1"/>
    <col min="4101" max="4101" width="5.77734375" style="36" customWidth="1"/>
    <col min="4102" max="4102" width="6.21875" style="36" customWidth="1"/>
    <col min="4103" max="4103" width="14.77734375" style="36" customWidth="1"/>
    <col min="4104" max="4104" width="12.21875" style="36" customWidth="1"/>
    <col min="4105" max="4105" width="11.88671875" style="36" customWidth="1"/>
    <col min="4106" max="4106" width="12.21875" style="36" customWidth="1"/>
    <col min="4107" max="4107" width="13" style="36" customWidth="1"/>
    <col min="4108" max="4108" width="12.21875" style="36" customWidth="1"/>
    <col min="4109" max="4109" width="13" style="36" customWidth="1"/>
    <col min="4110" max="4110" width="6.77734375" style="36" customWidth="1"/>
    <col min="4111" max="4111" width="11.21875" style="36" bestFit="1" customWidth="1"/>
    <col min="4112" max="4112" width="13.77734375" style="36" bestFit="1" customWidth="1"/>
    <col min="4113" max="4113" width="11.6640625" style="36" bestFit="1" customWidth="1"/>
    <col min="4114" max="4353" width="8.88671875" style="36"/>
    <col min="4354" max="4354" width="20.6640625" style="36" customWidth="1"/>
    <col min="4355" max="4355" width="12.6640625" style="36" customWidth="1"/>
    <col min="4356" max="4356" width="6.77734375" style="36" customWidth="1"/>
    <col min="4357" max="4357" width="5.77734375" style="36" customWidth="1"/>
    <col min="4358" max="4358" width="6.21875" style="36" customWidth="1"/>
    <col min="4359" max="4359" width="14.77734375" style="36" customWidth="1"/>
    <col min="4360" max="4360" width="12.21875" style="36" customWidth="1"/>
    <col min="4361" max="4361" width="11.88671875" style="36" customWidth="1"/>
    <col min="4362" max="4362" width="12.21875" style="36" customWidth="1"/>
    <col min="4363" max="4363" width="13" style="36" customWidth="1"/>
    <col min="4364" max="4364" width="12.21875" style="36" customWidth="1"/>
    <col min="4365" max="4365" width="13" style="36" customWidth="1"/>
    <col min="4366" max="4366" width="6.77734375" style="36" customWidth="1"/>
    <col min="4367" max="4367" width="11.21875" style="36" bestFit="1" customWidth="1"/>
    <col min="4368" max="4368" width="13.77734375" style="36" bestFit="1" customWidth="1"/>
    <col min="4369" max="4369" width="11.6640625" style="36" bestFit="1" customWidth="1"/>
    <col min="4370" max="4609" width="8.88671875" style="36"/>
    <col min="4610" max="4610" width="20.6640625" style="36" customWidth="1"/>
    <col min="4611" max="4611" width="12.6640625" style="36" customWidth="1"/>
    <col min="4612" max="4612" width="6.77734375" style="36" customWidth="1"/>
    <col min="4613" max="4613" width="5.77734375" style="36" customWidth="1"/>
    <col min="4614" max="4614" width="6.21875" style="36" customWidth="1"/>
    <col min="4615" max="4615" width="14.77734375" style="36" customWidth="1"/>
    <col min="4616" max="4616" width="12.21875" style="36" customWidth="1"/>
    <col min="4617" max="4617" width="11.88671875" style="36" customWidth="1"/>
    <col min="4618" max="4618" width="12.21875" style="36" customWidth="1"/>
    <col min="4619" max="4619" width="13" style="36" customWidth="1"/>
    <col min="4620" max="4620" width="12.21875" style="36" customWidth="1"/>
    <col min="4621" max="4621" width="13" style="36" customWidth="1"/>
    <col min="4622" max="4622" width="6.77734375" style="36" customWidth="1"/>
    <col min="4623" max="4623" width="11.21875" style="36" bestFit="1" customWidth="1"/>
    <col min="4624" max="4624" width="13.77734375" style="36" bestFit="1" customWidth="1"/>
    <col min="4625" max="4625" width="11.6640625" style="36" bestFit="1" customWidth="1"/>
    <col min="4626" max="4865" width="8.88671875" style="36"/>
    <col min="4866" max="4866" width="20.6640625" style="36" customWidth="1"/>
    <col min="4867" max="4867" width="12.6640625" style="36" customWidth="1"/>
    <col min="4868" max="4868" width="6.77734375" style="36" customWidth="1"/>
    <col min="4869" max="4869" width="5.77734375" style="36" customWidth="1"/>
    <col min="4870" max="4870" width="6.21875" style="36" customWidth="1"/>
    <col min="4871" max="4871" width="14.77734375" style="36" customWidth="1"/>
    <col min="4872" max="4872" width="12.21875" style="36" customWidth="1"/>
    <col min="4873" max="4873" width="11.88671875" style="36" customWidth="1"/>
    <col min="4874" max="4874" width="12.21875" style="36" customWidth="1"/>
    <col min="4875" max="4875" width="13" style="36" customWidth="1"/>
    <col min="4876" max="4876" width="12.21875" style="36" customWidth="1"/>
    <col min="4877" max="4877" width="13" style="36" customWidth="1"/>
    <col min="4878" max="4878" width="6.77734375" style="36" customWidth="1"/>
    <col min="4879" max="4879" width="11.21875" style="36" bestFit="1" customWidth="1"/>
    <col min="4880" max="4880" width="13.77734375" style="36" bestFit="1" customWidth="1"/>
    <col min="4881" max="4881" width="11.6640625" style="36" bestFit="1" customWidth="1"/>
    <col min="4882" max="5121" width="8.88671875" style="36"/>
    <col min="5122" max="5122" width="20.6640625" style="36" customWidth="1"/>
    <col min="5123" max="5123" width="12.6640625" style="36" customWidth="1"/>
    <col min="5124" max="5124" width="6.77734375" style="36" customWidth="1"/>
    <col min="5125" max="5125" width="5.77734375" style="36" customWidth="1"/>
    <col min="5126" max="5126" width="6.21875" style="36" customWidth="1"/>
    <col min="5127" max="5127" width="14.77734375" style="36" customWidth="1"/>
    <col min="5128" max="5128" width="12.21875" style="36" customWidth="1"/>
    <col min="5129" max="5129" width="11.88671875" style="36" customWidth="1"/>
    <col min="5130" max="5130" width="12.21875" style="36" customWidth="1"/>
    <col min="5131" max="5131" width="13" style="36" customWidth="1"/>
    <col min="5132" max="5132" width="12.21875" style="36" customWidth="1"/>
    <col min="5133" max="5133" width="13" style="36" customWidth="1"/>
    <col min="5134" max="5134" width="6.77734375" style="36" customWidth="1"/>
    <col min="5135" max="5135" width="11.21875" style="36" bestFit="1" customWidth="1"/>
    <col min="5136" max="5136" width="13.77734375" style="36" bestFit="1" customWidth="1"/>
    <col min="5137" max="5137" width="11.6640625" style="36" bestFit="1" customWidth="1"/>
    <col min="5138" max="5377" width="8.88671875" style="36"/>
    <col min="5378" max="5378" width="20.6640625" style="36" customWidth="1"/>
    <col min="5379" max="5379" width="12.6640625" style="36" customWidth="1"/>
    <col min="5380" max="5380" width="6.77734375" style="36" customWidth="1"/>
    <col min="5381" max="5381" width="5.77734375" style="36" customWidth="1"/>
    <col min="5382" max="5382" width="6.21875" style="36" customWidth="1"/>
    <col min="5383" max="5383" width="14.77734375" style="36" customWidth="1"/>
    <col min="5384" max="5384" width="12.21875" style="36" customWidth="1"/>
    <col min="5385" max="5385" width="11.88671875" style="36" customWidth="1"/>
    <col min="5386" max="5386" width="12.21875" style="36" customWidth="1"/>
    <col min="5387" max="5387" width="13" style="36" customWidth="1"/>
    <col min="5388" max="5388" width="12.21875" style="36" customWidth="1"/>
    <col min="5389" max="5389" width="13" style="36" customWidth="1"/>
    <col min="5390" max="5390" width="6.77734375" style="36" customWidth="1"/>
    <col min="5391" max="5391" width="11.21875" style="36" bestFit="1" customWidth="1"/>
    <col min="5392" max="5392" width="13.77734375" style="36" bestFit="1" customWidth="1"/>
    <col min="5393" max="5393" width="11.6640625" style="36" bestFit="1" customWidth="1"/>
    <col min="5394" max="5633" width="8.88671875" style="36"/>
    <col min="5634" max="5634" width="20.6640625" style="36" customWidth="1"/>
    <col min="5635" max="5635" width="12.6640625" style="36" customWidth="1"/>
    <col min="5636" max="5636" width="6.77734375" style="36" customWidth="1"/>
    <col min="5637" max="5637" width="5.77734375" style="36" customWidth="1"/>
    <col min="5638" max="5638" width="6.21875" style="36" customWidth="1"/>
    <col min="5639" max="5639" width="14.77734375" style="36" customWidth="1"/>
    <col min="5640" max="5640" width="12.21875" style="36" customWidth="1"/>
    <col min="5641" max="5641" width="11.88671875" style="36" customWidth="1"/>
    <col min="5642" max="5642" width="12.21875" style="36" customWidth="1"/>
    <col min="5643" max="5643" width="13" style="36" customWidth="1"/>
    <col min="5644" max="5644" width="12.21875" style="36" customWidth="1"/>
    <col min="5645" max="5645" width="13" style="36" customWidth="1"/>
    <col min="5646" max="5646" width="6.77734375" style="36" customWidth="1"/>
    <col min="5647" max="5647" width="11.21875" style="36" bestFit="1" customWidth="1"/>
    <col min="5648" max="5648" width="13.77734375" style="36" bestFit="1" customWidth="1"/>
    <col min="5649" max="5649" width="11.6640625" style="36" bestFit="1" customWidth="1"/>
    <col min="5650" max="5889" width="8.88671875" style="36"/>
    <col min="5890" max="5890" width="20.6640625" style="36" customWidth="1"/>
    <col min="5891" max="5891" width="12.6640625" style="36" customWidth="1"/>
    <col min="5892" max="5892" width="6.77734375" style="36" customWidth="1"/>
    <col min="5893" max="5893" width="5.77734375" style="36" customWidth="1"/>
    <col min="5894" max="5894" width="6.21875" style="36" customWidth="1"/>
    <col min="5895" max="5895" width="14.77734375" style="36" customWidth="1"/>
    <col min="5896" max="5896" width="12.21875" style="36" customWidth="1"/>
    <col min="5897" max="5897" width="11.88671875" style="36" customWidth="1"/>
    <col min="5898" max="5898" width="12.21875" style="36" customWidth="1"/>
    <col min="5899" max="5899" width="13" style="36" customWidth="1"/>
    <col min="5900" max="5900" width="12.21875" style="36" customWidth="1"/>
    <col min="5901" max="5901" width="13" style="36" customWidth="1"/>
    <col min="5902" max="5902" width="6.77734375" style="36" customWidth="1"/>
    <col min="5903" max="5903" width="11.21875" style="36" bestFit="1" customWidth="1"/>
    <col min="5904" max="5904" width="13.77734375" style="36" bestFit="1" customWidth="1"/>
    <col min="5905" max="5905" width="11.6640625" style="36" bestFit="1" customWidth="1"/>
    <col min="5906" max="6145" width="8.88671875" style="36"/>
    <col min="6146" max="6146" width="20.6640625" style="36" customWidth="1"/>
    <col min="6147" max="6147" width="12.6640625" style="36" customWidth="1"/>
    <col min="6148" max="6148" width="6.77734375" style="36" customWidth="1"/>
    <col min="6149" max="6149" width="5.77734375" style="36" customWidth="1"/>
    <col min="6150" max="6150" width="6.21875" style="36" customWidth="1"/>
    <col min="6151" max="6151" width="14.77734375" style="36" customWidth="1"/>
    <col min="6152" max="6152" width="12.21875" style="36" customWidth="1"/>
    <col min="6153" max="6153" width="11.88671875" style="36" customWidth="1"/>
    <col min="6154" max="6154" width="12.21875" style="36" customWidth="1"/>
    <col min="6155" max="6155" width="13" style="36" customWidth="1"/>
    <col min="6156" max="6156" width="12.21875" style="36" customWidth="1"/>
    <col min="6157" max="6157" width="13" style="36" customWidth="1"/>
    <col min="6158" max="6158" width="6.77734375" style="36" customWidth="1"/>
    <col min="6159" max="6159" width="11.21875" style="36" bestFit="1" customWidth="1"/>
    <col min="6160" max="6160" width="13.77734375" style="36" bestFit="1" customWidth="1"/>
    <col min="6161" max="6161" width="11.6640625" style="36" bestFit="1" customWidth="1"/>
    <col min="6162" max="6401" width="8.88671875" style="36"/>
    <col min="6402" max="6402" width="20.6640625" style="36" customWidth="1"/>
    <col min="6403" max="6403" width="12.6640625" style="36" customWidth="1"/>
    <col min="6404" max="6404" width="6.77734375" style="36" customWidth="1"/>
    <col min="6405" max="6405" width="5.77734375" style="36" customWidth="1"/>
    <col min="6406" max="6406" width="6.21875" style="36" customWidth="1"/>
    <col min="6407" max="6407" width="14.77734375" style="36" customWidth="1"/>
    <col min="6408" max="6408" width="12.21875" style="36" customWidth="1"/>
    <col min="6409" max="6409" width="11.88671875" style="36" customWidth="1"/>
    <col min="6410" max="6410" width="12.21875" style="36" customWidth="1"/>
    <col min="6411" max="6411" width="13" style="36" customWidth="1"/>
    <col min="6412" max="6412" width="12.21875" style="36" customWidth="1"/>
    <col min="6413" max="6413" width="13" style="36" customWidth="1"/>
    <col min="6414" max="6414" width="6.77734375" style="36" customWidth="1"/>
    <col min="6415" max="6415" width="11.21875" style="36" bestFit="1" customWidth="1"/>
    <col min="6416" max="6416" width="13.77734375" style="36" bestFit="1" customWidth="1"/>
    <col min="6417" max="6417" width="11.6640625" style="36" bestFit="1" customWidth="1"/>
    <col min="6418" max="6657" width="8.88671875" style="36"/>
    <col min="6658" max="6658" width="20.6640625" style="36" customWidth="1"/>
    <col min="6659" max="6659" width="12.6640625" style="36" customWidth="1"/>
    <col min="6660" max="6660" width="6.77734375" style="36" customWidth="1"/>
    <col min="6661" max="6661" width="5.77734375" style="36" customWidth="1"/>
    <col min="6662" max="6662" width="6.21875" style="36" customWidth="1"/>
    <col min="6663" max="6663" width="14.77734375" style="36" customWidth="1"/>
    <col min="6664" max="6664" width="12.21875" style="36" customWidth="1"/>
    <col min="6665" max="6665" width="11.88671875" style="36" customWidth="1"/>
    <col min="6666" max="6666" width="12.21875" style="36" customWidth="1"/>
    <col min="6667" max="6667" width="13" style="36" customWidth="1"/>
    <col min="6668" max="6668" width="12.21875" style="36" customWidth="1"/>
    <col min="6669" max="6669" width="13" style="36" customWidth="1"/>
    <col min="6670" max="6670" width="6.77734375" style="36" customWidth="1"/>
    <col min="6671" max="6671" width="11.21875" style="36" bestFit="1" customWidth="1"/>
    <col min="6672" max="6672" width="13.77734375" style="36" bestFit="1" customWidth="1"/>
    <col min="6673" max="6673" width="11.6640625" style="36" bestFit="1" customWidth="1"/>
    <col min="6674" max="6913" width="8.88671875" style="36"/>
    <col min="6914" max="6914" width="20.6640625" style="36" customWidth="1"/>
    <col min="6915" max="6915" width="12.6640625" style="36" customWidth="1"/>
    <col min="6916" max="6916" width="6.77734375" style="36" customWidth="1"/>
    <col min="6917" max="6917" width="5.77734375" style="36" customWidth="1"/>
    <col min="6918" max="6918" width="6.21875" style="36" customWidth="1"/>
    <col min="6919" max="6919" width="14.77734375" style="36" customWidth="1"/>
    <col min="6920" max="6920" width="12.21875" style="36" customWidth="1"/>
    <col min="6921" max="6921" width="11.88671875" style="36" customWidth="1"/>
    <col min="6922" max="6922" width="12.21875" style="36" customWidth="1"/>
    <col min="6923" max="6923" width="13" style="36" customWidth="1"/>
    <col min="6924" max="6924" width="12.21875" style="36" customWidth="1"/>
    <col min="6925" max="6925" width="13" style="36" customWidth="1"/>
    <col min="6926" max="6926" width="6.77734375" style="36" customWidth="1"/>
    <col min="6927" max="6927" width="11.21875" style="36" bestFit="1" customWidth="1"/>
    <col min="6928" max="6928" width="13.77734375" style="36" bestFit="1" customWidth="1"/>
    <col min="6929" max="6929" width="11.6640625" style="36" bestFit="1" customWidth="1"/>
    <col min="6930" max="7169" width="8.88671875" style="36"/>
    <col min="7170" max="7170" width="20.6640625" style="36" customWidth="1"/>
    <col min="7171" max="7171" width="12.6640625" style="36" customWidth="1"/>
    <col min="7172" max="7172" width="6.77734375" style="36" customWidth="1"/>
    <col min="7173" max="7173" width="5.77734375" style="36" customWidth="1"/>
    <col min="7174" max="7174" width="6.21875" style="36" customWidth="1"/>
    <col min="7175" max="7175" width="14.77734375" style="36" customWidth="1"/>
    <col min="7176" max="7176" width="12.21875" style="36" customWidth="1"/>
    <col min="7177" max="7177" width="11.88671875" style="36" customWidth="1"/>
    <col min="7178" max="7178" width="12.21875" style="36" customWidth="1"/>
    <col min="7179" max="7179" width="13" style="36" customWidth="1"/>
    <col min="7180" max="7180" width="12.21875" style="36" customWidth="1"/>
    <col min="7181" max="7181" width="13" style="36" customWidth="1"/>
    <col min="7182" max="7182" width="6.77734375" style="36" customWidth="1"/>
    <col min="7183" max="7183" width="11.21875" style="36" bestFit="1" customWidth="1"/>
    <col min="7184" max="7184" width="13.77734375" style="36" bestFit="1" customWidth="1"/>
    <col min="7185" max="7185" width="11.6640625" style="36" bestFit="1" customWidth="1"/>
    <col min="7186" max="7425" width="8.88671875" style="36"/>
    <col min="7426" max="7426" width="20.6640625" style="36" customWidth="1"/>
    <col min="7427" max="7427" width="12.6640625" style="36" customWidth="1"/>
    <col min="7428" max="7428" width="6.77734375" style="36" customWidth="1"/>
    <col min="7429" max="7429" width="5.77734375" style="36" customWidth="1"/>
    <col min="7430" max="7430" width="6.21875" style="36" customWidth="1"/>
    <col min="7431" max="7431" width="14.77734375" style="36" customWidth="1"/>
    <col min="7432" max="7432" width="12.21875" style="36" customWidth="1"/>
    <col min="7433" max="7433" width="11.88671875" style="36" customWidth="1"/>
    <col min="7434" max="7434" width="12.21875" style="36" customWidth="1"/>
    <col min="7435" max="7435" width="13" style="36" customWidth="1"/>
    <col min="7436" max="7436" width="12.21875" style="36" customWidth="1"/>
    <col min="7437" max="7437" width="13" style="36" customWidth="1"/>
    <col min="7438" max="7438" width="6.77734375" style="36" customWidth="1"/>
    <col min="7439" max="7439" width="11.21875" style="36" bestFit="1" customWidth="1"/>
    <col min="7440" max="7440" width="13.77734375" style="36" bestFit="1" customWidth="1"/>
    <col min="7441" max="7441" width="11.6640625" style="36" bestFit="1" customWidth="1"/>
    <col min="7442" max="7681" width="8.88671875" style="36"/>
    <col min="7682" max="7682" width="20.6640625" style="36" customWidth="1"/>
    <col min="7683" max="7683" width="12.6640625" style="36" customWidth="1"/>
    <col min="7684" max="7684" width="6.77734375" style="36" customWidth="1"/>
    <col min="7685" max="7685" width="5.77734375" style="36" customWidth="1"/>
    <col min="7686" max="7686" width="6.21875" style="36" customWidth="1"/>
    <col min="7687" max="7687" width="14.77734375" style="36" customWidth="1"/>
    <col min="7688" max="7688" width="12.21875" style="36" customWidth="1"/>
    <col min="7689" max="7689" width="11.88671875" style="36" customWidth="1"/>
    <col min="7690" max="7690" width="12.21875" style="36" customWidth="1"/>
    <col min="7691" max="7691" width="13" style="36" customWidth="1"/>
    <col min="7692" max="7692" width="12.21875" style="36" customWidth="1"/>
    <col min="7693" max="7693" width="13" style="36" customWidth="1"/>
    <col min="7694" max="7694" width="6.77734375" style="36" customWidth="1"/>
    <col min="7695" max="7695" width="11.21875" style="36" bestFit="1" customWidth="1"/>
    <col min="7696" max="7696" width="13.77734375" style="36" bestFit="1" customWidth="1"/>
    <col min="7697" max="7697" width="11.6640625" style="36" bestFit="1" customWidth="1"/>
    <col min="7698" max="7937" width="8.88671875" style="36"/>
    <col min="7938" max="7938" width="20.6640625" style="36" customWidth="1"/>
    <col min="7939" max="7939" width="12.6640625" style="36" customWidth="1"/>
    <col min="7940" max="7940" width="6.77734375" style="36" customWidth="1"/>
    <col min="7941" max="7941" width="5.77734375" style="36" customWidth="1"/>
    <col min="7942" max="7942" width="6.21875" style="36" customWidth="1"/>
    <col min="7943" max="7943" width="14.77734375" style="36" customWidth="1"/>
    <col min="7944" max="7944" width="12.21875" style="36" customWidth="1"/>
    <col min="7945" max="7945" width="11.88671875" style="36" customWidth="1"/>
    <col min="7946" max="7946" width="12.21875" style="36" customWidth="1"/>
    <col min="7947" max="7947" width="13" style="36" customWidth="1"/>
    <col min="7948" max="7948" width="12.21875" style="36" customWidth="1"/>
    <col min="7949" max="7949" width="13" style="36" customWidth="1"/>
    <col min="7950" max="7950" width="6.77734375" style="36" customWidth="1"/>
    <col min="7951" max="7951" width="11.21875" style="36" bestFit="1" customWidth="1"/>
    <col min="7952" max="7952" width="13.77734375" style="36" bestFit="1" customWidth="1"/>
    <col min="7953" max="7953" width="11.6640625" style="36" bestFit="1" customWidth="1"/>
    <col min="7954" max="8193" width="8.88671875" style="36"/>
    <col min="8194" max="8194" width="20.6640625" style="36" customWidth="1"/>
    <col min="8195" max="8195" width="12.6640625" style="36" customWidth="1"/>
    <col min="8196" max="8196" width="6.77734375" style="36" customWidth="1"/>
    <col min="8197" max="8197" width="5.77734375" style="36" customWidth="1"/>
    <col min="8198" max="8198" width="6.21875" style="36" customWidth="1"/>
    <col min="8199" max="8199" width="14.77734375" style="36" customWidth="1"/>
    <col min="8200" max="8200" width="12.21875" style="36" customWidth="1"/>
    <col min="8201" max="8201" width="11.88671875" style="36" customWidth="1"/>
    <col min="8202" max="8202" width="12.21875" style="36" customWidth="1"/>
    <col min="8203" max="8203" width="13" style="36" customWidth="1"/>
    <col min="8204" max="8204" width="12.21875" style="36" customWidth="1"/>
    <col min="8205" max="8205" width="13" style="36" customWidth="1"/>
    <col min="8206" max="8206" width="6.77734375" style="36" customWidth="1"/>
    <col min="8207" max="8207" width="11.21875" style="36" bestFit="1" customWidth="1"/>
    <col min="8208" max="8208" width="13.77734375" style="36" bestFit="1" customWidth="1"/>
    <col min="8209" max="8209" width="11.6640625" style="36" bestFit="1" customWidth="1"/>
    <col min="8210" max="8449" width="8.88671875" style="36"/>
    <col min="8450" max="8450" width="20.6640625" style="36" customWidth="1"/>
    <col min="8451" max="8451" width="12.6640625" style="36" customWidth="1"/>
    <col min="8452" max="8452" width="6.77734375" style="36" customWidth="1"/>
    <col min="8453" max="8453" width="5.77734375" style="36" customWidth="1"/>
    <col min="8454" max="8454" width="6.21875" style="36" customWidth="1"/>
    <col min="8455" max="8455" width="14.77734375" style="36" customWidth="1"/>
    <col min="8456" max="8456" width="12.21875" style="36" customWidth="1"/>
    <col min="8457" max="8457" width="11.88671875" style="36" customWidth="1"/>
    <col min="8458" max="8458" width="12.21875" style="36" customWidth="1"/>
    <col min="8459" max="8459" width="13" style="36" customWidth="1"/>
    <col min="8460" max="8460" width="12.21875" style="36" customWidth="1"/>
    <col min="8461" max="8461" width="13" style="36" customWidth="1"/>
    <col min="8462" max="8462" width="6.77734375" style="36" customWidth="1"/>
    <col min="8463" max="8463" width="11.21875" style="36" bestFit="1" customWidth="1"/>
    <col min="8464" max="8464" width="13.77734375" style="36" bestFit="1" customWidth="1"/>
    <col min="8465" max="8465" width="11.6640625" style="36" bestFit="1" customWidth="1"/>
    <col min="8466" max="8705" width="8.88671875" style="36"/>
    <col min="8706" max="8706" width="20.6640625" style="36" customWidth="1"/>
    <col min="8707" max="8707" width="12.6640625" style="36" customWidth="1"/>
    <col min="8708" max="8708" width="6.77734375" style="36" customWidth="1"/>
    <col min="8709" max="8709" width="5.77734375" style="36" customWidth="1"/>
    <col min="8710" max="8710" width="6.21875" style="36" customWidth="1"/>
    <col min="8711" max="8711" width="14.77734375" style="36" customWidth="1"/>
    <col min="8712" max="8712" width="12.21875" style="36" customWidth="1"/>
    <col min="8713" max="8713" width="11.88671875" style="36" customWidth="1"/>
    <col min="8714" max="8714" width="12.21875" style="36" customWidth="1"/>
    <col min="8715" max="8715" width="13" style="36" customWidth="1"/>
    <col min="8716" max="8716" width="12.21875" style="36" customWidth="1"/>
    <col min="8717" max="8717" width="13" style="36" customWidth="1"/>
    <col min="8718" max="8718" width="6.77734375" style="36" customWidth="1"/>
    <col min="8719" max="8719" width="11.21875" style="36" bestFit="1" customWidth="1"/>
    <col min="8720" max="8720" width="13.77734375" style="36" bestFit="1" customWidth="1"/>
    <col min="8721" max="8721" width="11.6640625" style="36" bestFit="1" customWidth="1"/>
    <col min="8722" max="8961" width="8.88671875" style="36"/>
    <col min="8962" max="8962" width="20.6640625" style="36" customWidth="1"/>
    <col min="8963" max="8963" width="12.6640625" style="36" customWidth="1"/>
    <col min="8964" max="8964" width="6.77734375" style="36" customWidth="1"/>
    <col min="8965" max="8965" width="5.77734375" style="36" customWidth="1"/>
    <col min="8966" max="8966" width="6.21875" style="36" customWidth="1"/>
    <col min="8967" max="8967" width="14.77734375" style="36" customWidth="1"/>
    <col min="8968" max="8968" width="12.21875" style="36" customWidth="1"/>
    <col min="8969" max="8969" width="11.88671875" style="36" customWidth="1"/>
    <col min="8970" max="8970" width="12.21875" style="36" customWidth="1"/>
    <col min="8971" max="8971" width="13" style="36" customWidth="1"/>
    <col min="8972" max="8972" width="12.21875" style="36" customWidth="1"/>
    <col min="8973" max="8973" width="13" style="36" customWidth="1"/>
    <col min="8974" max="8974" width="6.77734375" style="36" customWidth="1"/>
    <col min="8975" max="8975" width="11.21875" style="36" bestFit="1" customWidth="1"/>
    <col min="8976" max="8976" width="13.77734375" style="36" bestFit="1" customWidth="1"/>
    <col min="8977" max="8977" width="11.6640625" style="36" bestFit="1" customWidth="1"/>
    <col min="8978" max="9217" width="8.88671875" style="36"/>
    <col min="9218" max="9218" width="20.6640625" style="36" customWidth="1"/>
    <col min="9219" max="9219" width="12.6640625" style="36" customWidth="1"/>
    <col min="9220" max="9220" width="6.77734375" style="36" customWidth="1"/>
    <col min="9221" max="9221" width="5.77734375" style="36" customWidth="1"/>
    <col min="9222" max="9222" width="6.21875" style="36" customWidth="1"/>
    <col min="9223" max="9223" width="14.77734375" style="36" customWidth="1"/>
    <col min="9224" max="9224" width="12.21875" style="36" customWidth="1"/>
    <col min="9225" max="9225" width="11.88671875" style="36" customWidth="1"/>
    <col min="9226" max="9226" width="12.21875" style="36" customWidth="1"/>
    <col min="9227" max="9227" width="13" style="36" customWidth="1"/>
    <col min="9228" max="9228" width="12.21875" style="36" customWidth="1"/>
    <col min="9229" max="9229" width="13" style="36" customWidth="1"/>
    <col min="9230" max="9230" width="6.77734375" style="36" customWidth="1"/>
    <col min="9231" max="9231" width="11.21875" style="36" bestFit="1" customWidth="1"/>
    <col min="9232" max="9232" width="13.77734375" style="36" bestFit="1" customWidth="1"/>
    <col min="9233" max="9233" width="11.6640625" style="36" bestFit="1" customWidth="1"/>
    <col min="9234" max="9473" width="8.88671875" style="36"/>
    <col min="9474" max="9474" width="20.6640625" style="36" customWidth="1"/>
    <col min="9475" max="9475" width="12.6640625" style="36" customWidth="1"/>
    <col min="9476" max="9476" width="6.77734375" style="36" customWidth="1"/>
    <col min="9477" max="9477" width="5.77734375" style="36" customWidth="1"/>
    <col min="9478" max="9478" width="6.21875" style="36" customWidth="1"/>
    <col min="9479" max="9479" width="14.77734375" style="36" customWidth="1"/>
    <col min="9480" max="9480" width="12.21875" style="36" customWidth="1"/>
    <col min="9481" max="9481" width="11.88671875" style="36" customWidth="1"/>
    <col min="9482" max="9482" width="12.21875" style="36" customWidth="1"/>
    <col min="9483" max="9483" width="13" style="36" customWidth="1"/>
    <col min="9484" max="9484" width="12.21875" style="36" customWidth="1"/>
    <col min="9485" max="9485" width="13" style="36" customWidth="1"/>
    <col min="9486" max="9486" width="6.77734375" style="36" customWidth="1"/>
    <col min="9487" max="9487" width="11.21875" style="36" bestFit="1" customWidth="1"/>
    <col min="9488" max="9488" width="13.77734375" style="36" bestFit="1" customWidth="1"/>
    <col min="9489" max="9489" width="11.6640625" style="36" bestFit="1" customWidth="1"/>
    <col min="9490" max="9729" width="8.88671875" style="36"/>
    <col min="9730" max="9730" width="20.6640625" style="36" customWidth="1"/>
    <col min="9731" max="9731" width="12.6640625" style="36" customWidth="1"/>
    <col min="9732" max="9732" width="6.77734375" style="36" customWidth="1"/>
    <col min="9733" max="9733" width="5.77734375" style="36" customWidth="1"/>
    <col min="9734" max="9734" width="6.21875" style="36" customWidth="1"/>
    <col min="9735" max="9735" width="14.77734375" style="36" customWidth="1"/>
    <col min="9736" max="9736" width="12.21875" style="36" customWidth="1"/>
    <col min="9737" max="9737" width="11.88671875" style="36" customWidth="1"/>
    <col min="9738" max="9738" width="12.21875" style="36" customWidth="1"/>
    <col min="9739" max="9739" width="13" style="36" customWidth="1"/>
    <col min="9740" max="9740" width="12.21875" style="36" customWidth="1"/>
    <col min="9741" max="9741" width="13" style="36" customWidth="1"/>
    <col min="9742" max="9742" width="6.77734375" style="36" customWidth="1"/>
    <col min="9743" max="9743" width="11.21875" style="36" bestFit="1" customWidth="1"/>
    <col min="9744" max="9744" width="13.77734375" style="36" bestFit="1" customWidth="1"/>
    <col min="9745" max="9745" width="11.6640625" style="36" bestFit="1" customWidth="1"/>
    <col min="9746" max="9985" width="8.88671875" style="36"/>
    <col min="9986" max="9986" width="20.6640625" style="36" customWidth="1"/>
    <col min="9987" max="9987" width="12.6640625" style="36" customWidth="1"/>
    <col min="9988" max="9988" width="6.77734375" style="36" customWidth="1"/>
    <col min="9989" max="9989" width="5.77734375" style="36" customWidth="1"/>
    <col min="9990" max="9990" width="6.21875" style="36" customWidth="1"/>
    <col min="9991" max="9991" width="14.77734375" style="36" customWidth="1"/>
    <col min="9992" max="9992" width="12.21875" style="36" customWidth="1"/>
    <col min="9993" max="9993" width="11.88671875" style="36" customWidth="1"/>
    <col min="9994" max="9994" width="12.21875" style="36" customWidth="1"/>
    <col min="9995" max="9995" width="13" style="36" customWidth="1"/>
    <col min="9996" max="9996" width="12.21875" style="36" customWidth="1"/>
    <col min="9997" max="9997" width="13" style="36" customWidth="1"/>
    <col min="9998" max="9998" width="6.77734375" style="36" customWidth="1"/>
    <col min="9999" max="9999" width="11.21875" style="36" bestFit="1" customWidth="1"/>
    <col min="10000" max="10000" width="13.77734375" style="36" bestFit="1" customWidth="1"/>
    <col min="10001" max="10001" width="11.6640625" style="36" bestFit="1" customWidth="1"/>
    <col min="10002" max="10241" width="8.88671875" style="36"/>
    <col min="10242" max="10242" width="20.6640625" style="36" customWidth="1"/>
    <col min="10243" max="10243" width="12.6640625" style="36" customWidth="1"/>
    <col min="10244" max="10244" width="6.77734375" style="36" customWidth="1"/>
    <col min="10245" max="10245" width="5.77734375" style="36" customWidth="1"/>
    <col min="10246" max="10246" width="6.21875" style="36" customWidth="1"/>
    <col min="10247" max="10247" width="14.77734375" style="36" customWidth="1"/>
    <col min="10248" max="10248" width="12.21875" style="36" customWidth="1"/>
    <col min="10249" max="10249" width="11.88671875" style="36" customWidth="1"/>
    <col min="10250" max="10250" width="12.21875" style="36" customWidth="1"/>
    <col min="10251" max="10251" width="13" style="36" customWidth="1"/>
    <col min="10252" max="10252" width="12.21875" style="36" customWidth="1"/>
    <col min="10253" max="10253" width="13" style="36" customWidth="1"/>
    <col min="10254" max="10254" width="6.77734375" style="36" customWidth="1"/>
    <col min="10255" max="10255" width="11.21875" style="36" bestFit="1" customWidth="1"/>
    <col min="10256" max="10256" width="13.77734375" style="36" bestFit="1" customWidth="1"/>
    <col min="10257" max="10257" width="11.6640625" style="36" bestFit="1" customWidth="1"/>
    <col min="10258" max="10497" width="8.88671875" style="36"/>
    <col min="10498" max="10498" width="20.6640625" style="36" customWidth="1"/>
    <col min="10499" max="10499" width="12.6640625" style="36" customWidth="1"/>
    <col min="10500" max="10500" width="6.77734375" style="36" customWidth="1"/>
    <col min="10501" max="10501" width="5.77734375" style="36" customWidth="1"/>
    <col min="10502" max="10502" width="6.21875" style="36" customWidth="1"/>
    <col min="10503" max="10503" width="14.77734375" style="36" customWidth="1"/>
    <col min="10504" max="10504" width="12.21875" style="36" customWidth="1"/>
    <col min="10505" max="10505" width="11.88671875" style="36" customWidth="1"/>
    <col min="10506" max="10506" width="12.21875" style="36" customWidth="1"/>
    <col min="10507" max="10507" width="13" style="36" customWidth="1"/>
    <col min="10508" max="10508" width="12.21875" style="36" customWidth="1"/>
    <col min="10509" max="10509" width="13" style="36" customWidth="1"/>
    <col min="10510" max="10510" width="6.77734375" style="36" customWidth="1"/>
    <col min="10511" max="10511" width="11.21875" style="36" bestFit="1" customWidth="1"/>
    <col min="10512" max="10512" width="13.77734375" style="36" bestFit="1" customWidth="1"/>
    <col min="10513" max="10513" width="11.6640625" style="36" bestFit="1" customWidth="1"/>
    <col min="10514" max="10753" width="8.88671875" style="36"/>
    <col min="10754" max="10754" width="20.6640625" style="36" customWidth="1"/>
    <col min="10755" max="10755" width="12.6640625" style="36" customWidth="1"/>
    <col min="10756" max="10756" width="6.77734375" style="36" customWidth="1"/>
    <col min="10757" max="10757" width="5.77734375" style="36" customWidth="1"/>
    <col min="10758" max="10758" width="6.21875" style="36" customWidth="1"/>
    <col min="10759" max="10759" width="14.77734375" style="36" customWidth="1"/>
    <col min="10760" max="10760" width="12.21875" style="36" customWidth="1"/>
    <col min="10761" max="10761" width="11.88671875" style="36" customWidth="1"/>
    <col min="10762" max="10762" width="12.21875" style="36" customWidth="1"/>
    <col min="10763" max="10763" width="13" style="36" customWidth="1"/>
    <col min="10764" max="10764" width="12.21875" style="36" customWidth="1"/>
    <col min="10765" max="10765" width="13" style="36" customWidth="1"/>
    <col min="10766" max="10766" width="6.77734375" style="36" customWidth="1"/>
    <col min="10767" max="10767" width="11.21875" style="36" bestFit="1" customWidth="1"/>
    <col min="10768" max="10768" width="13.77734375" style="36" bestFit="1" customWidth="1"/>
    <col min="10769" max="10769" width="11.6640625" style="36" bestFit="1" customWidth="1"/>
    <col min="10770" max="11009" width="8.88671875" style="36"/>
    <col min="11010" max="11010" width="20.6640625" style="36" customWidth="1"/>
    <col min="11011" max="11011" width="12.6640625" style="36" customWidth="1"/>
    <col min="11012" max="11012" width="6.77734375" style="36" customWidth="1"/>
    <col min="11013" max="11013" width="5.77734375" style="36" customWidth="1"/>
    <col min="11014" max="11014" width="6.21875" style="36" customWidth="1"/>
    <col min="11015" max="11015" width="14.77734375" style="36" customWidth="1"/>
    <col min="11016" max="11016" width="12.21875" style="36" customWidth="1"/>
    <col min="11017" max="11017" width="11.88671875" style="36" customWidth="1"/>
    <col min="11018" max="11018" width="12.21875" style="36" customWidth="1"/>
    <col min="11019" max="11019" width="13" style="36" customWidth="1"/>
    <col min="11020" max="11020" width="12.21875" style="36" customWidth="1"/>
    <col min="11021" max="11021" width="13" style="36" customWidth="1"/>
    <col min="11022" max="11022" width="6.77734375" style="36" customWidth="1"/>
    <col min="11023" max="11023" width="11.21875" style="36" bestFit="1" customWidth="1"/>
    <col min="11024" max="11024" width="13.77734375" style="36" bestFit="1" customWidth="1"/>
    <col min="11025" max="11025" width="11.6640625" style="36" bestFit="1" customWidth="1"/>
    <col min="11026" max="11265" width="8.88671875" style="36"/>
    <col min="11266" max="11266" width="20.6640625" style="36" customWidth="1"/>
    <col min="11267" max="11267" width="12.6640625" style="36" customWidth="1"/>
    <col min="11268" max="11268" width="6.77734375" style="36" customWidth="1"/>
    <col min="11269" max="11269" width="5.77734375" style="36" customWidth="1"/>
    <col min="11270" max="11270" width="6.21875" style="36" customWidth="1"/>
    <col min="11271" max="11271" width="14.77734375" style="36" customWidth="1"/>
    <col min="11272" max="11272" width="12.21875" style="36" customWidth="1"/>
    <col min="11273" max="11273" width="11.88671875" style="36" customWidth="1"/>
    <col min="11274" max="11274" width="12.21875" style="36" customWidth="1"/>
    <col min="11275" max="11275" width="13" style="36" customWidth="1"/>
    <col min="11276" max="11276" width="12.21875" style="36" customWidth="1"/>
    <col min="11277" max="11277" width="13" style="36" customWidth="1"/>
    <col min="11278" max="11278" width="6.77734375" style="36" customWidth="1"/>
    <col min="11279" max="11279" width="11.21875" style="36" bestFit="1" customWidth="1"/>
    <col min="11280" max="11280" width="13.77734375" style="36" bestFit="1" customWidth="1"/>
    <col min="11281" max="11281" width="11.6640625" style="36" bestFit="1" customWidth="1"/>
    <col min="11282" max="11521" width="8.88671875" style="36"/>
    <col min="11522" max="11522" width="20.6640625" style="36" customWidth="1"/>
    <col min="11523" max="11523" width="12.6640625" style="36" customWidth="1"/>
    <col min="11524" max="11524" width="6.77734375" style="36" customWidth="1"/>
    <col min="11525" max="11525" width="5.77734375" style="36" customWidth="1"/>
    <col min="11526" max="11526" width="6.21875" style="36" customWidth="1"/>
    <col min="11527" max="11527" width="14.77734375" style="36" customWidth="1"/>
    <col min="11528" max="11528" width="12.21875" style="36" customWidth="1"/>
    <col min="11529" max="11529" width="11.88671875" style="36" customWidth="1"/>
    <col min="11530" max="11530" width="12.21875" style="36" customWidth="1"/>
    <col min="11531" max="11531" width="13" style="36" customWidth="1"/>
    <col min="11532" max="11532" width="12.21875" style="36" customWidth="1"/>
    <col min="11533" max="11533" width="13" style="36" customWidth="1"/>
    <col min="11534" max="11534" width="6.77734375" style="36" customWidth="1"/>
    <col min="11535" max="11535" width="11.21875" style="36" bestFit="1" customWidth="1"/>
    <col min="11536" max="11536" width="13.77734375" style="36" bestFit="1" customWidth="1"/>
    <col min="11537" max="11537" width="11.6640625" style="36" bestFit="1" customWidth="1"/>
    <col min="11538" max="11777" width="8.88671875" style="36"/>
    <col min="11778" max="11778" width="20.6640625" style="36" customWidth="1"/>
    <col min="11779" max="11779" width="12.6640625" style="36" customWidth="1"/>
    <col min="11780" max="11780" width="6.77734375" style="36" customWidth="1"/>
    <col min="11781" max="11781" width="5.77734375" style="36" customWidth="1"/>
    <col min="11782" max="11782" width="6.21875" style="36" customWidth="1"/>
    <col min="11783" max="11783" width="14.77734375" style="36" customWidth="1"/>
    <col min="11784" max="11784" width="12.21875" style="36" customWidth="1"/>
    <col min="11785" max="11785" width="11.88671875" style="36" customWidth="1"/>
    <col min="11786" max="11786" width="12.21875" style="36" customWidth="1"/>
    <col min="11787" max="11787" width="13" style="36" customWidth="1"/>
    <col min="11788" max="11788" width="12.21875" style="36" customWidth="1"/>
    <col min="11789" max="11789" width="13" style="36" customWidth="1"/>
    <col min="11790" max="11790" width="6.77734375" style="36" customWidth="1"/>
    <col min="11791" max="11791" width="11.21875" style="36" bestFit="1" customWidth="1"/>
    <col min="11792" max="11792" width="13.77734375" style="36" bestFit="1" customWidth="1"/>
    <col min="11793" max="11793" width="11.6640625" style="36" bestFit="1" customWidth="1"/>
    <col min="11794" max="12033" width="8.88671875" style="36"/>
    <col min="12034" max="12034" width="20.6640625" style="36" customWidth="1"/>
    <col min="12035" max="12035" width="12.6640625" style="36" customWidth="1"/>
    <col min="12036" max="12036" width="6.77734375" style="36" customWidth="1"/>
    <col min="12037" max="12037" width="5.77734375" style="36" customWidth="1"/>
    <col min="12038" max="12038" width="6.21875" style="36" customWidth="1"/>
    <col min="12039" max="12039" width="14.77734375" style="36" customWidth="1"/>
    <col min="12040" max="12040" width="12.21875" style="36" customWidth="1"/>
    <col min="12041" max="12041" width="11.88671875" style="36" customWidth="1"/>
    <col min="12042" max="12042" width="12.21875" style="36" customWidth="1"/>
    <col min="12043" max="12043" width="13" style="36" customWidth="1"/>
    <col min="12044" max="12044" width="12.21875" style="36" customWidth="1"/>
    <col min="12045" max="12045" width="13" style="36" customWidth="1"/>
    <col min="12046" max="12046" width="6.77734375" style="36" customWidth="1"/>
    <col min="12047" max="12047" width="11.21875" style="36" bestFit="1" customWidth="1"/>
    <col min="12048" max="12048" width="13.77734375" style="36" bestFit="1" customWidth="1"/>
    <col min="12049" max="12049" width="11.6640625" style="36" bestFit="1" customWidth="1"/>
    <col min="12050" max="12289" width="8.88671875" style="36"/>
    <col min="12290" max="12290" width="20.6640625" style="36" customWidth="1"/>
    <col min="12291" max="12291" width="12.6640625" style="36" customWidth="1"/>
    <col min="12292" max="12292" width="6.77734375" style="36" customWidth="1"/>
    <col min="12293" max="12293" width="5.77734375" style="36" customWidth="1"/>
    <col min="12294" max="12294" width="6.21875" style="36" customWidth="1"/>
    <col min="12295" max="12295" width="14.77734375" style="36" customWidth="1"/>
    <col min="12296" max="12296" width="12.21875" style="36" customWidth="1"/>
    <col min="12297" max="12297" width="11.88671875" style="36" customWidth="1"/>
    <col min="12298" max="12298" width="12.21875" style="36" customWidth="1"/>
    <col min="12299" max="12299" width="13" style="36" customWidth="1"/>
    <col min="12300" max="12300" width="12.21875" style="36" customWidth="1"/>
    <col min="12301" max="12301" width="13" style="36" customWidth="1"/>
    <col min="12302" max="12302" width="6.77734375" style="36" customWidth="1"/>
    <col min="12303" max="12303" width="11.21875" style="36" bestFit="1" customWidth="1"/>
    <col min="12304" max="12304" width="13.77734375" style="36" bestFit="1" customWidth="1"/>
    <col min="12305" max="12305" width="11.6640625" style="36" bestFit="1" customWidth="1"/>
    <col min="12306" max="12545" width="8.88671875" style="36"/>
    <col min="12546" max="12546" width="20.6640625" style="36" customWidth="1"/>
    <col min="12547" max="12547" width="12.6640625" style="36" customWidth="1"/>
    <col min="12548" max="12548" width="6.77734375" style="36" customWidth="1"/>
    <col min="12549" max="12549" width="5.77734375" style="36" customWidth="1"/>
    <col min="12550" max="12550" width="6.21875" style="36" customWidth="1"/>
    <col min="12551" max="12551" width="14.77734375" style="36" customWidth="1"/>
    <col min="12552" max="12552" width="12.21875" style="36" customWidth="1"/>
    <col min="12553" max="12553" width="11.88671875" style="36" customWidth="1"/>
    <col min="12554" max="12554" width="12.21875" style="36" customWidth="1"/>
    <col min="12555" max="12555" width="13" style="36" customWidth="1"/>
    <col min="12556" max="12556" width="12.21875" style="36" customWidth="1"/>
    <col min="12557" max="12557" width="13" style="36" customWidth="1"/>
    <col min="12558" max="12558" width="6.77734375" style="36" customWidth="1"/>
    <col min="12559" max="12559" width="11.21875" style="36" bestFit="1" customWidth="1"/>
    <col min="12560" max="12560" width="13.77734375" style="36" bestFit="1" customWidth="1"/>
    <col min="12561" max="12561" width="11.6640625" style="36" bestFit="1" customWidth="1"/>
    <col min="12562" max="12801" width="8.88671875" style="36"/>
    <col min="12802" max="12802" width="20.6640625" style="36" customWidth="1"/>
    <col min="12803" max="12803" width="12.6640625" style="36" customWidth="1"/>
    <col min="12804" max="12804" width="6.77734375" style="36" customWidth="1"/>
    <col min="12805" max="12805" width="5.77734375" style="36" customWidth="1"/>
    <col min="12806" max="12806" width="6.21875" style="36" customWidth="1"/>
    <col min="12807" max="12807" width="14.77734375" style="36" customWidth="1"/>
    <col min="12808" max="12808" width="12.21875" style="36" customWidth="1"/>
    <col min="12809" max="12809" width="11.88671875" style="36" customWidth="1"/>
    <col min="12810" max="12810" width="12.21875" style="36" customWidth="1"/>
    <col min="12811" max="12811" width="13" style="36" customWidth="1"/>
    <col min="12812" max="12812" width="12.21875" style="36" customWidth="1"/>
    <col min="12813" max="12813" width="13" style="36" customWidth="1"/>
    <col min="12814" max="12814" width="6.77734375" style="36" customWidth="1"/>
    <col min="12815" max="12815" width="11.21875" style="36" bestFit="1" customWidth="1"/>
    <col min="12816" max="12816" width="13.77734375" style="36" bestFit="1" customWidth="1"/>
    <col min="12817" max="12817" width="11.6640625" style="36" bestFit="1" customWidth="1"/>
    <col min="12818" max="13057" width="8.88671875" style="36"/>
    <col min="13058" max="13058" width="20.6640625" style="36" customWidth="1"/>
    <col min="13059" max="13059" width="12.6640625" style="36" customWidth="1"/>
    <col min="13060" max="13060" width="6.77734375" style="36" customWidth="1"/>
    <col min="13061" max="13061" width="5.77734375" style="36" customWidth="1"/>
    <col min="13062" max="13062" width="6.21875" style="36" customWidth="1"/>
    <col min="13063" max="13063" width="14.77734375" style="36" customWidth="1"/>
    <col min="13064" max="13064" width="12.21875" style="36" customWidth="1"/>
    <col min="13065" max="13065" width="11.88671875" style="36" customWidth="1"/>
    <col min="13066" max="13066" width="12.21875" style="36" customWidth="1"/>
    <col min="13067" max="13067" width="13" style="36" customWidth="1"/>
    <col min="13068" max="13068" width="12.21875" style="36" customWidth="1"/>
    <col min="13069" max="13069" width="13" style="36" customWidth="1"/>
    <col min="13070" max="13070" width="6.77734375" style="36" customWidth="1"/>
    <col min="13071" max="13071" width="11.21875" style="36" bestFit="1" customWidth="1"/>
    <col min="13072" max="13072" width="13.77734375" style="36" bestFit="1" customWidth="1"/>
    <col min="13073" max="13073" width="11.6640625" style="36" bestFit="1" customWidth="1"/>
    <col min="13074" max="13313" width="8.88671875" style="36"/>
    <col min="13314" max="13314" width="20.6640625" style="36" customWidth="1"/>
    <col min="13315" max="13315" width="12.6640625" style="36" customWidth="1"/>
    <col min="13316" max="13316" width="6.77734375" style="36" customWidth="1"/>
    <col min="13317" max="13317" width="5.77734375" style="36" customWidth="1"/>
    <col min="13318" max="13318" width="6.21875" style="36" customWidth="1"/>
    <col min="13319" max="13319" width="14.77734375" style="36" customWidth="1"/>
    <col min="13320" max="13320" width="12.21875" style="36" customWidth="1"/>
    <col min="13321" max="13321" width="11.88671875" style="36" customWidth="1"/>
    <col min="13322" max="13322" width="12.21875" style="36" customWidth="1"/>
    <col min="13323" max="13323" width="13" style="36" customWidth="1"/>
    <col min="13324" max="13324" width="12.21875" style="36" customWidth="1"/>
    <col min="13325" max="13325" width="13" style="36" customWidth="1"/>
    <col min="13326" max="13326" width="6.77734375" style="36" customWidth="1"/>
    <col min="13327" max="13327" width="11.21875" style="36" bestFit="1" customWidth="1"/>
    <col min="13328" max="13328" width="13.77734375" style="36" bestFit="1" customWidth="1"/>
    <col min="13329" max="13329" width="11.6640625" style="36" bestFit="1" customWidth="1"/>
    <col min="13330" max="13569" width="8.88671875" style="36"/>
    <col min="13570" max="13570" width="20.6640625" style="36" customWidth="1"/>
    <col min="13571" max="13571" width="12.6640625" style="36" customWidth="1"/>
    <col min="13572" max="13572" width="6.77734375" style="36" customWidth="1"/>
    <col min="13573" max="13573" width="5.77734375" style="36" customWidth="1"/>
    <col min="13574" max="13574" width="6.21875" style="36" customWidth="1"/>
    <col min="13575" max="13575" width="14.77734375" style="36" customWidth="1"/>
    <col min="13576" max="13576" width="12.21875" style="36" customWidth="1"/>
    <col min="13577" max="13577" width="11.88671875" style="36" customWidth="1"/>
    <col min="13578" max="13578" width="12.21875" style="36" customWidth="1"/>
    <col min="13579" max="13579" width="13" style="36" customWidth="1"/>
    <col min="13580" max="13580" width="12.21875" style="36" customWidth="1"/>
    <col min="13581" max="13581" width="13" style="36" customWidth="1"/>
    <col min="13582" max="13582" width="6.77734375" style="36" customWidth="1"/>
    <col min="13583" max="13583" width="11.21875" style="36" bestFit="1" customWidth="1"/>
    <col min="13584" max="13584" width="13.77734375" style="36" bestFit="1" customWidth="1"/>
    <col min="13585" max="13585" width="11.6640625" style="36" bestFit="1" customWidth="1"/>
    <col min="13586" max="13825" width="8.88671875" style="36"/>
    <col min="13826" max="13826" width="20.6640625" style="36" customWidth="1"/>
    <col min="13827" max="13827" width="12.6640625" style="36" customWidth="1"/>
    <col min="13828" max="13828" width="6.77734375" style="36" customWidth="1"/>
    <col min="13829" max="13829" width="5.77734375" style="36" customWidth="1"/>
    <col min="13830" max="13830" width="6.21875" style="36" customWidth="1"/>
    <col min="13831" max="13831" width="14.77734375" style="36" customWidth="1"/>
    <col min="13832" max="13832" width="12.21875" style="36" customWidth="1"/>
    <col min="13833" max="13833" width="11.88671875" style="36" customWidth="1"/>
    <col min="13834" max="13834" width="12.21875" style="36" customWidth="1"/>
    <col min="13835" max="13835" width="13" style="36" customWidth="1"/>
    <col min="13836" max="13836" width="12.21875" style="36" customWidth="1"/>
    <col min="13837" max="13837" width="13" style="36" customWidth="1"/>
    <col min="13838" max="13838" width="6.77734375" style="36" customWidth="1"/>
    <col min="13839" max="13839" width="11.21875" style="36" bestFit="1" customWidth="1"/>
    <col min="13840" max="13840" width="13.77734375" style="36" bestFit="1" customWidth="1"/>
    <col min="13841" max="13841" width="11.6640625" style="36" bestFit="1" customWidth="1"/>
    <col min="13842" max="14081" width="8.88671875" style="36"/>
    <col min="14082" max="14082" width="20.6640625" style="36" customWidth="1"/>
    <col min="14083" max="14083" width="12.6640625" style="36" customWidth="1"/>
    <col min="14084" max="14084" width="6.77734375" style="36" customWidth="1"/>
    <col min="14085" max="14085" width="5.77734375" style="36" customWidth="1"/>
    <col min="14086" max="14086" width="6.21875" style="36" customWidth="1"/>
    <col min="14087" max="14087" width="14.77734375" style="36" customWidth="1"/>
    <col min="14088" max="14088" width="12.21875" style="36" customWidth="1"/>
    <col min="14089" max="14089" width="11.88671875" style="36" customWidth="1"/>
    <col min="14090" max="14090" width="12.21875" style="36" customWidth="1"/>
    <col min="14091" max="14091" width="13" style="36" customWidth="1"/>
    <col min="14092" max="14092" width="12.21875" style="36" customWidth="1"/>
    <col min="14093" max="14093" width="13" style="36" customWidth="1"/>
    <col min="14094" max="14094" width="6.77734375" style="36" customWidth="1"/>
    <col min="14095" max="14095" width="11.21875" style="36" bestFit="1" customWidth="1"/>
    <col min="14096" max="14096" width="13.77734375" style="36" bestFit="1" customWidth="1"/>
    <col min="14097" max="14097" width="11.6640625" style="36" bestFit="1" customWidth="1"/>
    <col min="14098" max="14337" width="8.88671875" style="36"/>
    <col min="14338" max="14338" width="20.6640625" style="36" customWidth="1"/>
    <col min="14339" max="14339" width="12.6640625" style="36" customWidth="1"/>
    <col min="14340" max="14340" width="6.77734375" style="36" customWidth="1"/>
    <col min="14341" max="14341" width="5.77734375" style="36" customWidth="1"/>
    <col min="14342" max="14342" width="6.21875" style="36" customWidth="1"/>
    <col min="14343" max="14343" width="14.77734375" style="36" customWidth="1"/>
    <col min="14344" max="14344" width="12.21875" style="36" customWidth="1"/>
    <col min="14345" max="14345" width="11.88671875" style="36" customWidth="1"/>
    <col min="14346" max="14346" width="12.21875" style="36" customWidth="1"/>
    <col min="14347" max="14347" width="13" style="36" customWidth="1"/>
    <col min="14348" max="14348" width="12.21875" style="36" customWidth="1"/>
    <col min="14349" max="14349" width="13" style="36" customWidth="1"/>
    <col min="14350" max="14350" width="6.77734375" style="36" customWidth="1"/>
    <col min="14351" max="14351" width="11.21875" style="36" bestFit="1" customWidth="1"/>
    <col min="14352" max="14352" width="13.77734375" style="36" bestFit="1" customWidth="1"/>
    <col min="14353" max="14353" width="11.6640625" style="36" bestFit="1" customWidth="1"/>
    <col min="14354" max="14593" width="8.88671875" style="36"/>
    <col min="14594" max="14594" width="20.6640625" style="36" customWidth="1"/>
    <col min="14595" max="14595" width="12.6640625" style="36" customWidth="1"/>
    <col min="14596" max="14596" width="6.77734375" style="36" customWidth="1"/>
    <col min="14597" max="14597" width="5.77734375" style="36" customWidth="1"/>
    <col min="14598" max="14598" width="6.21875" style="36" customWidth="1"/>
    <col min="14599" max="14599" width="14.77734375" style="36" customWidth="1"/>
    <col min="14600" max="14600" width="12.21875" style="36" customWidth="1"/>
    <col min="14601" max="14601" width="11.88671875" style="36" customWidth="1"/>
    <col min="14602" max="14602" width="12.21875" style="36" customWidth="1"/>
    <col min="14603" max="14603" width="13" style="36" customWidth="1"/>
    <col min="14604" max="14604" width="12.21875" style="36" customWidth="1"/>
    <col min="14605" max="14605" width="13" style="36" customWidth="1"/>
    <col min="14606" max="14606" width="6.77734375" style="36" customWidth="1"/>
    <col min="14607" max="14607" width="11.21875" style="36" bestFit="1" customWidth="1"/>
    <col min="14608" max="14608" width="13.77734375" style="36" bestFit="1" customWidth="1"/>
    <col min="14609" max="14609" width="11.6640625" style="36" bestFit="1" customWidth="1"/>
    <col min="14610" max="14849" width="8.88671875" style="36"/>
    <col min="14850" max="14850" width="20.6640625" style="36" customWidth="1"/>
    <col min="14851" max="14851" width="12.6640625" style="36" customWidth="1"/>
    <col min="14852" max="14852" width="6.77734375" style="36" customWidth="1"/>
    <col min="14853" max="14853" width="5.77734375" style="36" customWidth="1"/>
    <col min="14854" max="14854" width="6.21875" style="36" customWidth="1"/>
    <col min="14855" max="14855" width="14.77734375" style="36" customWidth="1"/>
    <col min="14856" max="14856" width="12.21875" style="36" customWidth="1"/>
    <col min="14857" max="14857" width="11.88671875" style="36" customWidth="1"/>
    <col min="14858" max="14858" width="12.21875" style="36" customWidth="1"/>
    <col min="14859" max="14859" width="13" style="36" customWidth="1"/>
    <col min="14860" max="14860" width="12.21875" style="36" customWidth="1"/>
    <col min="14861" max="14861" width="13" style="36" customWidth="1"/>
    <col min="14862" max="14862" width="6.77734375" style="36" customWidth="1"/>
    <col min="14863" max="14863" width="11.21875" style="36" bestFit="1" customWidth="1"/>
    <col min="14864" max="14864" width="13.77734375" style="36" bestFit="1" customWidth="1"/>
    <col min="14865" max="14865" width="11.6640625" style="36" bestFit="1" customWidth="1"/>
    <col min="14866" max="15105" width="8.88671875" style="36"/>
    <col min="15106" max="15106" width="20.6640625" style="36" customWidth="1"/>
    <col min="15107" max="15107" width="12.6640625" style="36" customWidth="1"/>
    <col min="15108" max="15108" width="6.77734375" style="36" customWidth="1"/>
    <col min="15109" max="15109" width="5.77734375" style="36" customWidth="1"/>
    <col min="15110" max="15110" width="6.21875" style="36" customWidth="1"/>
    <col min="15111" max="15111" width="14.77734375" style="36" customWidth="1"/>
    <col min="15112" max="15112" width="12.21875" style="36" customWidth="1"/>
    <col min="15113" max="15113" width="11.88671875" style="36" customWidth="1"/>
    <col min="15114" max="15114" width="12.21875" style="36" customWidth="1"/>
    <col min="15115" max="15115" width="13" style="36" customWidth="1"/>
    <col min="15116" max="15116" width="12.21875" style="36" customWidth="1"/>
    <col min="15117" max="15117" width="13" style="36" customWidth="1"/>
    <col min="15118" max="15118" width="6.77734375" style="36" customWidth="1"/>
    <col min="15119" max="15119" width="11.21875" style="36" bestFit="1" customWidth="1"/>
    <col min="15120" max="15120" width="13.77734375" style="36" bestFit="1" customWidth="1"/>
    <col min="15121" max="15121" width="11.6640625" style="36" bestFit="1" customWidth="1"/>
    <col min="15122" max="15361" width="8.88671875" style="36"/>
    <col min="15362" max="15362" width="20.6640625" style="36" customWidth="1"/>
    <col min="15363" max="15363" width="12.6640625" style="36" customWidth="1"/>
    <col min="15364" max="15364" width="6.77734375" style="36" customWidth="1"/>
    <col min="15365" max="15365" width="5.77734375" style="36" customWidth="1"/>
    <col min="15366" max="15366" width="6.21875" style="36" customWidth="1"/>
    <col min="15367" max="15367" width="14.77734375" style="36" customWidth="1"/>
    <col min="15368" max="15368" width="12.21875" style="36" customWidth="1"/>
    <col min="15369" max="15369" width="11.88671875" style="36" customWidth="1"/>
    <col min="15370" max="15370" width="12.21875" style="36" customWidth="1"/>
    <col min="15371" max="15371" width="13" style="36" customWidth="1"/>
    <col min="15372" max="15372" width="12.21875" style="36" customWidth="1"/>
    <col min="15373" max="15373" width="13" style="36" customWidth="1"/>
    <col min="15374" max="15374" width="6.77734375" style="36" customWidth="1"/>
    <col min="15375" max="15375" width="11.21875" style="36" bestFit="1" customWidth="1"/>
    <col min="15376" max="15376" width="13.77734375" style="36" bestFit="1" customWidth="1"/>
    <col min="15377" max="15377" width="11.6640625" style="36" bestFit="1" customWidth="1"/>
    <col min="15378" max="15617" width="8.88671875" style="36"/>
    <col min="15618" max="15618" width="20.6640625" style="36" customWidth="1"/>
    <col min="15619" max="15619" width="12.6640625" style="36" customWidth="1"/>
    <col min="15620" max="15620" width="6.77734375" style="36" customWidth="1"/>
    <col min="15621" max="15621" width="5.77734375" style="36" customWidth="1"/>
    <col min="15622" max="15622" width="6.21875" style="36" customWidth="1"/>
    <col min="15623" max="15623" width="14.77734375" style="36" customWidth="1"/>
    <col min="15624" max="15624" width="12.21875" style="36" customWidth="1"/>
    <col min="15625" max="15625" width="11.88671875" style="36" customWidth="1"/>
    <col min="15626" max="15626" width="12.21875" style="36" customWidth="1"/>
    <col min="15627" max="15627" width="13" style="36" customWidth="1"/>
    <col min="15628" max="15628" width="12.21875" style="36" customWidth="1"/>
    <col min="15629" max="15629" width="13" style="36" customWidth="1"/>
    <col min="15630" max="15630" width="6.77734375" style="36" customWidth="1"/>
    <col min="15631" max="15631" width="11.21875" style="36" bestFit="1" customWidth="1"/>
    <col min="15632" max="15632" width="13.77734375" style="36" bestFit="1" customWidth="1"/>
    <col min="15633" max="15633" width="11.6640625" style="36" bestFit="1" customWidth="1"/>
    <col min="15634" max="15873" width="8.88671875" style="36"/>
    <col min="15874" max="15874" width="20.6640625" style="36" customWidth="1"/>
    <col min="15875" max="15875" width="12.6640625" style="36" customWidth="1"/>
    <col min="15876" max="15876" width="6.77734375" style="36" customWidth="1"/>
    <col min="15877" max="15877" width="5.77734375" style="36" customWidth="1"/>
    <col min="15878" max="15878" width="6.21875" style="36" customWidth="1"/>
    <col min="15879" max="15879" width="14.77734375" style="36" customWidth="1"/>
    <col min="15880" max="15880" width="12.21875" style="36" customWidth="1"/>
    <col min="15881" max="15881" width="11.88671875" style="36" customWidth="1"/>
    <col min="15882" max="15882" width="12.21875" style="36" customWidth="1"/>
    <col min="15883" max="15883" width="13" style="36" customWidth="1"/>
    <col min="15884" max="15884" width="12.21875" style="36" customWidth="1"/>
    <col min="15885" max="15885" width="13" style="36" customWidth="1"/>
    <col min="15886" max="15886" width="6.77734375" style="36" customWidth="1"/>
    <col min="15887" max="15887" width="11.21875" style="36" bestFit="1" customWidth="1"/>
    <col min="15888" max="15888" width="13.77734375" style="36" bestFit="1" customWidth="1"/>
    <col min="15889" max="15889" width="11.6640625" style="36" bestFit="1" customWidth="1"/>
    <col min="15890" max="16129" width="8.88671875" style="36"/>
    <col min="16130" max="16130" width="20.6640625" style="36" customWidth="1"/>
    <col min="16131" max="16131" width="12.6640625" style="36" customWidth="1"/>
    <col min="16132" max="16132" width="6.77734375" style="36" customWidth="1"/>
    <col min="16133" max="16133" width="5.77734375" style="36" customWidth="1"/>
    <col min="16134" max="16134" width="6.21875" style="36" customWidth="1"/>
    <col min="16135" max="16135" width="14.77734375" style="36" customWidth="1"/>
    <col min="16136" max="16136" width="12.21875" style="36" customWidth="1"/>
    <col min="16137" max="16137" width="11.88671875" style="36" customWidth="1"/>
    <col min="16138" max="16138" width="12.21875" style="36" customWidth="1"/>
    <col min="16139" max="16139" width="13" style="36" customWidth="1"/>
    <col min="16140" max="16140" width="12.21875" style="36" customWidth="1"/>
    <col min="16141" max="16141" width="13" style="36" customWidth="1"/>
    <col min="16142" max="16142" width="6.77734375" style="36" customWidth="1"/>
    <col min="16143" max="16143" width="11.21875" style="36" bestFit="1" customWidth="1"/>
    <col min="16144" max="16144" width="13.77734375" style="36" bestFit="1" customWidth="1"/>
    <col min="16145" max="16145" width="11.6640625" style="36" bestFit="1" customWidth="1"/>
    <col min="16146" max="16384" width="8.88671875" style="36"/>
  </cols>
  <sheetData>
    <row r="1" spans="2:16" ht="24.95" customHeight="1">
      <c r="B1" s="1710" t="s">
        <v>153</v>
      </c>
      <c r="C1" s="1712" t="s">
        <v>157</v>
      </c>
      <c r="D1" s="1714" t="s">
        <v>155</v>
      </c>
      <c r="E1" s="1712" t="s">
        <v>49</v>
      </c>
      <c r="F1" s="1707" t="s">
        <v>167</v>
      </c>
      <c r="G1" s="1707"/>
      <c r="H1" s="1707" t="s">
        <v>173</v>
      </c>
      <c r="I1" s="1707"/>
      <c r="J1" s="1707" t="s">
        <v>164</v>
      </c>
      <c r="K1" s="1707"/>
      <c r="L1" s="1707" t="s">
        <v>154</v>
      </c>
      <c r="M1" s="1707"/>
      <c r="N1" s="1708" t="s">
        <v>42</v>
      </c>
    </row>
    <row r="2" spans="2:16" ht="24.95" customHeight="1">
      <c r="B2" s="1711"/>
      <c r="C2" s="1713"/>
      <c r="D2" s="1713"/>
      <c r="E2" s="1713"/>
      <c r="F2" s="37" t="s">
        <v>75</v>
      </c>
      <c r="G2" s="37" t="s">
        <v>71</v>
      </c>
      <c r="H2" s="37" t="s">
        <v>75</v>
      </c>
      <c r="I2" s="37" t="s">
        <v>71</v>
      </c>
      <c r="J2" s="37" t="s">
        <v>75</v>
      </c>
      <c r="K2" s="37" t="s">
        <v>71</v>
      </c>
      <c r="L2" s="37" t="s">
        <v>75</v>
      </c>
      <c r="M2" s="37" t="s">
        <v>71</v>
      </c>
      <c r="N2" s="1709"/>
    </row>
    <row r="3" spans="2:16" ht="30" customHeight="1">
      <c r="B3" s="1672" t="s">
        <v>1949</v>
      </c>
      <c r="C3" s="39"/>
      <c r="D3" s="39"/>
      <c r="E3" s="39"/>
      <c r="F3" s="40"/>
      <c r="G3" s="40"/>
      <c r="H3" s="40"/>
      <c r="I3" s="40"/>
      <c r="J3" s="40"/>
      <c r="K3" s="40"/>
      <c r="L3" s="40"/>
      <c r="M3" s="40"/>
      <c r="N3" s="41"/>
    </row>
    <row r="4" spans="2:16" s="47" customFormat="1" ht="29.1" customHeight="1">
      <c r="B4" s="42" t="s">
        <v>94</v>
      </c>
      <c r="C4" s="43"/>
      <c r="D4" s="44"/>
      <c r="E4" s="44"/>
      <c r="F4" s="45"/>
      <c r="G4" s="45">
        <f t="shared" ref="G4:G25" si="0">I4+K4+M4</f>
        <v>132441212</v>
      </c>
      <c r="H4" s="45"/>
      <c r="I4" s="45">
        <f>I5+I7+I10+I19+I30</f>
        <v>0</v>
      </c>
      <c r="J4" s="45"/>
      <c r="K4" s="45">
        <f>ROUND(K5+K7+K10+K19+K30,0)</f>
        <v>132441212</v>
      </c>
      <c r="L4" s="45"/>
      <c r="M4" s="45">
        <f>M5+M7+M10+M19+M30</f>
        <v>0</v>
      </c>
      <c r="N4" s="46"/>
    </row>
    <row r="5" spans="2:16" s="47" customFormat="1" ht="29.1" customHeight="1">
      <c r="B5" s="57" t="s">
        <v>92</v>
      </c>
      <c r="C5" s="48"/>
      <c r="D5" s="49"/>
      <c r="E5" s="50"/>
      <c r="F5" s="51"/>
      <c r="G5" s="51">
        <f t="shared" si="0"/>
        <v>472389</v>
      </c>
      <c r="H5" s="51"/>
      <c r="I5" s="51"/>
      <c r="J5" s="51"/>
      <c r="K5" s="51">
        <f>K6</f>
        <v>472389</v>
      </c>
      <c r="L5" s="51"/>
      <c r="M5" s="51"/>
      <c r="N5" s="52"/>
      <c r="O5" s="53"/>
      <c r="P5" s="145"/>
    </row>
    <row r="6" spans="2:16" s="47" customFormat="1" ht="29.1" customHeight="1">
      <c r="B6" s="58" t="s">
        <v>112</v>
      </c>
      <c r="C6" s="48"/>
      <c r="D6" s="54">
        <f>적용수량!AD6</f>
        <v>1</v>
      </c>
      <c r="E6" s="50" t="s">
        <v>37</v>
      </c>
      <c r="F6" s="51"/>
      <c r="G6" s="56">
        <f t="shared" si="0"/>
        <v>472389</v>
      </c>
      <c r="H6" s="51"/>
      <c r="I6" s="51"/>
      <c r="J6" s="56">
        <f>일위대가!E11</f>
        <v>472389</v>
      </c>
      <c r="K6" s="56">
        <f>J6*D6</f>
        <v>472389</v>
      </c>
      <c r="L6" s="51"/>
      <c r="M6" s="51"/>
      <c r="N6" s="1678" t="s">
        <v>1965</v>
      </c>
      <c r="P6" s="145"/>
    </row>
    <row r="7" spans="2:16" s="47" customFormat="1" ht="29.1" customHeight="1">
      <c r="B7" s="57" t="s">
        <v>1992</v>
      </c>
      <c r="C7" s="48"/>
      <c r="D7" s="54"/>
      <c r="E7" s="55"/>
      <c r="F7" s="51"/>
      <c r="G7" s="51">
        <f t="shared" si="0"/>
        <v>778315</v>
      </c>
      <c r="H7" s="51"/>
      <c r="I7" s="51">
        <f>SUM(I8:I9)</f>
        <v>0</v>
      </c>
      <c r="J7" s="56"/>
      <c r="K7" s="51">
        <f>SUM(K8:K9)</f>
        <v>778315</v>
      </c>
      <c r="L7" s="51"/>
      <c r="M7" s="51">
        <f>SUM(M8:M9)</f>
        <v>0</v>
      </c>
      <c r="N7" s="1678"/>
    </row>
    <row r="8" spans="2:16" s="47" customFormat="1" ht="29.1" customHeight="1">
      <c r="B8" s="58" t="s">
        <v>109</v>
      </c>
      <c r="C8" s="48"/>
      <c r="D8" s="54">
        <f>적용수량!AD8</f>
        <v>1</v>
      </c>
      <c r="E8" s="55" t="s">
        <v>37</v>
      </c>
      <c r="F8" s="51"/>
      <c r="G8" s="56">
        <f t="shared" si="0"/>
        <v>317687</v>
      </c>
      <c r="H8" s="51"/>
      <c r="I8" s="51"/>
      <c r="J8" s="56">
        <f>일위대가!E22</f>
        <v>317687</v>
      </c>
      <c r="K8" s="56">
        <f>J8*D8</f>
        <v>317687</v>
      </c>
      <c r="L8" s="51"/>
      <c r="M8" s="51"/>
      <c r="N8" s="1678" t="s">
        <v>1966</v>
      </c>
    </row>
    <row r="9" spans="2:16" s="47" customFormat="1" ht="29.1" customHeight="1">
      <c r="B9" s="58" t="s">
        <v>108</v>
      </c>
      <c r="C9" s="48"/>
      <c r="D9" s="54">
        <f>적용수량!AD9</f>
        <v>1</v>
      </c>
      <c r="E9" s="55" t="s">
        <v>37</v>
      </c>
      <c r="F9" s="51"/>
      <c r="G9" s="56">
        <f t="shared" si="0"/>
        <v>460628</v>
      </c>
      <c r="H9" s="56"/>
      <c r="I9" s="56"/>
      <c r="J9" s="56">
        <f>일위대가!E33</f>
        <v>460628</v>
      </c>
      <c r="K9" s="56">
        <f>J9*D9</f>
        <v>460628</v>
      </c>
      <c r="L9" s="51"/>
      <c r="M9" s="51"/>
      <c r="N9" s="1678" t="s">
        <v>1967</v>
      </c>
      <c r="O9" s="53"/>
    </row>
    <row r="10" spans="2:16" s="47" customFormat="1" ht="29.1" customHeight="1">
      <c r="B10" s="57" t="s">
        <v>1993</v>
      </c>
      <c r="C10" s="48"/>
      <c r="D10" s="54"/>
      <c r="E10" s="55"/>
      <c r="F10" s="51"/>
      <c r="G10" s="51">
        <f t="shared" si="0"/>
        <v>9259211.2799999993</v>
      </c>
      <c r="H10" s="51"/>
      <c r="I10" s="51">
        <f>I11+I12</f>
        <v>0</v>
      </c>
      <c r="J10" s="59"/>
      <c r="K10" s="51">
        <f>K11+K12</f>
        <v>9259211.2799999993</v>
      </c>
      <c r="L10" s="51"/>
      <c r="M10" s="51">
        <f>M11+M12</f>
        <v>0</v>
      </c>
      <c r="N10" s="1678"/>
    </row>
    <row r="11" spans="2:16" s="47" customFormat="1" ht="29.1" customHeight="1">
      <c r="B11" s="58" t="s">
        <v>116</v>
      </c>
      <c r="C11" s="48"/>
      <c r="D11" s="54">
        <f>적용수량!AD11</f>
        <v>1</v>
      </c>
      <c r="E11" s="55" t="s">
        <v>37</v>
      </c>
      <c r="F11" s="51"/>
      <c r="G11" s="56">
        <f t="shared" si="0"/>
        <v>68387</v>
      </c>
      <c r="H11" s="51"/>
      <c r="I11" s="51"/>
      <c r="J11" s="59">
        <f>일위대가!E42</f>
        <v>68387</v>
      </c>
      <c r="K11" s="56">
        <f>J11*D11</f>
        <v>68387</v>
      </c>
      <c r="L11" s="51"/>
      <c r="M11" s="51"/>
      <c r="N11" s="1678" t="s">
        <v>1968</v>
      </c>
    </row>
    <row r="12" spans="2:16" s="47" customFormat="1" ht="29.1" customHeight="1">
      <c r="B12" s="58" t="s">
        <v>122</v>
      </c>
      <c r="C12" s="48"/>
      <c r="D12" s="60"/>
      <c r="E12" s="55"/>
      <c r="F12" s="51"/>
      <c r="G12" s="56">
        <f t="shared" si="0"/>
        <v>9190824.2799999993</v>
      </c>
      <c r="H12" s="56"/>
      <c r="I12" s="56">
        <f>SUM(I13:I18)</f>
        <v>0</v>
      </c>
      <c r="J12" s="56"/>
      <c r="K12" s="56">
        <f>SUM(K13:K18)</f>
        <v>9190824.2799999993</v>
      </c>
      <c r="L12" s="51"/>
      <c r="M12" s="51">
        <f>SUM(M13:M18)</f>
        <v>0</v>
      </c>
      <c r="N12" s="1678"/>
    </row>
    <row r="13" spans="2:16" s="47" customFormat="1" ht="29.1" customHeight="1">
      <c r="B13" s="58" t="s">
        <v>123</v>
      </c>
      <c r="C13" s="48"/>
      <c r="D13" s="54">
        <f>적용수량!AD13</f>
        <v>0.3</v>
      </c>
      <c r="E13" s="55" t="s">
        <v>182</v>
      </c>
      <c r="F13" s="51"/>
      <c r="G13" s="56">
        <f t="shared" si="0"/>
        <v>576951.9</v>
      </c>
      <c r="H13" s="51"/>
      <c r="I13" s="51"/>
      <c r="J13" s="56">
        <f>일위대가!E53</f>
        <v>1923173</v>
      </c>
      <c r="K13" s="56">
        <f>J13*D13</f>
        <v>576951.9</v>
      </c>
      <c r="L13" s="51"/>
      <c r="M13" s="51"/>
      <c r="N13" s="1678" t="s">
        <v>1969</v>
      </c>
    </row>
    <row r="14" spans="2:16" s="47" customFormat="1" ht="29.1" customHeight="1">
      <c r="B14" s="58" t="s">
        <v>99</v>
      </c>
      <c r="C14" s="48"/>
      <c r="D14" s="54">
        <f>적용수량!AD14</f>
        <v>0.3</v>
      </c>
      <c r="E14" s="55" t="s">
        <v>182</v>
      </c>
      <c r="F14" s="51"/>
      <c r="G14" s="56">
        <f t="shared" si="0"/>
        <v>170598</v>
      </c>
      <c r="H14" s="51"/>
      <c r="I14" s="51"/>
      <c r="J14" s="56">
        <f>일위대가!E62</f>
        <v>568660</v>
      </c>
      <c r="K14" s="56">
        <f>J14*D14</f>
        <v>170598</v>
      </c>
      <c r="L14" s="51"/>
      <c r="M14" s="51"/>
      <c r="N14" s="1678" t="s">
        <v>1970</v>
      </c>
    </row>
    <row r="15" spans="2:16" s="47" customFormat="1" ht="29.1" customHeight="1">
      <c r="B15" s="58" t="s">
        <v>100</v>
      </c>
      <c r="C15" s="48"/>
      <c r="D15" s="54">
        <f>적용수량!AD15</f>
        <v>0.3</v>
      </c>
      <c r="E15" s="55" t="s">
        <v>55</v>
      </c>
      <c r="F15" s="51"/>
      <c r="G15" s="56">
        <f t="shared" si="0"/>
        <v>156071.69999999998</v>
      </c>
      <c r="H15" s="56"/>
      <c r="I15" s="56"/>
      <c r="J15" s="56">
        <f>일위대가!E72</f>
        <v>520239</v>
      </c>
      <c r="K15" s="56">
        <f>J15*D15</f>
        <v>156071.69999999998</v>
      </c>
      <c r="L15" s="51"/>
      <c r="M15" s="51"/>
      <c r="N15" s="1678" t="s">
        <v>1971</v>
      </c>
      <c r="O15" s="53"/>
    </row>
    <row r="16" spans="2:16" s="47" customFormat="1" ht="29.1" customHeight="1">
      <c r="B16" s="58" t="s">
        <v>101</v>
      </c>
      <c r="C16" s="48"/>
      <c r="D16" s="54">
        <f>적용수량!AD16</f>
        <v>0</v>
      </c>
      <c r="E16" s="55" t="s">
        <v>66</v>
      </c>
      <c r="F16" s="56"/>
      <c r="G16" s="56">
        <f t="shared" si="0"/>
        <v>0</v>
      </c>
      <c r="H16" s="56"/>
      <c r="I16" s="56"/>
      <c r="J16" s="59">
        <f>일위대가!E81</f>
        <v>1338166</v>
      </c>
      <c r="K16" s="56">
        <f>J16*D16</f>
        <v>0</v>
      </c>
      <c r="L16" s="51"/>
      <c r="M16" s="51"/>
      <c r="N16" s="1678" t="s">
        <v>1972</v>
      </c>
    </row>
    <row r="17" spans="2:16" s="47" customFormat="1" ht="29.1" customHeight="1">
      <c r="B17" s="58" t="s">
        <v>204</v>
      </c>
      <c r="C17" s="48"/>
      <c r="D17" s="54">
        <f>적용수량!AD17</f>
        <v>1.95</v>
      </c>
      <c r="E17" s="55" t="s">
        <v>188</v>
      </c>
      <c r="F17" s="56"/>
      <c r="G17" s="56">
        <f t="shared" si="0"/>
        <v>2674132.5</v>
      </c>
      <c r="H17" s="56"/>
      <c r="I17" s="56"/>
      <c r="J17" s="59">
        <f>일위대가!E92</f>
        <v>1371350</v>
      </c>
      <c r="K17" s="56">
        <f>J17*D17</f>
        <v>2674132.5</v>
      </c>
      <c r="L17" s="51"/>
      <c r="M17" s="51"/>
      <c r="N17" s="1678" t="s">
        <v>1973</v>
      </c>
    </row>
    <row r="18" spans="2:16" s="47" customFormat="1" ht="29.1" customHeight="1">
      <c r="B18" s="58" t="s">
        <v>115</v>
      </c>
      <c r="C18" s="48"/>
      <c r="D18" s="54">
        <f>적용수량!AD18</f>
        <v>5.14</v>
      </c>
      <c r="E18" s="55" t="s">
        <v>66</v>
      </c>
      <c r="F18" s="56"/>
      <c r="G18" s="56">
        <f t="shared" si="0"/>
        <v>5613070.1799999997</v>
      </c>
      <c r="H18" s="56"/>
      <c r="I18" s="56"/>
      <c r="J18" s="59">
        <f>일위대가!E101</f>
        <v>1092037</v>
      </c>
      <c r="K18" s="56">
        <f t="shared" ref="K18:K24" si="1">J18*D18</f>
        <v>5613070.1799999997</v>
      </c>
      <c r="L18" s="51"/>
      <c r="M18" s="51"/>
      <c r="N18" s="1678" t="s">
        <v>1974</v>
      </c>
    </row>
    <row r="19" spans="2:16" s="47" customFormat="1" ht="29.1" customHeight="1">
      <c r="B19" s="57" t="s">
        <v>1994</v>
      </c>
      <c r="C19" s="48"/>
      <c r="D19" s="54"/>
      <c r="E19" s="55"/>
      <c r="F19" s="56"/>
      <c r="G19" s="51">
        <f t="shared" si="0"/>
        <v>117837922.00999999</v>
      </c>
      <c r="H19" s="51"/>
      <c r="I19" s="51">
        <f>I20+I25</f>
        <v>0</v>
      </c>
      <c r="J19" s="156"/>
      <c r="K19" s="51">
        <f>K20+K25</f>
        <v>117837922.00999999</v>
      </c>
      <c r="L19" s="51"/>
      <c r="M19" s="51">
        <f>M20+M25</f>
        <v>0</v>
      </c>
      <c r="N19" s="1678"/>
    </row>
    <row r="20" spans="2:16" s="47" customFormat="1" ht="29.1" customHeight="1">
      <c r="B20" s="57" t="s">
        <v>7</v>
      </c>
      <c r="C20" s="48"/>
      <c r="D20" s="54"/>
      <c r="E20" s="55"/>
      <c r="F20" s="56"/>
      <c r="G20" s="56">
        <f t="shared" si="0"/>
        <v>100548477.88999999</v>
      </c>
      <c r="H20" s="56"/>
      <c r="I20" s="56">
        <f>SUM(I21:I24)</f>
        <v>0</v>
      </c>
      <c r="J20" s="59"/>
      <c r="K20" s="56">
        <f>SUM(K21:K24)</f>
        <v>100548477.88999999</v>
      </c>
      <c r="L20" s="51"/>
      <c r="M20" s="56">
        <f>SUM(M21:M24)</f>
        <v>0</v>
      </c>
      <c r="N20" s="1678"/>
    </row>
    <row r="21" spans="2:16" s="47" customFormat="1" ht="29.1" customHeight="1">
      <c r="B21" s="58" t="s">
        <v>8</v>
      </c>
      <c r="C21" s="48"/>
      <c r="D21" s="54">
        <f>적용수량!AD21</f>
        <v>5.14</v>
      </c>
      <c r="E21" s="55" t="s">
        <v>66</v>
      </c>
      <c r="F21" s="56"/>
      <c r="G21" s="56">
        <f t="shared" si="0"/>
        <v>86494537.339999989</v>
      </c>
      <c r="H21" s="56"/>
      <c r="I21" s="56"/>
      <c r="J21" s="59">
        <f>일위대가!E112</f>
        <v>16827731</v>
      </c>
      <c r="K21" s="56">
        <f t="shared" si="1"/>
        <v>86494537.339999989</v>
      </c>
      <c r="L21" s="51"/>
      <c r="M21" s="51"/>
      <c r="N21" s="1678" t="s">
        <v>1975</v>
      </c>
    </row>
    <row r="22" spans="2:16" s="47" customFormat="1" ht="29.1" customHeight="1">
      <c r="B22" s="58" t="s">
        <v>12</v>
      </c>
      <c r="C22" s="48"/>
      <c r="D22" s="54">
        <f>적용수량!AD22</f>
        <v>1.95</v>
      </c>
      <c r="E22" s="55" t="s">
        <v>64</v>
      </c>
      <c r="F22" s="56"/>
      <c r="G22" s="56">
        <f t="shared" si="0"/>
        <v>14053940.549999999</v>
      </c>
      <c r="H22" s="56"/>
      <c r="I22" s="56"/>
      <c r="J22" s="59">
        <f>일위대가!E121</f>
        <v>7207149</v>
      </c>
      <c r="K22" s="56">
        <f t="shared" si="1"/>
        <v>14053940.549999999</v>
      </c>
      <c r="L22" s="51"/>
      <c r="M22" s="51"/>
      <c r="N22" s="1678" t="s">
        <v>1976</v>
      </c>
    </row>
    <row r="23" spans="2:16" s="162" customFormat="1" ht="29.1" customHeight="1">
      <c r="B23" s="186" t="s">
        <v>118</v>
      </c>
      <c r="C23" s="227"/>
      <c r="D23" s="158">
        <f>적용수량!AD23</f>
        <v>0</v>
      </c>
      <c r="E23" s="187" t="s">
        <v>37</v>
      </c>
      <c r="F23" s="163"/>
      <c r="G23" s="163">
        <f t="shared" si="0"/>
        <v>0</v>
      </c>
      <c r="H23" s="163"/>
      <c r="I23" s="163"/>
      <c r="J23" s="164">
        <f>일위대가!E132</f>
        <v>16827731</v>
      </c>
      <c r="K23" s="56">
        <f t="shared" si="1"/>
        <v>0</v>
      </c>
      <c r="L23" s="165"/>
      <c r="M23" s="165"/>
      <c r="N23" s="1678" t="s">
        <v>1977</v>
      </c>
    </row>
    <row r="24" spans="2:16" s="162" customFormat="1" ht="29.1" customHeight="1">
      <c r="B24" s="186" t="s">
        <v>127</v>
      </c>
      <c r="C24" s="227"/>
      <c r="D24" s="158">
        <f>적용수량!AD24</f>
        <v>0</v>
      </c>
      <c r="E24" s="187" t="s">
        <v>37</v>
      </c>
      <c r="F24" s="163"/>
      <c r="G24" s="163">
        <f t="shared" si="0"/>
        <v>0</v>
      </c>
      <c r="H24" s="163"/>
      <c r="I24" s="163"/>
      <c r="J24" s="164">
        <f>일위대가!E141</f>
        <v>16827731</v>
      </c>
      <c r="K24" s="163">
        <f t="shared" si="1"/>
        <v>0</v>
      </c>
      <c r="L24" s="165"/>
      <c r="M24" s="165"/>
      <c r="N24" s="1678" t="s">
        <v>1978</v>
      </c>
    </row>
    <row r="25" spans="2:16" s="47" customFormat="1" ht="29.1" customHeight="1">
      <c r="B25" s="228" t="s">
        <v>215</v>
      </c>
      <c r="C25" s="227"/>
      <c r="D25" s="158"/>
      <c r="E25" s="187"/>
      <c r="F25" s="51"/>
      <c r="G25" s="56">
        <f t="shared" si="0"/>
        <v>17289444.119999997</v>
      </c>
      <c r="H25" s="56"/>
      <c r="I25" s="56">
        <f>SUM(I26:I29)</f>
        <v>0</v>
      </c>
      <c r="J25" s="56"/>
      <c r="K25" s="56">
        <f>SUM(K26:K29)</f>
        <v>17289444.119999997</v>
      </c>
      <c r="L25" s="56"/>
      <c r="M25" s="51">
        <f>SUM(M26:M29)</f>
        <v>0</v>
      </c>
      <c r="N25" s="1678"/>
    </row>
    <row r="26" spans="2:16" s="47" customFormat="1" ht="29.1" customHeight="1">
      <c r="B26" s="186" t="s">
        <v>220</v>
      </c>
      <c r="C26" s="227"/>
      <c r="D26" s="158">
        <f>적용수량!AD26</f>
        <v>6.6819999999999995</v>
      </c>
      <c r="E26" s="187" t="s">
        <v>185</v>
      </c>
      <c r="F26" s="51"/>
      <c r="G26" s="56">
        <f t="shared" ref="G26:G29" si="2">I26+K26+M26</f>
        <v>2825149.5999999996</v>
      </c>
      <c r="H26" s="51"/>
      <c r="I26" s="51"/>
      <c r="J26" s="56">
        <f>일위대가!E152</f>
        <v>422800</v>
      </c>
      <c r="K26" s="56">
        <f t="shared" ref="K26:K29" si="3">J26*D26</f>
        <v>2825149.5999999996</v>
      </c>
      <c r="L26" s="51"/>
      <c r="M26" s="51"/>
      <c r="N26" s="1678" t="s">
        <v>1979</v>
      </c>
    </row>
    <row r="27" spans="2:16" s="47" customFormat="1" ht="29.1" customHeight="1">
      <c r="B27" s="186" t="s">
        <v>221</v>
      </c>
      <c r="C27" s="227"/>
      <c r="D27" s="158">
        <f>적용수량!AD27</f>
        <v>0.26</v>
      </c>
      <c r="E27" s="187" t="s">
        <v>212</v>
      </c>
      <c r="F27" s="51"/>
      <c r="G27" s="56">
        <f t="shared" si="2"/>
        <v>7857749.1200000001</v>
      </c>
      <c r="H27" s="51"/>
      <c r="I27" s="51"/>
      <c r="J27" s="56">
        <f>일위대가!E162</f>
        <v>30222112</v>
      </c>
      <c r="K27" s="56">
        <f t="shared" si="3"/>
        <v>7857749.1200000001</v>
      </c>
      <c r="L27" s="51"/>
      <c r="M27" s="51"/>
      <c r="N27" s="1678" t="s">
        <v>1980</v>
      </c>
    </row>
    <row r="28" spans="2:16" s="47" customFormat="1" ht="29.1" customHeight="1">
      <c r="B28" s="186" t="s">
        <v>244</v>
      </c>
      <c r="C28" s="227"/>
      <c r="D28" s="158">
        <f>적용수량!AD28</f>
        <v>1.3</v>
      </c>
      <c r="E28" s="187" t="s">
        <v>245</v>
      </c>
      <c r="F28" s="51"/>
      <c r="G28" s="56">
        <f t="shared" si="2"/>
        <v>2422056</v>
      </c>
      <c r="H28" s="51"/>
      <c r="I28" s="51"/>
      <c r="J28" s="56">
        <f>일위대가!E171</f>
        <v>1863120</v>
      </c>
      <c r="K28" s="56">
        <f t="shared" si="3"/>
        <v>2422056</v>
      </c>
      <c r="L28" s="51"/>
      <c r="M28" s="51"/>
      <c r="N28" s="1678" t="s">
        <v>1981</v>
      </c>
    </row>
    <row r="29" spans="2:16" s="47" customFormat="1" ht="29.1" customHeight="1">
      <c r="B29" s="186" t="s">
        <v>222</v>
      </c>
      <c r="C29" s="227"/>
      <c r="D29" s="158">
        <f>적용수량!AD29</f>
        <v>1.3</v>
      </c>
      <c r="E29" s="187" t="s">
        <v>246</v>
      </c>
      <c r="F29" s="51"/>
      <c r="G29" s="56">
        <f t="shared" si="2"/>
        <v>4184489.4000000004</v>
      </c>
      <c r="H29" s="51"/>
      <c r="I29" s="51"/>
      <c r="J29" s="56">
        <f>일위대가!E182</f>
        <v>3218838</v>
      </c>
      <c r="K29" s="56">
        <f t="shared" si="3"/>
        <v>4184489.4000000004</v>
      </c>
      <c r="L29" s="51"/>
      <c r="M29" s="51"/>
      <c r="N29" s="1678" t="s">
        <v>1982</v>
      </c>
    </row>
    <row r="30" spans="2:16" s="47" customFormat="1" ht="29.1" customHeight="1">
      <c r="B30" s="57" t="s">
        <v>2024</v>
      </c>
      <c r="C30" s="48"/>
      <c r="D30" s="54"/>
      <c r="E30" s="55"/>
      <c r="F30" s="51"/>
      <c r="G30" s="51">
        <f>I30+K30+M30</f>
        <v>4093375</v>
      </c>
      <c r="H30" s="51"/>
      <c r="I30" s="51"/>
      <c r="J30" s="56"/>
      <c r="K30" s="51">
        <f>SUM(K31:K32)</f>
        <v>4093375</v>
      </c>
      <c r="L30" s="56"/>
      <c r="M30" s="51">
        <f>SUM(M31:M32)</f>
        <v>0</v>
      </c>
      <c r="N30" s="1678"/>
    </row>
    <row r="31" spans="2:16" s="47" customFormat="1" ht="29.1" customHeight="1">
      <c r="B31" s="186" t="s">
        <v>1932</v>
      </c>
      <c r="C31" s="227"/>
      <c r="D31" s="286">
        <f>적용수량!AD31</f>
        <v>1</v>
      </c>
      <c r="E31" s="187" t="s">
        <v>214</v>
      </c>
      <c r="F31" s="51"/>
      <c r="G31" s="56">
        <f t="shared" ref="G31:G32" si="4">I31+K31+M31</f>
        <v>3075941</v>
      </c>
      <c r="H31" s="51"/>
      <c r="I31" s="51"/>
      <c r="J31" s="56">
        <f>일위대가!E192</f>
        <v>3075941</v>
      </c>
      <c r="K31" s="56">
        <f t="shared" ref="K31:K32" si="5">J31*D31</f>
        <v>3075941</v>
      </c>
      <c r="L31" s="51"/>
      <c r="M31" s="51"/>
      <c r="N31" s="1678" t="s">
        <v>1983</v>
      </c>
      <c r="P31" s="1676"/>
    </row>
    <row r="32" spans="2:16" s="47" customFormat="1" ht="29.1" customHeight="1">
      <c r="B32" s="229" t="s">
        <v>1933</v>
      </c>
      <c r="C32" s="227"/>
      <c r="D32" s="286">
        <v>1</v>
      </c>
      <c r="E32" s="187" t="s">
        <v>56</v>
      </c>
      <c r="F32" s="51"/>
      <c r="G32" s="56">
        <f t="shared" si="4"/>
        <v>1017434</v>
      </c>
      <c r="H32" s="51"/>
      <c r="I32" s="51"/>
      <c r="J32" s="56">
        <f>일위대가!E202</f>
        <v>1017434</v>
      </c>
      <c r="K32" s="56">
        <f t="shared" si="5"/>
        <v>1017434</v>
      </c>
      <c r="L32" s="51"/>
      <c r="M32" s="51"/>
      <c r="N32" s="1678" t="s">
        <v>1984</v>
      </c>
      <c r="P32" s="1677"/>
    </row>
    <row r="33" spans="2:15" ht="29.1" customHeight="1">
      <c r="B33" s="57" t="s">
        <v>174</v>
      </c>
      <c r="C33" s="48"/>
      <c r="D33" s="54"/>
      <c r="E33" s="55"/>
      <c r="F33" s="51"/>
      <c r="G33" s="51">
        <f>I33+K33+M33</f>
        <v>900000</v>
      </c>
      <c r="H33" s="51"/>
      <c r="I33" s="51"/>
      <c r="J33" s="56"/>
      <c r="K33" s="51"/>
      <c r="L33" s="56"/>
      <c r="M33" s="51">
        <f>SUM(M34)</f>
        <v>900000</v>
      </c>
      <c r="N33" s="1678"/>
      <c r="O33" s="53"/>
    </row>
    <row r="34" spans="2:15" ht="29.1" customHeight="1">
      <c r="B34" s="234" t="s">
        <v>97</v>
      </c>
      <c r="C34" s="230"/>
      <c r="D34" s="235">
        <v>1</v>
      </c>
      <c r="E34" s="236" t="s">
        <v>56</v>
      </c>
      <c r="F34" s="61"/>
      <c r="G34" s="61">
        <f>I34+K34+M34</f>
        <v>900000</v>
      </c>
      <c r="H34" s="61"/>
      <c r="I34" s="61"/>
      <c r="J34" s="61"/>
      <c r="K34" s="61"/>
      <c r="L34" s="61">
        <f>일위대가!J207</f>
        <v>900000</v>
      </c>
      <c r="M34" s="61">
        <f>D34*L34</f>
        <v>900000</v>
      </c>
      <c r="N34" s="1679" t="s">
        <v>1985</v>
      </c>
    </row>
  </sheetData>
  <mergeCells count="9">
    <mergeCell ref="J1:K1"/>
    <mergeCell ref="L1:M1"/>
    <mergeCell ref="N1:N2"/>
    <mergeCell ref="B1:B2"/>
    <mergeCell ref="C1:C2"/>
    <mergeCell ref="D1:D2"/>
    <mergeCell ref="E1:E2"/>
    <mergeCell ref="F1:G1"/>
    <mergeCell ref="H1:I1"/>
  </mergeCells>
  <phoneticPr fontId="181" type="noConversion"/>
  <printOptions horizontalCentered="1"/>
  <pageMargins left="0.47244094488188981" right="0.47244094488188981" top="0.39370078740157483" bottom="0.39370078740157483" header="0.11811023622047245" footer="0.11811023622047245"/>
  <pageSetup paperSize="9" scale="73" fitToWidth="0" fitToHeight="0" orientation="landscape" r:id="rId1"/>
  <headerFooter>
    <oddFooter>&amp;N페이지 중 &amp;P페이지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일위대가">
    <tabColor rgb="FF92D050"/>
  </sheetPr>
  <dimension ref="A1:AB209"/>
  <sheetViews>
    <sheetView view="pageBreakPreview" zoomScale="85" zoomScaleNormal="85" zoomScaleSheetLayoutView="85" workbookViewId="0">
      <selection activeCell="O17" sqref="O17"/>
    </sheetView>
  </sheetViews>
  <sheetFormatPr defaultColWidth="8.77734375" defaultRowHeight="24.95" customHeight="1"/>
  <cols>
    <col min="1" max="1" width="17.44140625" style="36" customWidth="1"/>
    <col min="2" max="2" width="7.77734375" style="36" customWidth="1"/>
    <col min="3" max="3" width="7.77734375" style="105" customWidth="1"/>
    <col min="4" max="4" width="4.21875" style="36" customWidth="1"/>
    <col min="5" max="5" width="15" style="36" bestFit="1" customWidth="1"/>
    <col min="6" max="6" width="14.44140625" style="36" bestFit="1" customWidth="1"/>
    <col min="7" max="8" width="8.33203125" style="36" customWidth="1"/>
    <col min="9" max="9" width="10.33203125" style="36" customWidth="1"/>
    <col min="10" max="10" width="14.44140625" style="36" bestFit="1" customWidth="1"/>
    <col min="11" max="12" width="10.33203125" style="36" customWidth="1"/>
    <col min="13" max="13" width="7.33203125" style="36" customWidth="1"/>
    <col min="14" max="14" width="11.21875" style="36" bestFit="1" customWidth="1"/>
    <col min="15" max="15" width="8.88671875" style="36"/>
    <col min="16" max="17" width="8.6640625" style="36" customWidth="1"/>
    <col min="18" max="18" width="15.88671875" style="36" bestFit="1" customWidth="1"/>
    <col min="19" max="256" width="8.88671875" style="36"/>
    <col min="257" max="257" width="17.44140625" style="36" customWidth="1"/>
    <col min="258" max="259" width="7.77734375" style="36" customWidth="1"/>
    <col min="260" max="260" width="4.21875" style="36" customWidth="1"/>
    <col min="261" max="262" width="11.77734375" style="36" customWidth="1"/>
    <col min="263" max="264" width="8.33203125" style="36" customWidth="1"/>
    <col min="265" max="265" width="10.33203125" style="36" customWidth="1"/>
    <col min="266" max="266" width="11.77734375" style="36" customWidth="1"/>
    <col min="267" max="268" width="10.33203125" style="36" customWidth="1"/>
    <col min="269" max="269" width="7.33203125" style="36" customWidth="1"/>
    <col min="270" max="270" width="11.21875" style="36" bestFit="1" customWidth="1"/>
    <col min="271" max="273" width="8.88671875" style="36"/>
    <col min="274" max="274" width="13.5546875" style="36" bestFit="1" customWidth="1"/>
    <col min="275" max="512" width="8.88671875" style="36"/>
    <col min="513" max="513" width="17.44140625" style="36" customWidth="1"/>
    <col min="514" max="515" width="7.77734375" style="36" customWidth="1"/>
    <col min="516" max="516" width="4.21875" style="36" customWidth="1"/>
    <col min="517" max="518" width="11.77734375" style="36" customWidth="1"/>
    <col min="519" max="520" width="8.33203125" style="36" customWidth="1"/>
    <col min="521" max="521" width="10.33203125" style="36" customWidth="1"/>
    <col min="522" max="522" width="11.77734375" style="36" customWidth="1"/>
    <col min="523" max="524" width="10.33203125" style="36" customWidth="1"/>
    <col min="525" max="525" width="7.33203125" style="36" customWidth="1"/>
    <col min="526" max="526" width="11.21875" style="36" bestFit="1" customWidth="1"/>
    <col min="527" max="529" width="8.88671875" style="36"/>
    <col min="530" max="530" width="13.5546875" style="36" bestFit="1" customWidth="1"/>
    <col min="531" max="768" width="8.88671875" style="36"/>
    <col min="769" max="769" width="17.44140625" style="36" customWidth="1"/>
    <col min="770" max="771" width="7.77734375" style="36" customWidth="1"/>
    <col min="772" max="772" width="4.21875" style="36" customWidth="1"/>
    <col min="773" max="774" width="11.77734375" style="36" customWidth="1"/>
    <col min="775" max="776" width="8.33203125" style="36" customWidth="1"/>
    <col min="777" max="777" width="10.33203125" style="36" customWidth="1"/>
    <col min="778" max="778" width="11.77734375" style="36" customWidth="1"/>
    <col min="779" max="780" width="10.33203125" style="36" customWidth="1"/>
    <col min="781" max="781" width="7.33203125" style="36" customWidth="1"/>
    <col min="782" max="782" width="11.21875" style="36" bestFit="1" customWidth="1"/>
    <col min="783" max="785" width="8.88671875" style="36"/>
    <col min="786" max="786" width="13.5546875" style="36" bestFit="1" customWidth="1"/>
    <col min="787" max="1024" width="8.88671875" style="36"/>
    <col min="1025" max="1025" width="17.44140625" style="36" customWidth="1"/>
    <col min="1026" max="1027" width="7.77734375" style="36" customWidth="1"/>
    <col min="1028" max="1028" width="4.21875" style="36" customWidth="1"/>
    <col min="1029" max="1030" width="11.77734375" style="36" customWidth="1"/>
    <col min="1031" max="1032" width="8.33203125" style="36" customWidth="1"/>
    <col min="1033" max="1033" width="10.33203125" style="36" customWidth="1"/>
    <col min="1034" max="1034" width="11.77734375" style="36" customWidth="1"/>
    <col min="1035" max="1036" width="10.33203125" style="36" customWidth="1"/>
    <col min="1037" max="1037" width="7.33203125" style="36" customWidth="1"/>
    <col min="1038" max="1038" width="11.21875" style="36" bestFit="1" customWidth="1"/>
    <col min="1039" max="1041" width="8.88671875" style="36"/>
    <col min="1042" max="1042" width="13.5546875" style="36" bestFit="1" customWidth="1"/>
    <col min="1043" max="1280" width="8.88671875" style="36"/>
    <col min="1281" max="1281" width="17.44140625" style="36" customWidth="1"/>
    <col min="1282" max="1283" width="7.77734375" style="36" customWidth="1"/>
    <col min="1284" max="1284" width="4.21875" style="36" customWidth="1"/>
    <col min="1285" max="1286" width="11.77734375" style="36" customWidth="1"/>
    <col min="1287" max="1288" width="8.33203125" style="36" customWidth="1"/>
    <col min="1289" max="1289" width="10.33203125" style="36" customWidth="1"/>
    <col min="1290" max="1290" width="11.77734375" style="36" customWidth="1"/>
    <col min="1291" max="1292" width="10.33203125" style="36" customWidth="1"/>
    <col min="1293" max="1293" width="7.33203125" style="36" customWidth="1"/>
    <col min="1294" max="1294" width="11.21875" style="36" bestFit="1" customWidth="1"/>
    <col min="1295" max="1297" width="8.88671875" style="36"/>
    <col min="1298" max="1298" width="13.5546875" style="36" bestFit="1" customWidth="1"/>
    <col min="1299" max="1536" width="8.88671875" style="36"/>
    <col min="1537" max="1537" width="17.44140625" style="36" customWidth="1"/>
    <col min="1538" max="1539" width="7.77734375" style="36" customWidth="1"/>
    <col min="1540" max="1540" width="4.21875" style="36" customWidth="1"/>
    <col min="1541" max="1542" width="11.77734375" style="36" customWidth="1"/>
    <col min="1543" max="1544" width="8.33203125" style="36" customWidth="1"/>
    <col min="1545" max="1545" width="10.33203125" style="36" customWidth="1"/>
    <col min="1546" max="1546" width="11.77734375" style="36" customWidth="1"/>
    <col min="1547" max="1548" width="10.33203125" style="36" customWidth="1"/>
    <col min="1549" max="1549" width="7.33203125" style="36" customWidth="1"/>
    <col min="1550" max="1550" width="11.21875" style="36" bestFit="1" customWidth="1"/>
    <col min="1551" max="1553" width="8.88671875" style="36"/>
    <col min="1554" max="1554" width="13.5546875" style="36" bestFit="1" customWidth="1"/>
    <col min="1555" max="1792" width="8.88671875" style="36"/>
    <col min="1793" max="1793" width="17.44140625" style="36" customWidth="1"/>
    <col min="1794" max="1795" width="7.77734375" style="36" customWidth="1"/>
    <col min="1796" max="1796" width="4.21875" style="36" customWidth="1"/>
    <col min="1797" max="1798" width="11.77734375" style="36" customWidth="1"/>
    <col min="1799" max="1800" width="8.33203125" style="36" customWidth="1"/>
    <col min="1801" max="1801" width="10.33203125" style="36" customWidth="1"/>
    <col min="1802" max="1802" width="11.77734375" style="36" customWidth="1"/>
    <col min="1803" max="1804" width="10.33203125" style="36" customWidth="1"/>
    <col min="1805" max="1805" width="7.33203125" style="36" customWidth="1"/>
    <col min="1806" max="1806" width="11.21875" style="36" bestFit="1" customWidth="1"/>
    <col min="1807" max="1809" width="8.88671875" style="36"/>
    <col min="1810" max="1810" width="13.5546875" style="36" bestFit="1" customWidth="1"/>
    <col min="1811" max="2048" width="8.88671875" style="36"/>
    <col min="2049" max="2049" width="17.44140625" style="36" customWidth="1"/>
    <col min="2050" max="2051" width="7.77734375" style="36" customWidth="1"/>
    <col min="2052" max="2052" width="4.21875" style="36" customWidth="1"/>
    <col min="2053" max="2054" width="11.77734375" style="36" customWidth="1"/>
    <col min="2055" max="2056" width="8.33203125" style="36" customWidth="1"/>
    <col min="2057" max="2057" width="10.33203125" style="36" customWidth="1"/>
    <col min="2058" max="2058" width="11.77734375" style="36" customWidth="1"/>
    <col min="2059" max="2060" width="10.33203125" style="36" customWidth="1"/>
    <col min="2061" max="2061" width="7.33203125" style="36" customWidth="1"/>
    <col min="2062" max="2062" width="11.21875" style="36" bestFit="1" customWidth="1"/>
    <col min="2063" max="2065" width="8.88671875" style="36"/>
    <col min="2066" max="2066" width="13.5546875" style="36" bestFit="1" customWidth="1"/>
    <col min="2067" max="2304" width="8.88671875" style="36"/>
    <col min="2305" max="2305" width="17.44140625" style="36" customWidth="1"/>
    <col min="2306" max="2307" width="7.77734375" style="36" customWidth="1"/>
    <col min="2308" max="2308" width="4.21875" style="36" customWidth="1"/>
    <col min="2309" max="2310" width="11.77734375" style="36" customWidth="1"/>
    <col min="2311" max="2312" width="8.33203125" style="36" customWidth="1"/>
    <col min="2313" max="2313" width="10.33203125" style="36" customWidth="1"/>
    <col min="2314" max="2314" width="11.77734375" style="36" customWidth="1"/>
    <col min="2315" max="2316" width="10.33203125" style="36" customWidth="1"/>
    <col min="2317" max="2317" width="7.33203125" style="36" customWidth="1"/>
    <col min="2318" max="2318" width="11.21875" style="36" bestFit="1" customWidth="1"/>
    <col min="2319" max="2321" width="8.88671875" style="36"/>
    <col min="2322" max="2322" width="13.5546875" style="36" bestFit="1" customWidth="1"/>
    <col min="2323" max="2560" width="8.88671875" style="36"/>
    <col min="2561" max="2561" width="17.44140625" style="36" customWidth="1"/>
    <col min="2562" max="2563" width="7.77734375" style="36" customWidth="1"/>
    <col min="2564" max="2564" width="4.21875" style="36" customWidth="1"/>
    <col min="2565" max="2566" width="11.77734375" style="36" customWidth="1"/>
    <col min="2567" max="2568" width="8.33203125" style="36" customWidth="1"/>
    <col min="2569" max="2569" width="10.33203125" style="36" customWidth="1"/>
    <col min="2570" max="2570" width="11.77734375" style="36" customWidth="1"/>
    <col min="2571" max="2572" width="10.33203125" style="36" customWidth="1"/>
    <col min="2573" max="2573" width="7.33203125" style="36" customWidth="1"/>
    <col min="2574" max="2574" width="11.21875" style="36" bestFit="1" customWidth="1"/>
    <col min="2575" max="2577" width="8.88671875" style="36"/>
    <col min="2578" max="2578" width="13.5546875" style="36" bestFit="1" customWidth="1"/>
    <col min="2579" max="2816" width="8.88671875" style="36"/>
    <col min="2817" max="2817" width="17.44140625" style="36" customWidth="1"/>
    <col min="2818" max="2819" width="7.77734375" style="36" customWidth="1"/>
    <col min="2820" max="2820" width="4.21875" style="36" customWidth="1"/>
    <col min="2821" max="2822" width="11.77734375" style="36" customWidth="1"/>
    <col min="2823" max="2824" width="8.33203125" style="36" customWidth="1"/>
    <col min="2825" max="2825" width="10.33203125" style="36" customWidth="1"/>
    <col min="2826" max="2826" width="11.77734375" style="36" customWidth="1"/>
    <col min="2827" max="2828" width="10.33203125" style="36" customWidth="1"/>
    <col min="2829" max="2829" width="7.33203125" style="36" customWidth="1"/>
    <col min="2830" max="2830" width="11.21875" style="36" bestFit="1" customWidth="1"/>
    <col min="2831" max="2833" width="8.88671875" style="36"/>
    <col min="2834" max="2834" width="13.5546875" style="36" bestFit="1" customWidth="1"/>
    <col min="2835" max="3072" width="8.88671875" style="36"/>
    <col min="3073" max="3073" width="17.44140625" style="36" customWidth="1"/>
    <col min="3074" max="3075" width="7.77734375" style="36" customWidth="1"/>
    <col min="3076" max="3076" width="4.21875" style="36" customWidth="1"/>
    <col min="3077" max="3078" width="11.77734375" style="36" customWidth="1"/>
    <col min="3079" max="3080" width="8.33203125" style="36" customWidth="1"/>
    <col min="3081" max="3081" width="10.33203125" style="36" customWidth="1"/>
    <col min="3082" max="3082" width="11.77734375" style="36" customWidth="1"/>
    <col min="3083" max="3084" width="10.33203125" style="36" customWidth="1"/>
    <col min="3085" max="3085" width="7.33203125" style="36" customWidth="1"/>
    <col min="3086" max="3086" width="11.21875" style="36" bestFit="1" customWidth="1"/>
    <col min="3087" max="3089" width="8.88671875" style="36"/>
    <col min="3090" max="3090" width="13.5546875" style="36" bestFit="1" customWidth="1"/>
    <col min="3091" max="3328" width="8.88671875" style="36"/>
    <col min="3329" max="3329" width="17.44140625" style="36" customWidth="1"/>
    <col min="3330" max="3331" width="7.77734375" style="36" customWidth="1"/>
    <col min="3332" max="3332" width="4.21875" style="36" customWidth="1"/>
    <col min="3333" max="3334" width="11.77734375" style="36" customWidth="1"/>
    <col min="3335" max="3336" width="8.33203125" style="36" customWidth="1"/>
    <col min="3337" max="3337" width="10.33203125" style="36" customWidth="1"/>
    <col min="3338" max="3338" width="11.77734375" style="36" customWidth="1"/>
    <col min="3339" max="3340" width="10.33203125" style="36" customWidth="1"/>
    <col min="3341" max="3341" width="7.33203125" style="36" customWidth="1"/>
    <col min="3342" max="3342" width="11.21875" style="36" bestFit="1" customWidth="1"/>
    <col min="3343" max="3345" width="8.88671875" style="36"/>
    <col min="3346" max="3346" width="13.5546875" style="36" bestFit="1" customWidth="1"/>
    <col min="3347" max="3584" width="8.88671875" style="36"/>
    <col min="3585" max="3585" width="17.44140625" style="36" customWidth="1"/>
    <col min="3586" max="3587" width="7.77734375" style="36" customWidth="1"/>
    <col min="3588" max="3588" width="4.21875" style="36" customWidth="1"/>
    <col min="3589" max="3590" width="11.77734375" style="36" customWidth="1"/>
    <col min="3591" max="3592" width="8.33203125" style="36" customWidth="1"/>
    <col min="3593" max="3593" width="10.33203125" style="36" customWidth="1"/>
    <col min="3594" max="3594" width="11.77734375" style="36" customWidth="1"/>
    <col min="3595" max="3596" width="10.33203125" style="36" customWidth="1"/>
    <col min="3597" max="3597" width="7.33203125" style="36" customWidth="1"/>
    <col min="3598" max="3598" width="11.21875" style="36" bestFit="1" customWidth="1"/>
    <col min="3599" max="3601" width="8.88671875" style="36"/>
    <col min="3602" max="3602" width="13.5546875" style="36" bestFit="1" customWidth="1"/>
    <col min="3603" max="3840" width="8.88671875" style="36"/>
    <col min="3841" max="3841" width="17.44140625" style="36" customWidth="1"/>
    <col min="3842" max="3843" width="7.77734375" style="36" customWidth="1"/>
    <col min="3844" max="3844" width="4.21875" style="36" customWidth="1"/>
    <col min="3845" max="3846" width="11.77734375" style="36" customWidth="1"/>
    <col min="3847" max="3848" width="8.33203125" style="36" customWidth="1"/>
    <col min="3849" max="3849" width="10.33203125" style="36" customWidth="1"/>
    <col min="3850" max="3850" width="11.77734375" style="36" customWidth="1"/>
    <col min="3851" max="3852" width="10.33203125" style="36" customWidth="1"/>
    <col min="3853" max="3853" width="7.33203125" style="36" customWidth="1"/>
    <col min="3854" max="3854" width="11.21875" style="36" bestFit="1" customWidth="1"/>
    <col min="3855" max="3857" width="8.88671875" style="36"/>
    <col min="3858" max="3858" width="13.5546875" style="36" bestFit="1" customWidth="1"/>
    <col min="3859" max="4096" width="8.88671875" style="36"/>
    <col min="4097" max="4097" width="17.44140625" style="36" customWidth="1"/>
    <col min="4098" max="4099" width="7.77734375" style="36" customWidth="1"/>
    <col min="4100" max="4100" width="4.21875" style="36" customWidth="1"/>
    <col min="4101" max="4102" width="11.77734375" style="36" customWidth="1"/>
    <col min="4103" max="4104" width="8.33203125" style="36" customWidth="1"/>
    <col min="4105" max="4105" width="10.33203125" style="36" customWidth="1"/>
    <col min="4106" max="4106" width="11.77734375" style="36" customWidth="1"/>
    <col min="4107" max="4108" width="10.33203125" style="36" customWidth="1"/>
    <col min="4109" max="4109" width="7.33203125" style="36" customWidth="1"/>
    <col min="4110" max="4110" width="11.21875" style="36" bestFit="1" customWidth="1"/>
    <col min="4111" max="4113" width="8.88671875" style="36"/>
    <col min="4114" max="4114" width="13.5546875" style="36" bestFit="1" customWidth="1"/>
    <col min="4115" max="4352" width="8.88671875" style="36"/>
    <col min="4353" max="4353" width="17.44140625" style="36" customWidth="1"/>
    <col min="4354" max="4355" width="7.77734375" style="36" customWidth="1"/>
    <col min="4356" max="4356" width="4.21875" style="36" customWidth="1"/>
    <col min="4357" max="4358" width="11.77734375" style="36" customWidth="1"/>
    <col min="4359" max="4360" width="8.33203125" style="36" customWidth="1"/>
    <col min="4361" max="4361" width="10.33203125" style="36" customWidth="1"/>
    <col min="4362" max="4362" width="11.77734375" style="36" customWidth="1"/>
    <col min="4363" max="4364" width="10.33203125" style="36" customWidth="1"/>
    <col min="4365" max="4365" width="7.33203125" style="36" customWidth="1"/>
    <col min="4366" max="4366" width="11.21875" style="36" bestFit="1" customWidth="1"/>
    <col min="4367" max="4369" width="8.88671875" style="36"/>
    <col min="4370" max="4370" width="13.5546875" style="36" bestFit="1" customWidth="1"/>
    <col min="4371" max="4608" width="8.88671875" style="36"/>
    <col min="4609" max="4609" width="17.44140625" style="36" customWidth="1"/>
    <col min="4610" max="4611" width="7.77734375" style="36" customWidth="1"/>
    <col min="4612" max="4612" width="4.21875" style="36" customWidth="1"/>
    <col min="4613" max="4614" width="11.77734375" style="36" customWidth="1"/>
    <col min="4615" max="4616" width="8.33203125" style="36" customWidth="1"/>
    <col min="4617" max="4617" width="10.33203125" style="36" customWidth="1"/>
    <col min="4618" max="4618" width="11.77734375" style="36" customWidth="1"/>
    <col min="4619" max="4620" width="10.33203125" style="36" customWidth="1"/>
    <col min="4621" max="4621" width="7.33203125" style="36" customWidth="1"/>
    <col min="4622" max="4622" width="11.21875" style="36" bestFit="1" customWidth="1"/>
    <col min="4623" max="4625" width="8.88671875" style="36"/>
    <col min="4626" max="4626" width="13.5546875" style="36" bestFit="1" customWidth="1"/>
    <col min="4627" max="4864" width="8.88671875" style="36"/>
    <col min="4865" max="4865" width="17.44140625" style="36" customWidth="1"/>
    <col min="4866" max="4867" width="7.77734375" style="36" customWidth="1"/>
    <col min="4868" max="4868" width="4.21875" style="36" customWidth="1"/>
    <col min="4869" max="4870" width="11.77734375" style="36" customWidth="1"/>
    <col min="4871" max="4872" width="8.33203125" style="36" customWidth="1"/>
    <col min="4873" max="4873" width="10.33203125" style="36" customWidth="1"/>
    <col min="4874" max="4874" width="11.77734375" style="36" customWidth="1"/>
    <col min="4875" max="4876" width="10.33203125" style="36" customWidth="1"/>
    <col min="4877" max="4877" width="7.33203125" style="36" customWidth="1"/>
    <col min="4878" max="4878" width="11.21875" style="36" bestFit="1" customWidth="1"/>
    <col min="4879" max="4881" width="8.88671875" style="36"/>
    <col min="4882" max="4882" width="13.5546875" style="36" bestFit="1" customWidth="1"/>
    <col min="4883" max="5120" width="8.88671875" style="36"/>
    <col min="5121" max="5121" width="17.44140625" style="36" customWidth="1"/>
    <col min="5122" max="5123" width="7.77734375" style="36" customWidth="1"/>
    <col min="5124" max="5124" width="4.21875" style="36" customWidth="1"/>
    <col min="5125" max="5126" width="11.77734375" style="36" customWidth="1"/>
    <col min="5127" max="5128" width="8.33203125" style="36" customWidth="1"/>
    <col min="5129" max="5129" width="10.33203125" style="36" customWidth="1"/>
    <col min="5130" max="5130" width="11.77734375" style="36" customWidth="1"/>
    <col min="5131" max="5132" width="10.33203125" style="36" customWidth="1"/>
    <col min="5133" max="5133" width="7.33203125" style="36" customWidth="1"/>
    <col min="5134" max="5134" width="11.21875" style="36" bestFit="1" customWidth="1"/>
    <col min="5135" max="5137" width="8.88671875" style="36"/>
    <col min="5138" max="5138" width="13.5546875" style="36" bestFit="1" customWidth="1"/>
    <col min="5139" max="5376" width="8.88671875" style="36"/>
    <col min="5377" max="5377" width="17.44140625" style="36" customWidth="1"/>
    <col min="5378" max="5379" width="7.77734375" style="36" customWidth="1"/>
    <col min="5380" max="5380" width="4.21875" style="36" customWidth="1"/>
    <col min="5381" max="5382" width="11.77734375" style="36" customWidth="1"/>
    <col min="5383" max="5384" width="8.33203125" style="36" customWidth="1"/>
    <col min="5385" max="5385" width="10.33203125" style="36" customWidth="1"/>
    <col min="5386" max="5386" width="11.77734375" style="36" customWidth="1"/>
    <col min="5387" max="5388" width="10.33203125" style="36" customWidth="1"/>
    <col min="5389" max="5389" width="7.33203125" style="36" customWidth="1"/>
    <col min="5390" max="5390" width="11.21875" style="36" bestFit="1" customWidth="1"/>
    <col min="5391" max="5393" width="8.88671875" style="36"/>
    <col min="5394" max="5394" width="13.5546875" style="36" bestFit="1" customWidth="1"/>
    <col min="5395" max="5632" width="8.88671875" style="36"/>
    <col min="5633" max="5633" width="17.44140625" style="36" customWidth="1"/>
    <col min="5634" max="5635" width="7.77734375" style="36" customWidth="1"/>
    <col min="5636" max="5636" width="4.21875" style="36" customWidth="1"/>
    <col min="5637" max="5638" width="11.77734375" style="36" customWidth="1"/>
    <col min="5639" max="5640" width="8.33203125" style="36" customWidth="1"/>
    <col min="5641" max="5641" width="10.33203125" style="36" customWidth="1"/>
    <col min="5642" max="5642" width="11.77734375" style="36" customWidth="1"/>
    <col min="5643" max="5644" width="10.33203125" style="36" customWidth="1"/>
    <col min="5645" max="5645" width="7.33203125" style="36" customWidth="1"/>
    <col min="5646" max="5646" width="11.21875" style="36" bestFit="1" customWidth="1"/>
    <col min="5647" max="5649" width="8.88671875" style="36"/>
    <col min="5650" max="5650" width="13.5546875" style="36" bestFit="1" customWidth="1"/>
    <col min="5651" max="5888" width="8.88671875" style="36"/>
    <col min="5889" max="5889" width="17.44140625" style="36" customWidth="1"/>
    <col min="5890" max="5891" width="7.77734375" style="36" customWidth="1"/>
    <col min="5892" max="5892" width="4.21875" style="36" customWidth="1"/>
    <col min="5893" max="5894" width="11.77734375" style="36" customWidth="1"/>
    <col min="5895" max="5896" width="8.33203125" style="36" customWidth="1"/>
    <col min="5897" max="5897" width="10.33203125" style="36" customWidth="1"/>
    <col min="5898" max="5898" width="11.77734375" style="36" customWidth="1"/>
    <col min="5899" max="5900" width="10.33203125" style="36" customWidth="1"/>
    <col min="5901" max="5901" width="7.33203125" style="36" customWidth="1"/>
    <col min="5902" max="5902" width="11.21875" style="36" bestFit="1" customWidth="1"/>
    <col min="5903" max="5905" width="8.88671875" style="36"/>
    <col min="5906" max="5906" width="13.5546875" style="36" bestFit="1" customWidth="1"/>
    <col min="5907" max="6144" width="8.88671875" style="36"/>
    <col min="6145" max="6145" width="17.44140625" style="36" customWidth="1"/>
    <col min="6146" max="6147" width="7.77734375" style="36" customWidth="1"/>
    <col min="6148" max="6148" width="4.21875" style="36" customWidth="1"/>
    <col min="6149" max="6150" width="11.77734375" style="36" customWidth="1"/>
    <col min="6151" max="6152" width="8.33203125" style="36" customWidth="1"/>
    <col min="6153" max="6153" width="10.33203125" style="36" customWidth="1"/>
    <col min="6154" max="6154" width="11.77734375" style="36" customWidth="1"/>
    <col min="6155" max="6156" width="10.33203125" style="36" customWidth="1"/>
    <col min="6157" max="6157" width="7.33203125" style="36" customWidth="1"/>
    <col min="6158" max="6158" width="11.21875" style="36" bestFit="1" customWidth="1"/>
    <col min="6159" max="6161" width="8.88671875" style="36"/>
    <col min="6162" max="6162" width="13.5546875" style="36" bestFit="1" customWidth="1"/>
    <col min="6163" max="6400" width="8.88671875" style="36"/>
    <col min="6401" max="6401" width="17.44140625" style="36" customWidth="1"/>
    <col min="6402" max="6403" width="7.77734375" style="36" customWidth="1"/>
    <col min="6404" max="6404" width="4.21875" style="36" customWidth="1"/>
    <col min="6405" max="6406" width="11.77734375" style="36" customWidth="1"/>
    <col min="6407" max="6408" width="8.33203125" style="36" customWidth="1"/>
    <col min="6409" max="6409" width="10.33203125" style="36" customWidth="1"/>
    <col min="6410" max="6410" width="11.77734375" style="36" customWidth="1"/>
    <col min="6411" max="6412" width="10.33203125" style="36" customWidth="1"/>
    <col min="6413" max="6413" width="7.33203125" style="36" customWidth="1"/>
    <col min="6414" max="6414" width="11.21875" style="36" bestFit="1" customWidth="1"/>
    <col min="6415" max="6417" width="8.88671875" style="36"/>
    <col min="6418" max="6418" width="13.5546875" style="36" bestFit="1" customWidth="1"/>
    <col min="6419" max="6656" width="8.88671875" style="36"/>
    <col min="6657" max="6657" width="17.44140625" style="36" customWidth="1"/>
    <col min="6658" max="6659" width="7.77734375" style="36" customWidth="1"/>
    <col min="6660" max="6660" width="4.21875" style="36" customWidth="1"/>
    <col min="6661" max="6662" width="11.77734375" style="36" customWidth="1"/>
    <col min="6663" max="6664" width="8.33203125" style="36" customWidth="1"/>
    <col min="6665" max="6665" width="10.33203125" style="36" customWidth="1"/>
    <col min="6666" max="6666" width="11.77734375" style="36" customWidth="1"/>
    <col min="6667" max="6668" width="10.33203125" style="36" customWidth="1"/>
    <col min="6669" max="6669" width="7.33203125" style="36" customWidth="1"/>
    <col min="6670" max="6670" width="11.21875" style="36" bestFit="1" customWidth="1"/>
    <col min="6671" max="6673" width="8.88671875" style="36"/>
    <col min="6674" max="6674" width="13.5546875" style="36" bestFit="1" customWidth="1"/>
    <col min="6675" max="6912" width="8.88671875" style="36"/>
    <col min="6913" max="6913" width="17.44140625" style="36" customWidth="1"/>
    <col min="6914" max="6915" width="7.77734375" style="36" customWidth="1"/>
    <col min="6916" max="6916" width="4.21875" style="36" customWidth="1"/>
    <col min="6917" max="6918" width="11.77734375" style="36" customWidth="1"/>
    <col min="6919" max="6920" width="8.33203125" style="36" customWidth="1"/>
    <col min="6921" max="6921" width="10.33203125" style="36" customWidth="1"/>
    <col min="6922" max="6922" width="11.77734375" style="36" customWidth="1"/>
    <col min="6923" max="6924" width="10.33203125" style="36" customWidth="1"/>
    <col min="6925" max="6925" width="7.33203125" style="36" customWidth="1"/>
    <col min="6926" max="6926" width="11.21875" style="36" bestFit="1" customWidth="1"/>
    <col min="6927" max="6929" width="8.88671875" style="36"/>
    <col min="6930" max="6930" width="13.5546875" style="36" bestFit="1" customWidth="1"/>
    <col min="6931" max="7168" width="8.88671875" style="36"/>
    <col min="7169" max="7169" width="17.44140625" style="36" customWidth="1"/>
    <col min="7170" max="7171" width="7.77734375" style="36" customWidth="1"/>
    <col min="7172" max="7172" width="4.21875" style="36" customWidth="1"/>
    <col min="7173" max="7174" width="11.77734375" style="36" customWidth="1"/>
    <col min="7175" max="7176" width="8.33203125" style="36" customWidth="1"/>
    <col min="7177" max="7177" width="10.33203125" style="36" customWidth="1"/>
    <col min="7178" max="7178" width="11.77734375" style="36" customWidth="1"/>
    <col min="7179" max="7180" width="10.33203125" style="36" customWidth="1"/>
    <col min="7181" max="7181" width="7.33203125" style="36" customWidth="1"/>
    <col min="7182" max="7182" width="11.21875" style="36" bestFit="1" customWidth="1"/>
    <col min="7183" max="7185" width="8.88671875" style="36"/>
    <col min="7186" max="7186" width="13.5546875" style="36" bestFit="1" customWidth="1"/>
    <col min="7187" max="7424" width="8.88671875" style="36"/>
    <col min="7425" max="7425" width="17.44140625" style="36" customWidth="1"/>
    <col min="7426" max="7427" width="7.77734375" style="36" customWidth="1"/>
    <col min="7428" max="7428" width="4.21875" style="36" customWidth="1"/>
    <col min="7429" max="7430" width="11.77734375" style="36" customWidth="1"/>
    <col min="7431" max="7432" width="8.33203125" style="36" customWidth="1"/>
    <col min="7433" max="7433" width="10.33203125" style="36" customWidth="1"/>
    <col min="7434" max="7434" width="11.77734375" style="36" customWidth="1"/>
    <col min="7435" max="7436" width="10.33203125" style="36" customWidth="1"/>
    <col min="7437" max="7437" width="7.33203125" style="36" customWidth="1"/>
    <col min="7438" max="7438" width="11.21875" style="36" bestFit="1" customWidth="1"/>
    <col min="7439" max="7441" width="8.88671875" style="36"/>
    <col min="7442" max="7442" width="13.5546875" style="36" bestFit="1" customWidth="1"/>
    <col min="7443" max="7680" width="8.88671875" style="36"/>
    <col min="7681" max="7681" width="17.44140625" style="36" customWidth="1"/>
    <col min="7682" max="7683" width="7.77734375" style="36" customWidth="1"/>
    <col min="7684" max="7684" width="4.21875" style="36" customWidth="1"/>
    <col min="7685" max="7686" width="11.77734375" style="36" customWidth="1"/>
    <col min="7687" max="7688" width="8.33203125" style="36" customWidth="1"/>
    <col min="7689" max="7689" width="10.33203125" style="36" customWidth="1"/>
    <col min="7690" max="7690" width="11.77734375" style="36" customWidth="1"/>
    <col min="7691" max="7692" width="10.33203125" style="36" customWidth="1"/>
    <col min="7693" max="7693" width="7.33203125" style="36" customWidth="1"/>
    <col min="7694" max="7694" width="11.21875" style="36" bestFit="1" customWidth="1"/>
    <col min="7695" max="7697" width="8.88671875" style="36"/>
    <col min="7698" max="7698" width="13.5546875" style="36" bestFit="1" customWidth="1"/>
    <col min="7699" max="7936" width="8.88671875" style="36"/>
    <col min="7937" max="7937" width="17.44140625" style="36" customWidth="1"/>
    <col min="7938" max="7939" width="7.77734375" style="36" customWidth="1"/>
    <col min="7940" max="7940" width="4.21875" style="36" customWidth="1"/>
    <col min="7941" max="7942" width="11.77734375" style="36" customWidth="1"/>
    <col min="7943" max="7944" width="8.33203125" style="36" customWidth="1"/>
    <col min="7945" max="7945" width="10.33203125" style="36" customWidth="1"/>
    <col min="7946" max="7946" width="11.77734375" style="36" customWidth="1"/>
    <col min="7947" max="7948" width="10.33203125" style="36" customWidth="1"/>
    <col min="7949" max="7949" width="7.33203125" style="36" customWidth="1"/>
    <col min="7950" max="7950" width="11.21875" style="36" bestFit="1" customWidth="1"/>
    <col min="7951" max="7953" width="8.88671875" style="36"/>
    <col min="7954" max="7954" width="13.5546875" style="36" bestFit="1" customWidth="1"/>
    <col min="7955" max="8192" width="8.88671875" style="36"/>
    <col min="8193" max="8193" width="17.44140625" style="36" customWidth="1"/>
    <col min="8194" max="8195" width="7.77734375" style="36" customWidth="1"/>
    <col min="8196" max="8196" width="4.21875" style="36" customWidth="1"/>
    <col min="8197" max="8198" width="11.77734375" style="36" customWidth="1"/>
    <col min="8199" max="8200" width="8.33203125" style="36" customWidth="1"/>
    <col min="8201" max="8201" width="10.33203125" style="36" customWidth="1"/>
    <col min="8202" max="8202" width="11.77734375" style="36" customWidth="1"/>
    <col min="8203" max="8204" width="10.33203125" style="36" customWidth="1"/>
    <col min="8205" max="8205" width="7.33203125" style="36" customWidth="1"/>
    <col min="8206" max="8206" width="11.21875" style="36" bestFit="1" customWidth="1"/>
    <col min="8207" max="8209" width="8.88671875" style="36"/>
    <col min="8210" max="8210" width="13.5546875" style="36" bestFit="1" customWidth="1"/>
    <col min="8211" max="8448" width="8.88671875" style="36"/>
    <col min="8449" max="8449" width="17.44140625" style="36" customWidth="1"/>
    <col min="8450" max="8451" width="7.77734375" style="36" customWidth="1"/>
    <col min="8452" max="8452" width="4.21875" style="36" customWidth="1"/>
    <col min="8453" max="8454" width="11.77734375" style="36" customWidth="1"/>
    <col min="8455" max="8456" width="8.33203125" style="36" customWidth="1"/>
    <col min="8457" max="8457" width="10.33203125" style="36" customWidth="1"/>
    <col min="8458" max="8458" width="11.77734375" style="36" customWidth="1"/>
    <col min="8459" max="8460" width="10.33203125" style="36" customWidth="1"/>
    <col min="8461" max="8461" width="7.33203125" style="36" customWidth="1"/>
    <col min="8462" max="8462" width="11.21875" style="36" bestFit="1" customWidth="1"/>
    <col min="8463" max="8465" width="8.88671875" style="36"/>
    <col min="8466" max="8466" width="13.5546875" style="36" bestFit="1" customWidth="1"/>
    <col min="8467" max="8704" width="8.88671875" style="36"/>
    <col min="8705" max="8705" width="17.44140625" style="36" customWidth="1"/>
    <col min="8706" max="8707" width="7.77734375" style="36" customWidth="1"/>
    <col min="8708" max="8708" width="4.21875" style="36" customWidth="1"/>
    <col min="8709" max="8710" width="11.77734375" style="36" customWidth="1"/>
    <col min="8711" max="8712" width="8.33203125" style="36" customWidth="1"/>
    <col min="8713" max="8713" width="10.33203125" style="36" customWidth="1"/>
    <col min="8714" max="8714" width="11.77734375" style="36" customWidth="1"/>
    <col min="8715" max="8716" width="10.33203125" style="36" customWidth="1"/>
    <col min="8717" max="8717" width="7.33203125" style="36" customWidth="1"/>
    <col min="8718" max="8718" width="11.21875" style="36" bestFit="1" customWidth="1"/>
    <col min="8719" max="8721" width="8.88671875" style="36"/>
    <col min="8722" max="8722" width="13.5546875" style="36" bestFit="1" customWidth="1"/>
    <col min="8723" max="8960" width="8.88671875" style="36"/>
    <col min="8961" max="8961" width="17.44140625" style="36" customWidth="1"/>
    <col min="8962" max="8963" width="7.77734375" style="36" customWidth="1"/>
    <col min="8964" max="8964" width="4.21875" style="36" customWidth="1"/>
    <col min="8965" max="8966" width="11.77734375" style="36" customWidth="1"/>
    <col min="8967" max="8968" width="8.33203125" style="36" customWidth="1"/>
    <col min="8969" max="8969" width="10.33203125" style="36" customWidth="1"/>
    <col min="8970" max="8970" width="11.77734375" style="36" customWidth="1"/>
    <col min="8971" max="8972" width="10.33203125" style="36" customWidth="1"/>
    <col min="8973" max="8973" width="7.33203125" style="36" customWidth="1"/>
    <col min="8974" max="8974" width="11.21875" style="36" bestFit="1" customWidth="1"/>
    <col min="8975" max="8977" width="8.88671875" style="36"/>
    <col min="8978" max="8978" width="13.5546875" style="36" bestFit="1" customWidth="1"/>
    <col min="8979" max="9216" width="8.88671875" style="36"/>
    <col min="9217" max="9217" width="17.44140625" style="36" customWidth="1"/>
    <col min="9218" max="9219" width="7.77734375" style="36" customWidth="1"/>
    <col min="9220" max="9220" width="4.21875" style="36" customWidth="1"/>
    <col min="9221" max="9222" width="11.77734375" style="36" customWidth="1"/>
    <col min="9223" max="9224" width="8.33203125" style="36" customWidth="1"/>
    <col min="9225" max="9225" width="10.33203125" style="36" customWidth="1"/>
    <col min="9226" max="9226" width="11.77734375" style="36" customWidth="1"/>
    <col min="9227" max="9228" width="10.33203125" style="36" customWidth="1"/>
    <col min="9229" max="9229" width="7.33203125" style="36" customWidth="1"/>
    <col min="9230" max="9230" width="11.21875" style="36" bestFit="1" customWidth="1"/>
    <col min="9231" max="9233" width="8.88671875" style="36"/>
    <col min="9234" max="9234" width="13.5546875" style="36" bestFit="1" customWidth="1"/>
    <col min="9235" max="9472" width="8.88671875" style="36"/>
    <col min="9473" max="9473" width="17.44140625" style="36" customWidth="1"/>
    <col min="9474" max="9475" width="7.77734375" style="36" customWidth="1"/>
    <col min="9476" max="9476" width="4.21875" style="36" customWidth="1"/>
    <col min="9477" max="9478" width="11.77734375" style="36" customWidth="1"/>
    <col min="9479" max="9480" width="8.33203125" style="36" customWidth="1"/>
    <col min="9481" max="9481" width="10.33203125" style="36" customWidth="1"/>
    <col min="9482" max="9482" width="11.77734375" style="36" customWidth="1"/>
    <col min="9483" max="9484" width="10.33203125" style="36" customWidth="1"/>
    <col min="9485" max="9485" width="7.33203125" style="36" customWidth="1"/>
    <col min="9486" max="9486" width="11.21875" style="36" bestFit="1" customWidth="1"/>
    <col min="9487" max="9489" width="8.88671875" style="36"/>
    <col min="9490" max="9490" width="13.5546875" style="36" bestFit="1" customWidth="1"/>
    <col min="9491" max="9728" width="8.88671875" style="36"/>
    <col min="9729" max="9729" width="17.44140625" style="36" customWidth="1"/>
    <col min="9730" max="9731" width="7.77734375" style="36" customWidth="1"/>
    <col min="9732" max="9732" width="4.21875" style="36" customWidth="1"/>
    <col min="9733" max="9734" width="11.77734375" style="36" customWidth="1"/>
    <col min="9735" max="9736" width="8.33203125" style="36" customWidth="1"/>
    <col min="9737" max="9737" width="10.33203125" style="36" customWidth="1"/>
    <col min="9738" max="9738" width="11.77734375" style="36" customWidth="1"/>
    <col min="9739" max="9740" width="10.33203125" style="36" customWidth="1"/>
    <col min="9741" max="9741" width="7.33203125" style="36" customWidth="1"/>
    <col min="9742" max="9742" width="11.21875" style="36" bestFit="1" customWidth="1"/>
    <col min="9743" max="9745" width="8.88671875" style="36"/>
    <col min="9746" max="9746" width="13.5546875" style="36" bestFit="1" customWidth="1"/>
    <col min="9747" max="9984" width="8.88671875" style="36"/>
    <col min="9985" max="9985" width="17.44140625" style="36" customWidth="1"/>
    <col min="9986" max="9987" width="7.77734375" style="36" customWidth="1"/>
    <col min="9988" max="9988" width="4.21875" style="36" customWidth="1"/>
    <col min="9989" max="9990" width="11.77734375" style="36" customWidth="1"/>
    <col min="9991" max="9992" width="8.33203125" style="36" customWidth="1"/>
    <col min="9993" max="9993" width="10.33203125" style="36" customWidth="1"/>
    <col min="9994" max="9994" width="11.77734375" style="36" customWidth="1"/>
    <col min="9995" max="9996" width="10.33203125" style="36" customWidth="1"/>
    <col min="9997" max="9997" width="7.33203125" style="36" customWidth="1"/>
    <col min="9998" max="9998" width="11.21875" style="36" bestFit="1" customWidth="1"/>
    <col min="9999" max="10001" width="8.88671875" style="36"/>
    <col min="10002" max="10002" width="13.5546875" style="36" bestFit="1" customWidth="1"/>
    <col min="10003" max="10240" width="8.88671875" style="36"/>
    <col min="10241" max="10241" width="17.44140625" style="36" customWidth="1"/>
    <col min="10242" max="10243" width="7.77734375" style="36" customWidth="1"/>
    <col min="10244" max="10244" width="4.21875" style="36" customWidth="1"/>
    <col min="10245" max="10246" width="11.77734375" style="36" customWidth="1"/>
    <col min="10247" max="10248" width="8.33203125" style="36" customWidth="1"/>
    <col min="10249" max="10249" width="10.33203125" style="36" customWidth="1"/>
    <col min="10250" max="10250" width="11.77734375" style="36" customWidth="1"/>
    <col min="10251" max="10252" width="10.33203125" style="36" customWidth="1"/>
    <col min="10253" max="10253" width="7.33203125" style="36" customWidth="1"/>
    <col min="10254" max="10254" width="11.21875" style="36" bestFit="1" customWidth="1"/>
    <col min="10255" max="10257" width="8.88671875" style="36"/>
    <col min="10258" max="10258" width="13.5546875" style="36" bestFit="1" customWidth="1"/>
    <col min="10259" max="10496" width="8.88671875" style="36"/>
    <col min="10497" max="10497" width="17.44140625" style="36" customWidth="1"/>
    <col min="10498" max="10499" width="7.77734375" style="36" customWidth="1"/>
    <col min="10500" max="10500" width="4.21875" style="36" customWidth="1"/>
    <col min="10501" max="10502" width="11.77734375" style="36" customWidth="1"/>
    <col min="10503" max="10504" width="8.33203125" style="36" customWidth="1"/>
    <col min="10505" max="10505" width="10.33203125" style="36" customWidth="1"/>
    <col min="10506" max="10506" width="11.77734375" style="36" customWidth="1"/>
    <col min="10507" max="10508" width="10.33203125" style="36" customWidth="1"/>
    <col min="10509" max="10509" width="7.33203125" style="36" customWidth="1"/>
    <col min="10510" max="10510" width="11.21875" style="36" bestFit="1" customWidth="1"/>
    <col min="10511" max="10513" width="8.88671875" style="36"/>
    <col min="10514" max="10514" width="13.5546875" style="36" bestFit="1" customWidth="1"/>
    <col min="10515" max="10752" width="8.88671875" style="36"/>
    <col min="10753" max="10753" width="17.44140625" style="36" customWidth="1"/>
    <col min="10754" max="10755" width="7.77734375" style="36" customWidth="1"/>
    <col min="10756" max="10756" width="4.21875" style="36" customWidth="1"/>
    <col min="10757" max="10758" width="11.77734375" style="36" customWidth="1"/>
    <col min="10759" max="10760" width="8.33203125" style="36" customWidth="1"/>
    <col min="10761" max="10761" width="10.33203125" style="36" customWidth="1"/>
    <col min="10762" max="10762" width="11.77734375" style="36" customWidth="1"/>
    <col min="10763" max="10764" width="10.33203125" style="36" customWidth="1"/>
    <col min="10765" max="10765" width="7.33203125" style="36" customWidth="1"/>
    <col min="10766" max="10766" width="11.21875" style="36" bestFit="1" customWidth="1"/>
    <col min="10767" max="10769" width="8.88671875" style="36"/>
    <col min="10770" max="10770" width="13.5546875" style="36" bestFit="1" customWidth="1"/>
    <col min="10771" max="11008" width="8.88671875" style="36"/>
    <col min="11009" max="11009" width="17.44140625" style="36" customWidth="1"/>
    <col min="11010" max="11011" width="7.77734375" style="36" customWidth="1"/>
    <col min="11012" max="11012" width="4.21875" style="36" customWidth="1"/>
    <col min="11013" max="11014" width="11.77734375" style="36" customWidth="1"/>
    <col min="11015" max="11016" width="8.33203125" style="36" customWidth="1"/>
    <col min="11017" max="11017" width="10.33203125" style="36" customWidth="1"/>
    <col min="11018" max="11018" width="11.77734375" style="36" customWidth="1"/>
    <col min="11019" max="11020" width="10.33203125" style="36" customWidth="1"/>
    <col min="11021" max="11021" width="7.33203125" style="36" customWidth="1"/>
    <col min="11022" max="11022" width="11.21875" style="36" bestFit="1" customWidth="1"/>
    <col min="11023" max="11025" width="8.88671875" style="36"/>
    <col min="11026" max="11026" width="13.5546875" style="36" bestFit="1" customWidth="1"/>
    <col min="11027" max="11264" width="8.88671875" style="36"/>
    <col min="11265" max="11265" width="17.44140625" style="36" customWidth="1"/>
    <col min="11266" max="11267" width="7.77734375" style="36" customWidth="1"/>
    <col min="11268" max="11268" width="4.21875" style="36" customWidth="1"/>
    <col min="11269" max="11270" width="11.77734375" style="36" customWidth="1"/>
    <col min="11271" max="11272" width="8.33203125" style="36" customWidth="1"/>
    <col min="11273" max="11273" width="10.33203125" style="36" customWidth="1"/>
    <col min="11274" max="11274" width="11.77734375" style="36" customWidth="1"/>
    <col min="11275" max="11276" width="10.33203125" style="36" customWidth="1"/>
    <col min="11277" max="11277" width="7.33203125" style="36" customWidth="1"/>
    <col min="11278" max="11278" width="11.21875" style="36" bestFit="1" customWidth="1"/>
    <col min="11279" max="11281" width="8.88671875" style="36"/>
    <col min="11282" max="11282" width="13.5546875" style="36" bestFit="1" customWidth="1"/>
    <col min="11283" max="11520" width="8.88671875" style="36"/>
    <col min="11521" max="11521" width="17.44140625" style="36" customWidth="1"/>
    <col min="11522" max="11523" width="7.77734375" style="36" customWidth="1"/>
    <col min="11524" max="11524" width="4.21875" style="36" customWidth="1"/>
    <col min="11525" max="11526" width="11.77734375" style="36" customWidth="1"/>
    <col min="11527" max="11528" width="8.33203125" style="36" customWidth="1"/>
    <col min="11529" max="11529" width="10.33203125" style="36" customWidth="1"/>
    <col min="11530" max="11530" width="11.77734375" style="36" customWidth="1"/>
    <col min="11531" max="11532" width="10.33203125" style="36" customWidth="1"/>
    <col min="11533" max="11533" width="7.33203125" style="36" customWidth="1"/>
    <col min="11534" max="11534" width="11.21875" style="36" bestFit="1" customWidth="1"/>
    <col min="11535" max="11537" width="8.88671875" style="36"/>
    <col min="11538" max="11538" width="13.5546875" style="36" bestFit="1" customWidth="1"/>
    <col min="11539" max="11776" width="8.88671875" style="36"/>
    <col min="11777" max="11777" width="17.44140625" style="36" customWidth="1"/>
    <col min="11778" max="11779" width="7.77734375" style="36" customWidth="1"/>
    <col min="11780" max="11780" width="4.21875" style="36" customWidth="1"/>
    <col min="11781" max="11782" width="11.77734375" style="36" customWidth="1"/>
    <col min="11783" max="11784" width="8.33203125" style="36" customWidth="1"/>
    <col min="11785" max="11785" width="10.33203125" style="36" customWidth="1"/>
    <col min="11786" max="11786" width="11.77734375" style="36" customWidth="1"/>
    <col min="11787" max="11788" width="10.33203125" style="36" customWidth="1"/>
    <col min="11789" max="11789" width="7.33203125" style="36" customWidth="1"/>
    <col min="11790" max="11790" width="11.21875" style="36" bestFit="1" customWidth="1"/>
    <col min="11791" max="11793" width="8.88671875" style="36"/>
    <col min="11794" max="11794" width="13.5546875" style="36" bestFit="1" customWidth="1"/>
    <col min="11795" max="12032" width="8.88671875" style="36"/>
    <col min="12033" max="12033" width="17.44140625" style="36" customWidth="1"/>
    <col min="12034" max="12035" width="7.77734375" style="36" customWidth="1"/>
    <col min="12036" max="12036" width="4.21875" style="36" customWidth="1"/>
    <col min="12037" max="12038" width="11.77734375" style="36" customWidth="1"/>
    <col min="12039" max="12040" width="8.33203125" style="36" customWidth="1"/>
    <col min="12041" max="12041" width="10.33203125" style="36" customWidth="1"/>
    <col min="12042" max="12042" width="11.77734375" style="36" customWidth="1"/>
    <col min="12043" max="12044" width="10.33203125" style="36" customWidth="1"/>
    <col min="12045" max="12045" width="7.33203125" style="36" customWidth="1"/>
    <col min="12046" max="12046" width="11.21875" style="36" bestFit="1" customWidth="1"/>
    <col min="12047" max="12049" width="8.88671875" style="36"/>
    <col min="12050" max="12050" width="13.5546875" style="36" bestFit="1" customWidth="1"/>
    <col min="12051" max="12288" width="8.88671875" style="36"/>
    <col min="12289" max="12289" width="17.44140625" style="36" customWidth="1"/>
    <col min="12290" max="12291" width="7.77734375" style="36" customWidth="1"/>
    <col min="12292" max="12292" width="4.21875" style="36" customWidth="1"/>
    <col min="12293" max="12294" width="11.77734375" style="36" customWidth="1"/>
    <col min="12295" max="12296" width="8.33203125" style="36" customWidth="1"/>
    <col min="12297" max="12297" width="10.33203125" style="36" customWidth="1"/>
    <col min="12298" max="12298" width="11.77734375" style="36" customWidth="1"/>
    <col min="12299" max="12300" width="10.33203125" style="36" customWidth="1"/>
    <col min="12301" max="12301" width="7.33203125" style="36" customWidth="1"/>
    <col min="12302" max="12302" width="11.21875" style="36" bestFit="1" customWidth="1"/>
    <col min="12303" max="12305" width="8.88671875" style="36"/>
    <col min="12306" max="12306" width="13.5546875" style="36" bestFit="1" customWidth="1"/>
    <col min="12307" max="12544" width="8.88671875" style="36"/>
    <col min="12545" max="12545" width="17.44140625" style="36" customWidth="1"/>
    <col min="12546" max="12547" width="7.77734375" style="36" customWidth="1"/>
    <col min="12548" max="12548" width="4.21875" style="36" customWidth="1"/>
    <col min="12549" max="12550" width="11.77734375" style="36" customWidth="1"/>
    <col min="12551" max="12552" width="8.33203125" style="36" customWidth="1"/>
    <col min="12553" max="12553" width="10.33203125" style="36" customWidth="1"/>
    <col min="12554" max="12554" width="11.77734375" style="36" customWidth="1"/>
    <col min="12555" max="12556" width="10.33203125" style="36" customWidth="1"/>
    <col min="12557" max="12557" width="7.33203125" style="36" customWidth="1"/>
    <col min="12558" max="12558" width="11.21875" style="36" bestFit="1" customWidth="1"/>
    <col min="12559" max="12561" width="8.88671875" style="36"/>
    <col min="12562" max="12562" width="13.5546875" style="36" bestFit="1" customWidth="1"/>
    <col min="12563" max="12800" width="8.88671875" style="36"/>
    <col min="12801" max="12801" width="17.44140625" style="36" customWidth="1"/>
    <col min="12802" max="12803" width="7.77734375" style="36" customWidth="1"/>
    <col min="12804" max="12804" width="4.21875" style="36" customWidth="1"/>
    <col min="12805" max="12806" width="11.77734375" style="36" customWidth="1"/>
    <col min="12807" max="12808" width="8.33203125" style="36" customWidth="1"/>
    <col min="12809" max="12809" width="10.33203125" style="36" customWidth="1"/>
    <col min="12810" max="12810" width="11.77734375" style="36" customWidth="1"/>
    <col min="12811" max="12812" width="10.33203125" style="36" customWidth="1"/>
    <col min="12813" max="12813" width="7.33203125" style="36" customWidth="1"/>
    <col min="12814" max="12814" width="11.21875" style="36" bestFit="1" customWidth="1"/>
    <col min="12815" max="12817" width="8.88671875" style="36"/>
    <col min="12818" max="12818" width="13.5546875" style="36" bestFit="1" customWidth="1"/>
    <col min="12819" max="13056" width="8.88671875" style="36"/>
    <col min="13057" max="13057" width="17.44140625" style="36" customWidth="1"/>
    <col min="13058" max="13059" width="7.77734375" style="36" customWidth="1"/>
    <col min="13060" max="13060" width="4.21875" style="36" customWidth="1"/>
    <col min="13061" max="13062" width="11.77734375" style="36" customWidth="1"/>
    <col min="13063" max="13064" width="8.33203125" style="36" customWidth="1"/>
    <col min="13065" max="13065" width="10.33203125" style="36" customWidth="1"/>
    <col min="13066" max="13066" width="11.77734375" style="36" customWidth="1"/>
    <col min="13067" max="13068" width="10.33203125" style="36" customWidth="1"/>
    <col min="13069" max="13069" width="7.33203125" style="36" customWidth="1"/>
    <col min="13070" max="13070" width="11.21875" style="36" bestFit="1" customWidth="1"/>
    <col min="13071" max="13073" width="8.88671875" style="36"/>
    <col min="13074" max="13074" width="13.5546875" style="36" bestFit="1" customWidth="1"/>
    <col min="13075" max="13312" width="8.88671875" style="36"/>
    <col min="13313" max="13313" width="17.44140625" style="36" customWidth="1"/>
    <col min="13314" max="13315" width="7.77734375" style="36" customWidth="1"/>
    <col min="13316" max="13316" width="4.21875" style="36" customWidth="1"/>
    <col min="13317" max="13318" width="11.77734375" style="36" customWidth="1"/>
    <col min="13319" max="13320" width="8.33203125" style="36" customWidth="1"/>
    <col min="13321" max="13321" width="10.33203125" style="36" customWidth="1"/>
    <col min="13322" max="13322" width="11.77734375" style="36" customWidth="1"/>
    <col min="13323" max="13324" width="10.33203125" style="36" customWidth="1"/>
    <col min="13325" max="13325" width="7.33203125" style="36" customWidth="1"/>
    <col min="13326" max="13326" width="11.21875" style="36" bestFit="1" customWidth="1"/>
    <col min="13327" max="13329" width="8.88671875" style="36"/>
    <col min="13330" max="13330" width="13.5546875" style="36" bestFit="1" customWidth="1"/>
    <col min="13331" max="13568" width="8.88671875" style="36"/>
    <col min="13569" max="13569" width="17.44140625" style="36" customWidth="1"/>
    <col min="13570" max="13571" width="7.77734375" style="36" customWidth="1"/>
    <col min="13572" max="13572" width="4.21875" style="36" customWidth="1"/>
    <col min="13573" max="13574" width="11.77734375" style="36" customWidth="1"/>
    <col min="13575" max="13576" width="8.33203125" style="36" customWidth="1"/>
    <col min="13577" max="13577" width="10.33203125" style="36" customWidth="1"/>
    <col min="13578" max="13578" width="11.77734375" style="36" customWidth="1"/>
    <col min="13579" max="13580" width="10.33203125" style="36" customWidth="1"/>
    <col min="13581" max="13581" width="7.33203125" style="36" customWidth="1"/>
    <col min="13582" max="13582" width="11.21875" style="36" bestFit="1" customWidth="1"/>
    <col min="13583" max="13585" width="8.88671875" style="36"/>
    <col min="13586" max="13586" width="13.5546875" style="36" bestFit="1" customWidth="1"/>
    <col min="13587" max="13824" width="8.88671875" style="36"/>
    <col min="13825" max="13825" width="17.44140625" style="36" customWidth="1"/>
    <col min="13826" max="13827" width="7.77734375" style="36" customWidth="1"/>
    <col min="13828" max="13828" width="4.21875" style="36" customWidth="1"/>
    <col min="13829" max="13830" width="11.77734375" style="36" customWidth="1"/>
    <col min="13831" max="13832" width="8.33203125" style="36" customWidth="1"/>
    <col min="13833" max="13833" width="10.33203125" style="36" customWidth="1"/>
    <col min="13834" max="13834" width="11.77734375" style="36" customWidth="1"/>
    <col min="13835" max="13836" width="10.33203125" style="36" customWidth="1"/>
    <col min="13837" max="13837" width="7.33203125" style="36" customWidth="1"/>
    <col min="13838" max="13838" width="11.21875" style="36" bestFit="1" customWidth="1"/>
    <col min="13839" max="13841" width="8.88671875" style="36"/>
    <col min="13842" max="13842" width="13.5546875" style="36" bestFit="1" customWidth="1"/>
    <col min="13843" max="14080" width="8.88671875" style="36"/>
    <col min="14081" max="14081" width="17.44140625" style="36" customWidth="1"/>
    <col min="14082" max="14083" width="7.77734375" style="36" customWidth="1"/>
    <col min="14084" max="14084" width="4.21875" style="36" customWidth="1"/>
    <col min="14085" max="14086" width="11.77734375" style="36" customWidth="1"/>
    <col min="14087" max="14088" width="8.33203125" style="36" customWidth="1"/>
    <col min="14089" max="14089" width="10.33203125" style="36" customWidth="1"/>
    <col min="14090" max="14090" width="11.77734375" style="36" customWidth="1"/>
    <col min="14091" max="14092" width="10.33203125" style="36" customWidth="1"/>
    <col min="14093" max="14093" width="7.33203125" style="36" customWidth="1"/>
    <col min="14094" max="14094" width="11.21875" style="36" bestFit="1" customWidth="1"/>
    <col min="14095" max="14097" width="8.88671875" style="36"/>
    <col min="14098" max="14098" width="13.5546875" style="36" bestFit="1" customWidth="1"/>
    <col min="14099" max="14336" width="8.88671875" style="36"/>
    <col min="14337" max="14337" width="17.44140625" style="36" customWidth="1"/>
    <col min="14338" max="14339" width="7.77734375" style="36" customWidth="1"/>
    <col min="14340" max="14340" width="4.21875" style="36" customWidth="1"/>
    <col min="14341" max="14342" width="11.77734375" style="36" customWidth="1"/>
    <col min="14343" max="14344" width="8.33203125" style="36" customWidth="1"/>
    <col min="14345" max="14345" width="10.33203125" style="36" customWidth="1"/>
    <col min="14346" max="14346" width="11.77734375" style="36" customWidth="1"/>
    <col min="14347" max="14348" width="10.33203125" style="36" customWidth="1"/>
    <col min="14349" max="14349" width="7.33203125" style="36" customWidth="1"/>
    <col min="14350" max="14350" width="11.21875" style="36" bestFit="1" customWidth="1"/>
    <col min="14351" max="14353" width="8.88671875" style="36"/>
    <col min="14354" max="14354" width="13.5546875" style="36" bestFit="1" customWidth="1"/>
    <col min="14355" max="14592" width="8.88671875" style="36"/>
    <col min="14593" max="14593" width="17.44140625" style="36" customWidth="1"/>
    <col min="14594" max="14595" width="7.77734375" style="36" customWidth="1"/>
    <col min="14596" max="14596" width="4.21875" style="36" customWidth="1"/>
    <col min="14597" max="14598" width="11.77734375" style="36" customWidth="1"/>
    <col min="14599" max="14600" width="8.33203125" style="36" customWidth="1"/>
    <col min="14601" max="14601" width="10.33203125" style="36" customWidth="1"/>
    <col min="14602" max="14602" width="11.77734375" style="36" customWidth="1"/>
    <col min="14603" max="14604" width="10.33203125" style="36" customWidth="1"/>
    <col min="14605" max="14605" width="7.33203125" style="36" customWidth="1"/>
    <col min="14606" max="14606" width="11.21875" style="36" bestFit="1" customWidth="1"/>
    <col min="14607" max="14609" width="8.88671875" style="36"/>
    <col min="14610" max="14610" width="13.5546875" style="36" bestFit="1" customWidth="1"/>
    <col min="14611" max="14848" width="8.88671875" style="36"/>
    <col min="14849" max="14849" width="17.44140625" style="36" customWidth="1"/>
    <col min="14850" max="14851" width="7.77734375" style="36" customWidth="1"/>
    <col min="14852" max="14852" width="4.21875" style="36" customWidth="1"/>
    <col min="14853" max="14854" width="11.77734375" style="36" customWidth="1"/>
    <col min="14855" max="14856" width="8.33203125" style="36" customWidth="1"/>
    <col min="14857" max="14857" width="10.33203125" style="36" customWidth="1"/>
    <col min="14858" max="14858" width="11.77734375" style="36" customWidth="1"/>
    <col min="14859" max="14860" width="10.33203125" style="36" customWidth="1"/>
    <col min="14861" max="14861" width="7.33203125" style="36" customWidth="1"/>
    <col min="14862" max="14862" width="11.21875" style="36" bestFit="1" customWidth="1"/>
    <col min="14863" max="14865" width="8.88671875" style="36"/>
    <col min="14866" max="14866" width="13.5546875" style="36" bestFit="1" customWidth="1"/>
    <col min="14867" max="15104" width="8.88671875" style="36"/>
    <col min="15105" max="15105" width="17.44140625" style="36" customWidth="1"/>
    <col min="15106" max="15107" width="7.77734375" style="36" customWidth="1"/>
    <col min="15108" max="15108" width="4.21875" style="36" customWidth="1"/>
    <col min="15109" max="15110" width="11.77734375" style="36" customWidth="1"/>
    <col min="15111" max="15112" width="8.33203125" style="36" customWidth="1"/>
    <col min="15113" max="15113" width="10.33203125" style="36" customWidth="1"/>
    <col min="15114" max="15114" width="11.77734375" style="36" customWidth="1"/>
    <col min="15115" max="15116" width="10.33203125" style="36" customWidth="1"/>
    <col min="15117" max="15117" width="7.33203125" style="36" customWidth="1"/>
    <col min="15118" max="15118" width="11.21875" style="36" bestFit="1" customWidth="1"/>
    <col min="15119" max="15121" width="8.88671875" style="36"/>
    <col min="15122" max="15122" width="13.5546875" style="36" bestFit="1" customWidth="1"/>
    <col min="15123" max="15360" width="8.88671875" style="36"/>
    <col min="15361" max="15361" width="17.44140625" style="36" customWidth="1"/>
    <col min="15362" max="15363" width="7.77734375" style="36" customWidth="1"/>
    <col min="15364" max="15364" width="4.21875" style="36" customWidth="1"/>
    <col min="15365" max="15366" width="11.77734375" style="36" customWidth="1"/>
    <col min="15367" max="15368" width="8.33203125" style="36" customWidth="1"/>
    <col min="15369" max="15369" width="10.33203125" style="36" customWidth="1"/>
    <col min="15370" max="15370" width="11.77734375" style="36" customWidth="1"/>
    <col min="15371" max="15372" width="10.33203125" style="36" customWidth="1"/>
    <col min="15373" max="15373" width="7.33203125" style="36" customWidth="1"/>
    <col min="15374" max="15374" width="11.21875" style="36" bestFit="1" customWidth="1"/>
    <col min="15375" max="15377" width="8.88671875" style="36"/>
    <col min="15378" max="15378" width="13.5546875" style="36" bestFit="1" customWidth="1"/>
    <col min="15379" max="15616" width="8.88671875" style="36"/>
    <col min="15617" max="15617" width="17.44140625" style="36" customWidth="1"/>
    <col min="15618" max="15619" width="7.77734375" style="36" customWidth="1"/>
    <col min="15620" max="15620" width="4.21875" style="36" customWidth="1"/>
    <col min="15621" max="15622" width="11.77734375" style="36" customWidth="1"/>
    <col min="15623" max="15624" width="8.33203125" style="36" customWidth="1"/>
    <col min="15625" max="15625" width="10.33203125" style="36" customWidth="1"/>
    <col min="15626" max="15626" width="11.77734375" style="36" customWidth="1"/>
    <col min="15627" max="15628" width="10.33203125" style="36" customWidth="1"/>
    <col min="15629" max="15629" width="7.33203125" style="36" customWidth="1"/>
    <col min="15630" max="15630" width="11.21875" style="36" bestFit="1" customWidth="1"/>
    <col min="15631" max="15633" width="8.88671875" style="36"/>
    <col min="15634" max="15634" width="13.5546875" style="36" bestFit="1" customWidth="1"/>
    <col min="15635" max="15872" width="8.88671875" style="36"/>
    <col min="15873" max="15873" width="17.44140625" style="36" customWidth="1"/>
    <col min="15874" max="15875" width="7.77734375" style="36" customWidth="1"/>
    <col min="15876" max="15876" width="4.21875" style="36" customWidth="1"/>
    <col min="15877" max="15878" width="11.77734375" style="36" customWidth="1"/>
    <col min="15879" max="15880" width="8.33203125" style="36" customWidth="1"/>
    <col min="15881" max="15881" width="10.33203125" style="36" customWidth="1"/>
    <col min="15882" max="15882" width="11.77734375" style="36" customWidth="1"/>
    <col min="15883" max="15884" width="10.33203125" style="36" customWidth="1"/>
    <col min="15885" max="15885" width="7.33203125" style="36" customWidth="1"/>
    <col min="15886" max="15886" width="11.21875" style="36" bestFit="1" customWidth="1"/>
    <col min="15887" max="15889" width="8.88671875" style="36"/>
    <col min="15890" max="15890" width="13.5546875" style="36" bestFit="1" customWidth="1"/>
    <col min="15891" max="16128" width="8.88671875" style="36"/>
    <col min="16129" max="16129" width="17.44140625" style="36" customWidth="1"/>
    <col min="16130" max="16131" width="7.77734375" style="36" customWidth="1"/>
    <col min="16132" max="16132" width="4.21875" style="36" customWidth="1"/>
    <col min="16133" max="16134" width="11.77734375" style="36" customWidth="1"/>
    <col min="16135" max="16136" width="8.33203125" style="36" customWidth="1"/>
    <col min="16137" max="16137" width="10.33203125" style="36" customWidth="1"/>
    <col min="16138" max="16138" width="11.77734375" style="36" customWidth="1"/>
    <col min="16139" max="16140" width="10.33203125" style="36" customWidth="1"/>
    <col min="16141" max="16141" width="7.33203125" style="36" customWidth="1"/>
    <col min="16142" max="16142" width="11.21875" style="36" bestFit="1" customWidth="1"/>
    <col min="16143" max="16145" width="8.88671875" style="36"/>
    <col min="16146" max="16146" width="13.5546875" style="36" bestFit="1" customWidth="1"/>
    <col min="16147" max="16384" width="8.88671875" style="36"/>
  </cols>
  <sheetData>
    <row r="1" spans="1:28" s="73" customFormat="1" ht="24.95" customHeight="1">
      <c r="A1" s="1710" t="s">
        <v>153</v>
      </c>
      <c r="B1" s="1712" t="s">
        <v>157</v>
      </c>
      <c r="C1" s="1712" t="s">
        <v>69</v>
      </c>
      <c r="D1" s="1712" t="s">
        <v>49</v>
      </c>
      <c r="E1" s="1712" t="s">
        <v>167</v>
      </c>
      <c r="F1" s="1712"/>
      <c r="G1" s="1712" t="s">
        <v>173</v>
      </c>
      <c r="H1" s="1712"/>
      <c r="I1" s="1712" t="s">
        <v>164</v>
      </c>
      <c r="J1" s="1712"/>
      <c r="K1" s="1712" t="s">
        <v>154</v>
      </c>
      <c r="L1" s="1712"/>
      <c r="M1" s="1708" t="s">
        <v>47</v>
      </c>
      <c r="N1" s="67"/>
      <c r="O1" s="68" t="s">
        <v>175</v>
      </c>
      <c r="P1" s="1715" t="s">
        <v>98</v>
      </c>
      <c r="Q1" s="1716"/>
      <c r="R1" s="69">
        <v>30</v>
      </c>
      <c r="S1" s="70" t="s">
        <v>91</v>
      </c>
      <c r="T1" s="71"/>
      <c r="U1" s="72" t="s">
        <v>2028</v>
      </c>
    </row>
    <row r="2" spans="1:28" s="78" customFormat="1" ht="24.95" customHeight="1" thickBot="1">
      <c r="A2" s="1711"/>
      <c r="B2" s="1713"/>
      <c r="C2" s="1713"/>
      <c r="D2" s="1713"/>
      <c r="E2" s="74" t="s">
        <v>38</v>
      </c>
      <c r="F2" s="74" t="s">
        <v>71</v>
      </c>
      <c r="G2" s="74" t="s">
        <v>38</v>
      </c>
      <c r="H2" s="74" t="s">
        <v>71</v>
      </c>
      <c r="I2" s="74" t="s">
        <v>38</v>
      </c>
      <c r="J2" s="74" t="s">
        <v>71</v>
      </c>
      <c r="K2" s="74" t="s">
        <v>38</v>
      </c>
      <c r="L2" s="74" t="s">
        <v>71</v>
      </c>
      <c r="M2" s="1709"/>
      <c r="N2" s="75"/>
      <c r="O2" s="76" t="s">
        <v>171</v>
      </c>
      <c r="P2" s="1717" t="s">
        <v>98</v>
      </c>
      <c r="Q2" s="1718"/>
      <c r="R2" s="69">
        <v>30</v>
      </c>
      <c r="S2" s="70" t="s">
        <v>91</v>
      </c>
      <c r="T2" s="77"/>
      <c r="U2" s="72" t="s">
        <v>2028</v>
      </c>
    </row>
    <row r="3" spans="1:28" s="80" customFormat="1" ht="25.9" customHeight="1" thickTop="1">
      <c r="A3" s="220" t="s">
        <v>811</v>
      </c>
      <c r="B3" s="221"/>
      <c r="C3" s="222"/>
      <c r="D3" s="223"/>
      <c r="E3" s="221"/>
      <c r="F3" s="221"/>
      <c r="G3" s="221"/>
      <c r="H3" s="221"/>
      <c r="I3" s="221"/>
      <c r="J3" s="221"/>
      <c r="K3" s="221"/>
      <c r="L3" s="221"/>
      <c r="M3" s="224"/>
      <c r="N3" s="79"/>
      <c r="R3" s="1666">
        <f>내역서!I7</f>
        <v>334651854</v>
      </c>
    </row>
    <row r="4" spans="1:28" s="87" customFormat="1" ht="25.9" customHeight="1">
      <c r="A4" s="81" t="s">
        <v>150</v>
      </c>
      <c r="B4" s="82"/>
      <c r="C4" s="83">
        <f>적용소요인력!D6</f>
        <v>0.75</v>
      </c>
      <c r="D4" s="55" t="s">
        <v>41</v>
      </c>
      <c r="E4" s="56">
        <f t="shared" ref="E4:F11" si="0">G4+I4+K4</f>
        <v>467217</v>
      </c>
      <c r="F4" s="56">
        <f t="shared" si="0"/>
        <v>350412</v>
      </c>
      <c r="G4" s="84"/>
      <c r="H4" s="84"/>
      <c r="I4" s="56">
        <f>'산근3 노임'!B5</f>
        <v>467217</v>
      </c>
      <c r="J4" s="56">
        <f t="shared" ref="J4:J9" si="1">INT(I4*C4)</f>
        <v>350412</v>
      </c>
      <c r="K4" s="84"/>
      <c r="L4" s="84"/>
      <c r="M4" s="85"/>
      <c r="N4" s="86"/>
      <c r="R4" s="88">
        <f>내역서!I6</f>
        <v>370865000</v>
      </c>
      <c r="V4" s="89"/>
      <c r="W4" s="89"/>
      <c r="X4" s="89"/>
      <c r="Y4" s="89"/>
      <c r="Z4" s="89"/>
      <c r="AA4" s="89"/>
      <c r="AB4" s="89"/>
    </row>
    <row r="5" spans="1:28" s="87" customFormat="1" ht="25.9" customHeight="1">
      <c r="A5" s="81" t="s">
        <v>146</v>
      </c>
      <c r="B5" s="82"/>
      <c r="C5" s="83">
        <f>적용소요인력!E6</f>
        <v>1.25</v>
      </c>
      <c r="D5" s="55" t="s">
        <v>41</v>
      </c>
      <c r="E5" s="56">
        <f t="shared" si="0"/>
        <v>373353</v>
      </c>
      <c r="F5" s="56">
        <f t="shared" si="0"/>
        <v>466691</v>
      </c>
      <c r="G5" s="84"/>
      <c r="H5" s="84"/>
      <c r="I5" s="56">
        <f>'산근3 노임'!B6</f>
        <v>373353</v>
      </c>
      <c r="J5" s="56">
        <f t="shared" si="1"/>
        <v>466691</v>
      </c>
      <c r="K5" s="84"/>
      <c r="L5" s="84"/>
      <c r="M5" s="85"/>
      <c r="N5" s="86"/>
      <c r="V5" s="90"/>
      <c r="W5" s="89"/>
      <c r="X5" s="89"/>
      <c r="Y5" s="89"/>
      <c r="Z5" s="89"/>
      <c r="AA5" s="89"/>
      <c r="AB5" s="89"/>
    </row>
    <row r="6" spans="1:28" s="87" customFormat="1" ht="25.9" customHeight="1">
      <c r="A6" s="81" t="s">
        <v>139</v>
      </c>
      <c r="B6" s="82"/>
      <c r="C6" s="83">
        <f>적용소요인력!F6</f>
        <v>1.25</v>
      </c>
      <c r="D6" s="55" t="s">
        <v>41</v>
      </c>
      <c r="E6" s="56">
        <f t="shared" si="0"/>
        <v>310884</v>
      </c>
      <c r="F6" s="56">
        <f t="shared" si="0"/>
        <v>388605</v>
      </c>
      <c r="G6" s="84"/>
      <c r="H6" s="84"/>
      <c r="I6" s="56">
        <f>'산근3 노임'!B7</f>
        <v>310884</v>
      </c>
      <c r="J6" s="56">
        <f t="shared" si="1"/>
        <v>388605</v>
      </c>
      <c r="K6" s="84"/>
      <c r="L6" s="84"/>
      <c r="M6" s="85"/>
      <c r="N6" s="86"/>
      <c r="P6" s="91" t="s">
        <v>95</v>
      </c>
      <c r="V6" s="92"/>
      <c r="W6" s="89"/>
      <c r="X6" s="89"/>
      <c r="Y6" s="89"/>
      <c r="Z6" s="89"/>
      <c r="AA6" s="89"/>
      <c r="AB6" s="89"/>
    </row>
    <row r="7" spans="1:28" s="87" customFormat="1" ht="25.9" customHeight="1">
      <c r="A7" s="81" t="s">
        <v>168</v>
      </c>
      <c r="B7" s="82"/>
      <c r="C7" s="83">
        <f>적용소요인력!G6</f>
        <v>1.25</v>
      </c>
      <c r="D7" s="55" t="s">
        <v>41</v>
      </c>
      <c r="E7" s="56">
        <f t="shared" si="0"/>
        <v>295138</v>
      </c>
      <c r="F7" s="56">
        <f t="shared" si="0"/>
        <v>368922</v>
      </c>
      <c r="G7" s="84"/>
      <c r="H7" s="84"/>
      <c r="I7" s="56">
        <f>'산근3 노임'!B8</f>
        <v>295138</v>
      </c>
      <c r="J7" s="56">
        <f t="shared" si="1"/>
        <v>368922</v>
      </c>
      <c r="K7" s="84"/>
      <c r="L7" s="84"/>
      <c r="M7" s="85"/>
      <c r="N7" s="86"/>
      <c r="P7" s="91" t="s">
        <v>90</v>
      </c>
      <c r="S7" s="308">
        <f>$R$1/100</f>
        <v>0.3</v>
      </c>
      <c r="T7" s="93">
        <f>S7*100</f>
        <v>30</v>
      </c>
      <c r="V7" s="89"/>
      <c r="W7" s="89"/>
      <c r="X7" s="94"/>
      <c r="Y7" s="94"/>
      <c r="Z7" s="89"/>
      <c r="AA7" s="89"/>
      <c r="AB7" s="89"/>
    </row>
    <row r="8" spans="1:28" s="87" customFormat="1" ht="25.9" customHeight="1">
      <c r="A8" s="81" t="s">
        <v>165</v>
      </c>
      <c r="B8" s="82"/>
      <c r="C8" s="83">
        <f>적용소요인력!H6</f>
        <v>0</v>
      </c>
      <c r="D8" s="55" t="s">
        <v>41</v>
      </c>
      <c r="E8" s="56">
        <f t="shared" si="0"/>
        <v>235459</v>
      </c>
      <c r="F8" s="56">
        <f t="shared" si="0"/>
        <v>0</v>
      </c>
      <c r="G8" s="84"/>
      <c r="H8" s="84"/>
      <c r="I8" s="56">
        <f>'산근3 노임'!B9</f>
        <v>235459</v>
      </c>
      <c r="J8" s="56">
        <f t="shared" si="1"/>
        <v>0</v>
      </c>
      <c r="K8" s="84"/>
      <c r="L8" s="84"/>
      <c r="M8" s="85"/>
      <c r="N8" s="86"/>
      <c r="P8" s="91" t="s">
        <v>121</v>
      </c>
      <c r="S8" s="308">
        <f>$R$1/100</f>
        <v>0.3</v>
      </c>
      <c r="T8" s="93">
        <f>S8*100</f>
        <v>30</v>
      </c>
      <c r="V8" s="89"/>
      <c r="W8" s="89"/>
      <c r="X8" s="94"/>
      <c r="Y8" s="94"/>
      <c r="Z8" s="94"/>
      <c r="AA8" s="94"/>
      <c r="AB8" s="89"/>
    </row>
    <row r="9" spans="1:28" s="87" customFormat="1" ht="25.9" customHeight="1">
      <c r="A9" s="81" t="s">
        <v>180</v>
      </c>
      <c r="B9" s="82"/>
      <c r="C9" s="83">
        <f>적용소요인력!I6</f>
        <v>0</v>
      </c>
      <c r="D9" s="55" t="s">
        <v>41</v>
      </c>
      <c r="E9" s="56">
        <f t="shared" si="0"/>
        <v>250087</v>
      </c>
      <c r="F9" s="56">
        <f t="shared" si="0"/>
        <v>0</v>
      </c>
      <c r="G9" s="84"/>
      <c r="H9" s="84"/>
      <c r="I9" s="56">
        <f>'산근3 노임'!B11</f>
        <v>250087</v>
      </c>
      <c r="J9" s="56">
        <f t="shared" si="1"/>
        <v>0</v>
      </c>
      <c r="K9" s="84"/>
      <c r="L9" s="84"/>
      <c r="M9" s="85"/>
      <c r="N9" s="86"/>
      <c r="P9" s="91" t="s">
        <v>110</v>
      </c>
      <c r="S9" s="308">
        <f>$R$2/100</f>
        <v>0.3</v>
      </c>
      <c r="T9" s="93">
        <f>S9*100</f>
        <v>30</v>
      </c>
    </row>
    <row r="10" spans="1:28" s="87" customFormat="1" ht="25.9" customHeight="1">
      <c r="A10" s="81" t="s">
        <v>39</v>
      </c>
      <c r="B10" s="82"/>
      <c r="C10" s="83"/>
      <c r="D10" s="55"/>
      <c r="E10" s="56"/>
      <c r="F10" s="56">
        <f t="shared" si="0"/>
        <v>1574630</v>
      </c>
      <c r="G10" s="84"/>
      <c r="H10" s="84"/>
      <c r="I10" s="56"/>
      <c r="J10" s="56">
        <f>SUM(J4:J9)</f>
        <v>1574630</v>
      </c>
      <c r="K10" s="84"/>
      <c r="L10" s="84"/>
      <c r="M10" s="85"/>
      <c r="N10" s="86"/>
      <c r="P10" s="91" t="s">
        <v>89</v>
      </c>
      <c r="S10" s="308">
        <f>$R$2/100</f>
        <v>0.3</v>
      </c>
      <c r="T10" s="93">
        <f>S10*100</f>
        <v>30</v>
      </c>
    </row>
    <row r="11" spans="1:28" s="87" customFormat="1" ht="25.9" customHeight="1">
      <c r="A11" s="81" t="s">
        <v>45</v>
      </c>
      <c r="B11" s="95">
        <f>$S$7</f>
        <v>0.3</v>
      </c>
      <c r="C11" s="83"/>
      <c r="D11" s="55"/>
      <c r="E11" s="51">
        <f>F11</f>
        <v>472389</v>
      </c>
      <c r="F11" s="56">
        <f t="shared" si="0"/>
        <v>472389</v>
      </c>
      <c r="G11" s="82"/>
      <c r="H11" s="82"/>
      <c r="I11" s="56"/>
      <c r="J11" s="56">
        <f>TRUNC(J10*$S$7,0)</f>
        <v>472389</v>
      </c>
      <c r="K11" s="82"/>
      <c r="L11" s="82"/>
      <c r="M11" s="96"/>
      <c r="N11" s="86"/>
      <c r="P11" s="91" t="s">
        <v>2020</v>
      </c>
      <c r="S11" s="308">
        <v>1</v>
      </c>
      <c r="T11" s="93">
        <f>S11*100</f>
        <v>100</v>
      </c>
    </row>
    <row r="12" spans="1:28" s="87" customFormat="1" ht="25.9" customHeight="1">
      <c r="A12" s="81"/>
      <c r="B12" s="95"/>
      <c r="C12" s="83"/>
      <c r="D12" s="55"/>
      <c r="E12" s="51"/>
      <c r="F12" s="56"/>
      <c r="G12" s="82"/>
      <c r="H12" s="82"/>
      <c r="I12" s="56"/>
      <c r="J12" s="56"/>
      <c r="K12" s="82"/>
      <c r="L12" s="82"/>
      <c r="M12" s="96"/>
      <c r="N12" s="86"/>
      <c r="P12" s="91"/>
      <c r="S12" s="308"/>
      <c r="T12" s="93"/>
    </row>
    <row r="13" spans="1:28" s="87" customFormat="1" ht="25.9" customHeight="1">
      <c r="A13" s="81"/>
      <c r="B13" s="82"/>
      <c r="C13" s="83"/>
      <c r="D13" s="55"/>
      <c r="E13" s="51"/>
      <c r="F13" s="56"/>
      <c r="G13" s="82"/>
      <c r="H13" s="82"/>
      <c r="I13" s="82"/>
      <c r="J13" s="84"/>
      <c r="K13" s="82"/>
      <c r="L13" s="82"/>
      <c r="M13" s="85"/>
      <c r="N13" s="86"/>
    </row>
    <row r="14" spans="1:28" s="87" customFormat="1" ht="25.9" customHeight="1">
      <c r="A14" s="102" t="s">
        <v>2004</v>
      </c>
      <c r="B14" s="82"/>
      <c r="C14" s="83"/>
      <c r="D14" s="55"/>
      <c r="E14" s="82"/>
      <c r="F14" s="82"/>
      <c r="G14" s="82"/>
      <c r="H14" s="82"/>
      <c r="I14" s="84"/>
      <c r="J14" s="82"/>
      <c r="K14" s="82"/>
      <c r="L14" s="82"/>
      <c r="M14" s="85"/>
      <c r="N14" s="86"/>
    </row>
    <row r="15" spans="1:28" s="87" customFormat="1" ht="25.9" customHeight="1">
      <c r="A15" s="81" t="s">
        <v>150</v>
      </c>
      <c r="B15" s="82"/>
      <c r="C15" s="83">
        <f>적용소요인력!D8</f>
        <v>0.25</v>
      </c>
      <c r="D15" s="55" t="s">
        <v>41</v>
      </c>
      <c r="E15" s="56">
        <f t="shared" ref="E15:F22" si="2">G15+I15+K15</f>
        <v>467217</v>
      </c>
      <c r="F15" s="56">
        <f t="shared" si="2"/>
        <v>116804</v>
      </c>
      <c r="G15" s="84"/>
      <c r="H15" s="84"/>
      <c r="I15" s="56">
        <f>$I$4</f>
        <v>467217</v>
      </c>
      <c r="J15" s="56">
        <f t="shared" ref="J15:J20" si="3">INT(I15*C15)</f>
        <v>116804</v>
      </c>
      <c r="K15" s="84"/>
      <c r="L15" s="84"/>
      <c r="M15" s="85"/>
      <c r="N15" s="86"/>
    </row>
    <row r="16" spans="1:28" s="87" customFormat="1" ht="25.9" customHeight="1">
      <c r="A16" s="81" t="s">
        <v>146</v>
      </c>
      <c r="B16" s="82"/>
      <c r="C16" s="83">
        <f>적용소요인력!E8</f>
        <v>0.4</v>
      </c>
      <c r="D16" s="55" t="s">
        <v>41</v>
      </c>
      <c r="E16" s="56">
        <f t="shared" si="2"/>
        <v>373353</v>
      </c>
      <c r="F16" s="56">
        <f t="shared" si="2"/>
        <v>149341</v>
      </c>
      <c r="G16" s="84"/>
      <c r="H16" s="84"/>
      <c r="I16" s="56">
        <f>$I$5</f>
        <v>373353</v>
      </c>
      <c r="J16" s="56">
        <f t="shared" si="3"/>
        <v>149341</v>
      </c>
      <c r="K16" s="84"/>
      <c r="L16" s="84"/>
      <c r="M16" s="85"/>
      <c r="N16" s="86"/>
    </row>
    <row r="17" spans="1:14" s="87" customFormat="1" ht="25.9" customHeight="1">
      <c r="A17" s="81" t="s">
        <v>139</v>
      </c>
      <c r="B17" s="82"/>
      <c r="C17" s="83">
        <f>적용소요인력!F8</f>
        <v>0.9</v>
      </c>
      <c r="D17" s="55" t="s">
        <v>41</v>
      </c>
      <c r="E17" s="56">
        <f t="shared" si="2"/>
        <v>310884</v>
      </c>
      <c r="F17" s="56">
        <f t="shared" si="2"/>
        <v>279795</v>
      </c>
      <c r="G17" s="84"/>
      <c r="H17" s="84"/>
      <c r="I17" s="56">
        <f>$I$6</f>
        <v>310884</v>
      </c>
      <c r="J17" s="56">
        <f t="shared" si="3"/>
        <v>279795</v>
      </c>
      <c r="K17" s="84"/>
      <c r="L17" s="84"/>
      <c r="M17" s="85"/>
      <c r="N17" s="86"/>
    </row>
    <row r="18" spans="1:14" s="87" customFormat="1" ht="25.9" customHeight="1">
      <c r="A18" s="81" t="s">
        <v>168</v>
      </c>
      <c r="B18" s="82"/>
      <c r="C18" s="83">
        <f>적용소요인력!G8</f>
        <v>1.1000000000000001</v>
      </c>
      <c r="D18" s="55" t="s">
        <v>41</v>
      </c>
      <c r="E18" s="56">
        <f t="shared" si="2"/>
        <v>295138</v>
      </c>
      <c r="F18" s="56">
        <f t="shared" si="2"/>
        <v>324651</v>
      </c>
      <c r="G18" s="84"/>
      <c r="H18" s="84"/>
      <c r="I18" s="56">
        <f>$I$7</f>
        <v>295138</v>
      </c>
      <c r="J18" s="56">
        <f t="shared" si="3"/>
        <v>324651</v>
      </c>
      <c r="K18" s="84"/>
      <c r="L18" s="84"/>
      <c r="M18" s="85"/>
      <c r="N18" s="86"/>
    </row>
    <row r="19" spans="1:14" s="87" customFormat="1" ht="25.9" customHeight="1">
      <c r="A19" s="81" t="s">
        <v>165</v>
      </c>
      <c r="B19" s="82"/>
      <c r="C19" s="83">
        <f>적용소요인력!H8</f>
        <v>0.8</v>
      </c>
      <c r="D19" s="55" t="s">
        <v>41</v>
      </c>
      <c r="E19" s="56">
        <f t="shared" si="2"/>
        <v>235459</v>
      </c>
      <c r="F19" s="56">
        <f t="shared" si="2"/>
        <v>188367</v>
      </c>
      <c r="G19" s="84"/>
      <c r="H19" s="84"/>
      <c r="I19" s="56">
        <f>$I$8</f>
        <v>235459</v>
      </c>
      <c r="J19" s="56">
        <f t="shared" si="3"/>
        <v>188367</v>
      </c>
      <c r="K19" s="84"/>
      <c r="L19" s="84"/>
      <c r="M19" s="85"/>
      <c r="N19" s="86"/>
    </row>
    <row r="20" spans="1:14" s="87" customFormat="1" ht="25.9" customHeight="1">
      <c r="A20" s="81" t="s">
        <v>180</v>
      </c>
      <c r="B20" s="82"/>
      <c r="C20" s="83">
        <f>적용소요인력!I8</f>
        <v>0</v>
      </c>
      <c r="D20" s="55" t="s">
        <v>41</v>
      </c>
      <c r="E20" s="56">
        <f t="shared" si="2"/>
        <v>250087</v>
      </c>
      <c r="F20" s="56">
        <f t="shared" si="2"/>
        <v>0</v>
      </c>
      <c r="G20" s="84"/>
      <c r="H20" s="84"/>
      <c r="I20" s="56">
        <f>$I$9</f>
        <v>250087</v>
      </c>
      <c r="J20" s="56">
        <f t="shared" si="3"/>
        <v>0</v>
      </c>
      <c r="K20" s="84"/>
      <c r="L20" s="84"/>
      <c r="M20" s="85"/>
      <c r="N20" s="86"/>
    </row>
    <row r="21" spans="1:14" s="87" customFormat="1" ht="25.9" customHeight="1">
      <c r="A21" s="81" t="s">
        <v>39</v>
      </c>
      <c r="B21" s="82"/>
      <c r="C21" s="83"/>
      <c r="D21" s="55"/>
      <c r="E21" s="56"/>
      <c r="F21" s="56">
        <f t="shared" si="2"/>
        <v>1058958</v>
      </c>
      <c r="G21" s="84"/>
      <c r="H21" s="84"/>
      <c r="I21" s="56"/>
      <c r="J21" s="56">
        <f>SUM(J15:J20)</f>
        <v>1058958</v>
      </c>
      <c r="K21" s="84"/>
      <c r="L21" s="84"/>
      <c r="M21" s="85"/>
      <c r="N21" s="86"/>
    </row>
    <row r="22" spans="1:14" s="87" customFormat="1" ht="25.9" customHeight="1">
      <c r="A22" s="81" t="s">
        <v>45</v>
      </c>
      <c r="B22" s="95">
        <f>$S$8</f>
        <v>0.3</v>
      </c>
      <c r="C22" s="83"/>
      <c r="D22" s="55"/>
      <c r="E22" s="51">
        <f>F22</f>
        <v>317687</v>
      </c>
      <c r="F22" s="56">
        <f t="shared" si="2"/>
        <v>317687</v>
      </c>
      <c r="G22" s="82"/>
      <c r="H22" s="82"/>
      <c r="I22" s="56"/>
      <c r="J22" s="56">
        <f>TRUNC(J21*$S$8,0)</f>
        <v>317687</v>
      </c>
      <c r="K22" s="82"/>
      <c r="L22" s="82"/>
      <c r="M22" s="96"/>
      <c r="N22" s="86"/>
    </row>
    <row r="23" spans="1:14" s="87" customFormat="1" ht="25.9" customHeight="1">
      <c r="A23" s="81"/>
      <c r="B23" s="95"/>
      <c r="C23" s="83"/>
      <c r="D23" s="55"/>
      <c r="E23" s="51"/>
      <c r="F23" s="56"/>
      <c r="G23" s="82"/>
      <c r="H23" s="82"/>
      <c r="I23" s="56"/>
      <c r="J23" s="56"/>
      <c r="K23" s="82"/>
      <c r="L23" s="82"/>
      <c r="M23" s="96"/>
      <c r="N23" s="86"/>
    </row>
    <row r="24" spans="1:14" s="87" customFormat="1" ht="25.9" customHeight="1">
      <c r="A24" s="81"/>
      <c r="B24" s="82"/>
      <c r="C24" s="83"/>
      <c r="D24" s="55"/>
      <c r="E24" s="51"/>
      <c r="F24" s="56"/>
      <c r="G24" s="82"/>
      <c r="H24" s="82"/>
      <c r="I24" s="82"/>
      <c r="J24" s="84"/>
      <c r="K24" s="82"/>
      <c r="L24" s="82"/>
      <c r="M24" s="85"/>
      <c r="N24" s="86"/>
    </row>
    <row r="25" spans="1:14" s="87" customFormat="1" ht="25.9" customHeight="1">
      <c r="A25" s="102" t="s">
        <v>2005</v>
      </c>
      <c r="B25" s="82"/>
      <c r="C25" s="83"/>
      <c r="D25" s="55"/>
      <c r="E25" s="82"/>
      <c r="F25" s="84"/>
      <c r="G25" s="82"/>
      <c r="H25" s="82"/>
      <c r="I25" s="82"/>
      <c r="J25" s="84"/>
      <c r="K25" s="82"/>
      <c r="L25" s="82"/>
      <c r="M25" s="85"/>
      <c r="N25" s="86"/>
    </row>
    <row r="26" spans="1:14" s="87" customFormat="1" ht="25.9" customHeight="1">
      <c r="A26" s="81" t="s">
        <v>150</v>
      </c>
      <c r="B26" s="82"/>
      <c r="C26" s="83">
        <f>적용소요인력!D9</f>
        <v>1</v>
      </c>
      <c r="D26" s="55" t="s">
        <v>41</v>
      </c>
      <c r="E26" s="56">
        <f t="shared" ref="E26:F33" si="4">G26+I26+K26</f>
        <v>467217</v>
      </c>
      <c r="F26" s="56">
        <f t="shared" si="4"/>
        <v>467217</v>
      </c>
      <c r="G26" s="84"/>
      <c r="H26" s="84"/>
      <c r="I26" s="56">
        <f>$I$4</f>
        <v>467217</v>
      </c>
      <c r="J26" s="56">
        <f t="shared" ref="J26:J31" si="5">INT(I26*C26)</f>
        <v>467217</v>
      </c>
      <c r="K26" s="84"/>
      <c r="L26" s="84"/>
      <c r="M26" s="85"/>
      <c r="N26" s="86"/>
    </row>
    <row r="27" spans="1:14" s="87" customFormat="1" ht="25.9" customHeight="1">
      <c r="A27" s="81" t="s">
        <v>146</v>
      </c>
      <c r="B27" s="82"/>
      <c r="C27" s="83">
        <f>적용소요인력!E9</f>
        <v>2</v>
      </c>
      <c r="D27" s="55" t="s">
        <v>41</v>
      </c>
      <c r="E27" s="56">
        <f t="shared" si="4"/>
        <v>373353</v>
      </c>
      <c r="F27" s="56">
        <f t="shared" si="4"/>
        <v>746706</v>
      </c>
      <c r="G27" s="84"/>
      <c r="H27" s="84"/>
      <c r="I27" s="56">
        <f>$I$5</f>
        <v>373353</v>
      </c>
      <c r="J27" s="56">
        <f t="shared" si="5"/>
        <v>746706</v>
      </c>
      <c r="K27" s="84"/>
      <c r="L27" s="84"/>
      <c r="M27" s="85"/>
      <c r="N27" s="86"/>
    </row>
    <row r="28" spans="1:14" s="87" customFormat="1" ht="25.9" customHeight="1">
      <c r="A28" s="81" t="s">
        <v>139</v>
      </c>
      <c r="B28" s="82"/>
      <c r="C28" s="83">
        <f>적용소요인력!F9</f>
        <v>0.2</v>
      </c>
      <c r="D28" s="55" t="s">
        <v>41</v>
      </c>
      <c r="E28" s="56">
        <f t="shared" si="4"/>
        <v>310884</v>
      </c>
      <c r="F28" s="56">
        <f t="shared" si="4"/>
        <v>62176</v>
      </c>
      <c r="G28" s="84"/>
      <c r="H28" s="84"/>
      <c r="I28" s="56">
        <f>$I$6</f>
        <v>310884</v>
      </c>
      <c r="J28" s="56">
        <f t="shared" si="5"/>
        <v>62176</v>
      </c>
      <c r="K28" s="84"/>
      <c r="L28" s="84"/>
      <c r="M28" s="85"/>
      <c r="N28" s="86"/>
    </row>
    <row r="29" spans="1:14" s="87" customFormat="1" ht="25.9" customHeight="1">
      <c r="A29" s="81" t="s">
        <v>168</v>
      </c>
      <c r="B29" s="82"/>
      <c r="C29" s="83">
        <f>적용소요인력!G9</f>
        <v>0.4</v>
      </c>
      <c r="D29" s="55" t="s">
        <v>41</v>
      </c>
      <c r="E29" s="56">
        <f t="shared" si="4"/>
        <v>295138</v>
      </c>
      <c r="F29" s="56">
        <f t="shared" si="4"/>
        <v>118055</v>
      </c>
      <c r="G29" s="84"/>
      <c r="H29" s="84"/>
      <c r="I29" s="56">
        <f>$I$7</f>
        <v>295138</v>
      </c>
      <c r="J29" s="56">
        <f t="shared" si="5"/>
        <v>118055</v>
      </c>
      <c r="K29" s="84"/>
      <c r="L29" s="84"/>
      <c r="M29" s="85"/>
      <c r="N29" s="86"/>
    </row>
    <row r="30" spans="1:14" s="87" customFormat="1" ht="25.9" customHeight="1">
      <c r="A30" s="81" t="s">
        <v>165</v>
      </c>
      <c r="B30" s="82"/>
      <c r="C30" s="83">
        <f>적용소요인력!H9</f>
        <v>0.6</v>
      </c>
      <c r="D30" s="55" t="s">
        <v>41</v>
      </c>
      <c r="E30" s="56">
        <f t="shared" si="4"/>
        <v>235459</v>
      </c>
      <c r="F30" s="56">
        <f t="shared" si="4"/>
        <v>141275</v>
      </c>
      <c r="G30" s="84"/>
      <c r="H30" s="84"/>
      <c r="I30" s="56">
        <f>$I$8</f>
        <v>235459</v>
      </c>
      <c r="J30" s="56">
        <f t="shared" si="5"/>
        <v>141275</v>
      </c>
      <c r="K30" s="84"/>
      <c r="L30" s="84"/>
      <c r="M30" s="85"/>
      <c r="N30" s="86"/>
    </row>
    <row r="31" spans="1:14" s="87" customFormat="1" ht="25.9" customHeight="1">
      <c r="A31" s="81" t="s">
        <v>180</v>
      </c>
      <c r="B31" s="82"/>
      <c r="C31" s="83">
        <f>적용소요인력!I9</f>
        <v>0</v>
      </c>
      <c r="D31" s="55" t="s">
        <v>41</v>
      </c>
      <c r="E31" s="56">
        <f t="shared" si="4"/>
        <v>250087</v>
      </c>
      <c r="F31" s="56">
        <f t="shared" si="4"/>
        <v>0</v>
      </c>
      <c r="G31" s="84"/>
      <c r="H31" s="84"/>
      <c r="I31" s="56">
        <f>$I$9</f>
        <v>250087</v>
      </c>
      <c r="J31" s="56">
        <f t="shared" si="5"/>
        <v>0</v>
      </c>
      <c r="K31" s="84"/>
      <c r="L31" s="84"/>
      <c r="M31" s="85"/>
      <c r="N31" s="86"/>
    </row>
    <row r="32" spans="1:14" s="87" customFormat="1" ht="25.9" customHeight="1">
      <c r="A32" s="81" t="s">
        <v>39</v>
      </c>
      <c r="B32" s="82"/>
      <c r="C32" s="83"/>
      <c r="D32" s="55"/>
      <c r="E32" s="56"/>
      <c r="F32" s="56">
        <f t="shared" si="4"/>
        <v>1535429</v>
      </c>
      <c r="G32" s="84"/>
      <c r="H32" s="84"/>
      <c r="I32" s="56"/>
      <c r="J32" s="56">
        <f>SUM(J26:J31)</f>
        <v>1535429</v>
      </c>
      <c r="K32" s="84"/>
      <c r="L32" s="84"/>
      <c r="M32" s="85"/>
      <c r="N32" s="86"/>
    </row>
    <row r="33" spans="1:14" s="87" customFormat="1" ht="25.9" customHeight="1">
      <c r="A33" s="81" t="s">
        <v>45</v>
      </c>
      <c r="B33" s="95">
        <f>$S$8</f>
        <v>0.3</v>
      </c>
      <c r="C33" s="83"/>
      <c r="D33" s="55"/>
      <c r="E33" s="51">
        <f>F33</f>
        <v>460628</v>
      </c>
      <c r="F33" s="56">
        <f t="shared" si="4"/>
        <v>460628</v>
      </c>
      <c r="G33" s="82"/>
      <c r="H33" s="82"/>
      <c r="I33" s="56"/>
      <c r="J33" s="56">
        <f>TRUNC(J32*$S$8,0)</f>
        <v>460628</v>
      </c>
      <c r="K33" s="82"/>
      <c r="L33" s="82"/>
      <c r="M33" s="96"/>
      <c r="N33" s="86"/>
    </row>
    <row r="34" spans="1:14" s="87" customFormat="1" ht="25.9" customHeight="1">
      <c r="A34" s="102" t="s">
        <v>812</v>
      </c>
      <c r="B34" s="82"/>
      <c r="C34" s="83"/>
      <c r="D34" s="55"/>
      <c r="E34" s="82"/>
      <c r="F34" s="84"/>
      <c r="G34" s="82"/>
      <c r="H34" s="82"/>
      <c r="I34" s="82"/>
      <c r="J34" s="84"/>
      <c r="K34" s="82"/>
      <c r="L34" s="82"/>
      <c r="M34" s="85"/>
      <c r="N34" s="86"/>
    </row>
    <row r="35" spans="1:14" s="87" customFormat="1" ht="25.9" customHeight="1">
      <c r="A35" s="81" t="s">
        <v>150</v>
      </c>
      <c r="B35" s="82"/>
      <c r="C35" s="83">
        <f>적용소요인력!D11</f>
        <v>0.04</v>
      </c>
      <c r="D35" s="55" t="s">
        <v>41</v>
      </c>
      <c r="E35" s="56">
        <f t="shared" ref="E35:F42" si="6">G35+I35+K35</f>
        <v>467217</v>
      </c>
      <c r="F35" s="56">
        <f t="shared" si="6"/>
        <v>18688</v>
      </c>
      <c r="G35" s="84"/>
      <c r="H35" s="84"/>
      <c r="I35" s="56">
        <f>$I$4</f>
        <v>467217</v>
      </c>
      <c r="J35" s="56">
        <f t="shared" ref="J35:J40" si="7">INT(I35*C35)</f>
        <v>18688</v>
      </c>
      <c r="K35" s="84"/>
      <c r="L35" s="84"/>
      <c r="M35" s="85"/>
      <c r="N35" s="86"/>
    </row>
    <row r="36" spans="1:14" s="87" customFormat="1" ht="25.9" customHeight="1">
      <c r="A36" s="81" t="s">
        <v>146</v>
      </c>
      <c r="B36" s="82"/>
      <c r="C36" s="83">
        <f>적용소요인력!E11</f>
        <v>0.105</v>
      </c>
      <c r="D36" s="55" t="s">
        <v>41</v>
      </c>
      <c r="E36" s="56">
        <f t="shared" si="6"/>
        <v>373353</v>
      </c>
      <c r="F36" s="56">
        <f t="shared" si="6"/>
        <v>39202</v>
      </c>
      <c r="G36" s="84"/>
      <c r="H36" s="84"/>
      <c r="I36" s="56">
        <f>$I$5</f>
        <v>373353</v>
      </c>
      <c r="J36" s="56">
        <f t="shared" si="7"/>
        <v>39202</v>
      </c>
      <c r="K36" s="84"/>
      <c r="L36" s="84"/>
      <c r="M36" s="85"/>
      <c r="N36" s="86"/>
    </row>
    <row r="37" spans="1:14" s="87" customFormat="1" ht="25.9" customHeight="1">
      <c r="A37" s="81" t="s">
        <v>139</v>
      </c>
      <c r="B37" s="82"/>
      <c r="C37" s="83">
        <f>적용소요인력!F11</f>
        <v>0.18</v>
      </c>
      <c r="D37" s="55" t="s">
        <v>41</v>
      </c>
      <c r="E37" s="56">
        <f t="shared" si="6"/>
        <v>310884</v>
      </c>
      <c r="F37" s="56">
        <f t="shared" si="6"/>
        <v>55959</v>
      </c>
      <c r="G37" s="84"/>
      <c r="H37" s="84"/>
      <c r="I37" s="56">
        <f>$I$6</f>
        <v>310884</v>
      </c>
      <c r="J37" s="56">
        <f t="shared" si="7"/>
        <v>55959</v>
      </c>
      <c r="K37" s="84"/>
      <c r="L37" s="84"/>
      <c r="M37" s="85"/>
      <c r="N37" s="86"/>
    </row>
    <row r="38" spans="1:14" s="87" customFormat="1" ht="25.9" customHeight="1">
      <c r="A38" s="81" t="s">
        <v>168</v>
      </c>
      <c r="B38" s="82"/>
      <c r="C38" s="83">
        <f>적용소요인력!G11</f>
        <v>0.255</v>
      </c>
      <c r="D38" s="55" t="s">
        <v>41</v>
      </c>
      <c r="E38" s="56">
        <f t="shared" si="6"/>
        <v>295138</v>
      </c>
      <c r="F38" s="56">
        <f t="shared" si="6"/>
        <v>75260</v>
      </c>
      <c r="G38" s="84"/>
      <c r="H38" s="84"/>
      <c r="I38" s="56">
        <f>$I$7</f>
        <v>295138</v>
      </c>
      <c r="J38" s="56">
        <f t="shared" si="7"/>
        <v>75260</v>
      </c>
      <c r="K38" s="84"/>
      <c r="L38" s="84"/>
      <c r="M38" s="85"/>
      <c r="N38" s="86"/>
    </row>
    <row r="39" spans="1:14" s="87" customFormat="1" ht="25.9" customHeight="1">
      <c r="A39" s="81" t="s">
        <v>165</v>
      </c>
      <c r="B39" s="82"/>
      <c r="C39" s="83">
        <f>적용소요인력!H11</f>
        <v>0.16500000000000001</v>
      </c>
      <c r="D39" s="55" t="s">
        <v>41</v>
      </c>
      <c r="E39" s="56">
        <f t="shared" si="6"/>
        <v>235459</v>
      </c>
      <c r="F39" s="56">
        <f t="shared" si="6"/>
        <v>38850</v>
      </c>
      <c r="G39" s="84"/>
      <c r="H39" s="84"/>
      <c r="I39" s="56">
        <f>$I$8</f>
        <v>235459</v>
      </c>
      <c r="J39" s="56">
        <f t="shared" si="7"/>
        <v>38850</v>
      </c>
      <c r="K39" s="84"/>
      <c r="L39" s="84"/>
      <c r="M39" s="85"/>
      <c r="N39" s="86"/>
    </row>
    <row r="40" spans="1:14" s="87" customFormat="1" ht="25.9" customHeight="1">
      <c r="A40" s="81" t="s">
        <v>180</v>
      </c>
      <c r="B40" s="82"/>
      <c r="C40" s="83">
        <f>적용소요인력!I11</f>
        <v>0</v>
      </c>
      <c r="D40" s="55" t="s">
        <v>41</v>
      </c>
      <c r="E40" s="56">
        <f t="shared" si="6"/>
        <v>250087</v>
      </c>
      <c r="F40" s="56">
        <f t="shared" si="6"/>
        <v>0</v>
      </c>
      <c r="G40" s="84"/>
      <c r="H40" s="84"/>
      <c r="I40" s="56">
        <f>$I$9</f>
        <v>250087</v>
      </c>
      <c r="J40" s="56">
        <f t="shared" si="7"/>
        <v>0</v>
      </c>
      <c r="K40" s="84"/>
      <c r="L40" s="84"/>
      <c r="M40" s="85"/>
      <c r="N40" s="86"/>
    </row>
    <row r="41" spans="1:14" s="87" customFormat="1" ht="25.9" customHeight="1">
      <c r="A41" s="81" t="s">
        <v>39</v>
      </c>
      <c r="B41" s="82"/>
      <c r="C41" s="83"/>
      <c r="D41" s="55"/>
      <c r="E41" s="56"/>
      <c r="F41" s="56">
        <f t="shared" si="6"/>
        <v>227959</v>
      </c>
      <c r="G41" s="84"/>
      <c r="H41" s="84"/>
      <c r="I41" s="56"/>
      <c r="J41" s="56">
        <f>SUM(J35:J40)</f>
        <v>227959</v>
      </c>
      <c r="K41" s="84"/>
      <c r="L41" s="84"/>
      <c r="M41" s="85"/>
      <c r="N41" s="86"/>
    </row>
    <row r="42" spans="1:14" s="87" customFormat="1" ht="25.9" customHeight="1">
      <c r="A42" s="81" t="s">
        <v>45</v>
      </c>
      <c r="B42" s="95">
        <f>$S$9</f>
        <v>0.3</v>
      </c>
      <c r="C42" s="83"/>
      <c r="D42" s="55"/>
      <c r="E42" s="51">
        <f>F42</f>
        <v>68387</v>
      </c>
      <c r="F42" s="56">
        <f t="shared" si="6"/>
        <v>68387</v>
      </c>
      <c r="G42" s="82"/>
      <c r="H42" s="82"/>
      <c r="I42" s="56"/>
      <c r="J42" s="56">
        <f>TRUNC(J41*$S$9,0)</f>
        <v>68387</v>
      </c>
      <c r="K42" s="82"/>
      <c r="L42" s="82"/>
      <c r="M42" s="98"/>
      <c r="N42" s="86"/>
    </row>
    <row r="43" spans="1:14" s="87" customFormat="1" ht="25.9" customHeight="1">
      <c r="A43" s="81"/>
      <c r="B43" s="95"/>
      <c r="C43" s="83"/>
      <c r="D43" s="55"/>
      <c r="E43" s="51"/>
      <c r="F43" s="56"/>
      <c r="G43" s="82"/>
      <c r="H43" s="82"/>
      <c r="I43" s="56"/>
      <c r="J43" s="56"/>
      <c r="K43" s="82"/>
      <c r="L43" s="82"/>
      <c r="M43" s="98"/>
      <c r="N43" s="86"/>
    </row>
    <row r="44" spans="1:14" s="87" customFormat="1" ht="25.9" customHeight="1">
      <c r="A44" s="81"/>
      <c r="B44" s="82"/>
      <c r="C44" s="83"/>
      <c r="D44" s="55"/>
      <c r="E44" s="51"/>
      <c r="F44" s="56"/>
      <c r="G44" s="82"/>
      <c r="H44" s="82"/>
      <c r="I44" s="82"/>
      <c r="J44" s="82"/>
      <c r="K44" s="82"/>
      <c r="L44" s="82"/>
      <c r="M44" s="85"/>
      <c r="N44" s="86"/>
    </row>
    <row r="45" spans="1:14" s="87" customFormat="1" ht="25.9" customHeight="1">
      <c r="A45" s="102" t="s">
        <v>2006</v>
      </c>
      <c r="B45" s="82"/>
      <c r="C45" s="83"/>
      <c r="D45" s="55"/>
      <c r="E45" s="82"/>
      <c r="F45" s="84"/>
      <c r="G45" s="82"/>
      <c r="H45" s="82"/>
      <c r="I45" s="82"/>
      <c r="J45" s="84"/>
      <c r="K45" s="82"/>
      <c r="L45" s="82"/>
      <c r="M45" s="85"/>
      <c r="N45" s="86"/>
    </row>
    <row r="46" spans="1:14" s="87" customFormat="1" ht="25.9" customHeight="1">
      <c r="A46" s="81" t="s">
        <v>150</v>
      </c>
      <c r="B46" s="82"/>
      <c r="C46" s="83">
        <f>적용소요인력!D13</f>
        <v>0.7</v>
      </c>
      <c r="D46" s="55" t="s">
        <v>41</v>
      </c>
      <c r="E46" s="56">
        <f t="shared" ref="E46:F53" si="8">G46+I46+K46</f>
        <v>467217</v>
      </c>
      <c r="F46" s="56">
        <f t="shared" si="8"/>
        <v>327051</v>
      </c>
      <c r="G46" s="84"/>
      <c r="H46" s="84"/>
      <c r="I46" s="56">
        <f>$I$4</f>
        <v>467217</v>
      </c>
      <c r="J46" s="56">
        <f t="shared" ref="J46:J51" si="9">INT(I46*C46)</f>
        <v>327051</v>
      </c>
      <c r="K46" s="84"/>
      <c r="L46" s="84"/>
      <c r="M46" s="85"/>
      <c r="N46" s="86"/>
    </row>
    <row r="47" spans="1:14" s="87" customFormat="1" ht="25.9" customHeight="1">
      <c r="A47" s="81" t="s">
        <v>146</v>
      </c>
      <c r="B47" s="82"/>
      <c r="C47" s="83">
        <f>적용소요인력!E13</f>
        <v>3.7</v>
      </c>
      <c r="D47" s="55" t="s">
        <v>41</v>
      </c>
      <c r="E47" s="56">
        <f t="shared" si="8"/>
        <v>373353</v>
      </c>
      <c r="F47" s="56">
        <f t="shared" si="8"/>
        <v>1381406</v>
      </c>
      <c r="G47" s="84"/>
      <c r="H47" s="84"/>
      <c r="I47" s="56">
        <f>$I$5</f>
        <v>373353</v>
      </c>
      <c r="J47" s="56">
        <f t="shared" si="9"/>
        <v>1381406</v>
      </c>
      <c r="K47" s="84"/>
      <c r="L47" s="84"/>
      <c r="M47" s="85"/>
      <c r="N47" s="86"/>
    </row>
    <row r="48" spans="1:14" s="87" customFormat="1" ht="25.9" customHeight="1">
      <c r="A48" s="81" t="s">
        <v>139</v>
      </c>
      <c r="B48" s="82"/>
      <c r="C48" s="83">
        <f>적용소요인력!F13</f>
        <v>5.65</v>
      </c>
      <c r="D48" s="55" t="s">
        <v>41</v>
      </c>
      <c r="E48" s="56">
        <f t="shared" si="8"/>
        <v>310884</v>
      </c>
      <c r="F48" s="56">
        <f t="shared" si="8"/>
        <v>1756494</v>
      </c>
      <c r="G48" s="84"/>
      <c r="H48" s="84"/>
      <c r="I48" s="56">
        <f>$I$6</f>
        <v>310884</v>
      </c>
      <c r="J48" s="56">
        <f t="shared" si="9"/>
        <v>1756494</v>
      </c>
      <c r="K48" s="84"/>
      <c r="L48" s="84"/>
      <c r="M48" s="85"/>
      <c r="N48" s="86"/>
    </row>
    <row r="49" spans="1:14" s="87" customFormat="1" ht="25.9" customHeight="1">
      <c r="A49" s="81" t="s">
        <v>168</v>
      </c>
      <c r="B49" s="82"/>
      <c r="C49" s="83">
        <f>적용소요인력!G13</f>
        <v>6.55</v>
      </c>
      <c r="D49" s="55" t="s">
        <v>41</v>
      </c>
      <c r="E49" s="56">
        <f t="shared" si="8"/>
        <v>295138</v>
      </c>
      <c r="F49" s="56">
        <f t="shared" si="8"/>
        <v>1933153</v>
      </c>
      <c r="G49" s="84"/>
      <c r="H49" s="84"/>
      <c r="I49" s="56">
        <f>$I$7</f>
        <v>295138</v>
      </c>
      <c r="J49" s="56">
        <f t="shared" si="9"/>
        <v>1933153</v>
      </c>
      <c r="K49" s="84"/>
      <c r="L49" s="84"/>
      <c r="M49" s="85"/>
      <c r="N49" s="86"/>
    </row>
    <row r="50" spans="1:14" s="87" customFormat="1" ht="25.9" customHeight="1">
      <c r="A50" s="81" t="s">
        <v>165</v>
      </c>
      <c r="B50" s="82"/>
      <c r="C50" s="83">
        <f>적용소요인력!H13</f>
        <v>4.3</v>
      </c>
      <c r="D50" s="55" t="s">
        <v>41</v>
      </c>
      <c r="E50" s="56">
        <f t="shared" si="8"/>
        <v>235459</v>
      </c>
      <c r="F50" s="56">
        <f t="shared" si="8"/>
        <v>1012473</v>
      </c>
      <c r="G50" s="84"/>
      <c r="H50" s="84"/>
      <c r="I50" s="56">
        <f>$I$8</f>
        <v>235459</v>
      </c>
      <c r="J50" s="56">
        <f t="shared" si="9"/>
        <v>1012473</v>
      </c>
      <c r="K50" s="84"/>
      <c r="L50" s="84"/>
      <c r="M50" s="85"/>
      <c r="N50" s="86"/>
    </row>
    <row r="51" spans="1:14" s="87" customFormat="1" ht="25.9" customHeight="1">
      <c r="A51" s="81" t="s">
        <v>180</v>
      </c>
      <c r="B51" s="82"/>
      <c r="C51" s="83">
        <f>적용소요인력!I13</f>
        <v>0</v>
      </c>
      <c r="D51" s="55" t="s">
        <v>41</v>
      </c>
      <c r="E51" s="56">
        <f t="shared" si="8"/>
        <v>250087</v>
      </c>
      <c r="F51" s="56">
        <f t="shared" si="8"/>
        <v>0</v>
      </c>
      <c r="G51" s="84"/>
      <c r="H51" s="84"/>
      <c r="I51" s="56">
        <f>$I$9</f>
        <v>250087</v>
      </c>
      <c r="J51" s="56">
        <f t="shared" si="9"/>
        <v>0</v>
      </c>
      <c r="K51" s="84"/>
      <c r="L51" s="84"/>
      <c r="M51" s="85"/>
      <c r="N51" s="86"/>
    </row>
    <row r="52" spans="1:14" s="87" customFormat="1" ht="25.9" customHeight="1">
      <c r="A52" s="81" t="s">
        <v>39</v>
      </c>
      <c r="B52" s="82"/>
      <c r="C52" s="83"/>
      <c r="D52" s="55"/>
      <c r="E52" s="56"/>
      <c r="F52" s="56">
        <f t="shared" si="8"/>
        <v>6410577</v>
      </c>
      <c r="G52" s="84"/>
      <c r="H52" s="84"/>
      <c r="I52" s="56"/>
      <c r="J52" s="56">
        <f>SUM(J46:J51)</f>
        <v>6410577</v>
      </c>
      <c r="K52" s="84"/>
      <c r="L52" s="84"/>
      <c r="M52" s="85"/>
      <c r="N52" s="86"/>
    </row>
    <row r="53" spans="1:14" s="87" customFormat="1" ht="25.9" customHeight="1">
      <c r="A53" s="81" t="s">
        <v>45</v>
      </c>
      <c r="B53" s="95">
        <f>$S$9</f>
        <v>0.3</v>
      </c>
      <c r="C53" s="83"/>
      <c r="D53" s="55"/>
      <c r="E53" s="51">
        <f>F53</f>
        <v>1923173</v>
      </c>
      <c r="F53" s="56">
        <f t="shared" si="8"/>
        <v>1923173</v>
      </c>
      <c r="G53" s="82"/>
      <c r="H53" s="82"/>
      <c r="I53" s="56"/>
      <c r="J53" s="56">
        <f>TRUNC(J52*$S$9,0)</f>
        <v>1923173</v>
      </c>
      <c r="K53" s="82"/>
      <c r="L53" s="82"/>
      <c r="M53" s="85"/>
      <c r="N53" s="86"/>
    </row>
    <row r="54" spans="1:14" s="87" customFormat="1" ht="25.9" customHeight="1">
      <c r="A54" s="102" t="s">
        <v>2007</v>
      </c>
      <c r="B54" s="82"/>
      <c r="C54" s="83"/>
      <c r="D54" s="55"/>
      <c r="E54" s="82"/>
      <c r="F54" s="84"/>
      <c r="G54" s="82"/>
      <c r="H54" s="82"/>
      <c r="I54" s="82"/>
      <c r="J54" s="84"/>
      <c r="K54" s="82"/>
      <c r="L54" s="82"/>
      <c r="M54" s="85"/>
      <c r="N54" s="86"/>
    </row>
    <row r="55" spans="1:14" s="87" customFormat="1" ht="25.9" customHeight="1">
      <c r="A55" s="81" t="s">
        <v>150</v>
      </c>
      <c r="B55" s="82"/>
      <c r="C55" s="83">
        <f>적용소요인력!D14</f>
        <v>0.25</v>
      </c>
      <c r="D55" s="55" t="s">
        <v>41</v>
      </c>
      <c r="E55" s="56">
        <f t="shared" ref="E55:F62" si="10">G55+I55+K55</f>
        <v>467217</v>
      </c>
      <c r="F55" s="56">
        <f t="shared" si="10"/>
        <v>116804</v>
      </c>
      <c r="G55" s="84"/>
      <c r="H55" s="84"/>
      <c r="I55" s="56">
        <f>$I$4</f>
        <v>467217</v>
      </c>
      <c r="J55" s="56">
        <f t="shared" ref="J55:J60" si="11">INT(I55*C55)</f>
        <v>116804</v>
      </c>
      <c r="K55" s="84"/>
      <c r="L55" s="84"/>
      <c r="M55" s="85"/>
      <c r="N55" s="86"/>
    </row>
    <row r="56" spans="1:14" s="87" customFormat="1" ht="25.9" customHeight="1">
      <c r="A56" s="81" t="s">
        <v>146</v>
      </c>
      <c r="B56" s="82"/>
      <c r="C56" s="83">
        <f>적용소요인력!E14</f>
        <v>1.1000000000000001</v>
      </c>
      <c r="D56" s="55" t="s">
        <v>41</v>
      </c>
      <c r="E56" s="56">
        <f t="shared" si="10"/>
        <v>373353</v>
      </c>
      <c r="F56" s="56">
        <f t="shared" si="10"/>
        <v>410688</v>
      </c>
      <c r="G56" s="84"/>
      <c r="H56" s="84"/>
      <c r="I56" s="56">
        <f>$I$5</f>
        <v>373353</v>
      </c>
      <c r="J56" s="56">
        <f t="shared" si="11"/>
        <v>410688</v>
      </c>
      <c r="K56" s="84"/>
      <c r="L56" s="84"/>
      <c r="M56" s="85"/>
      <c r="N56" s="86"/>
    </row>
    <row r="57" spans="1:14" s="87" customFormat="1" ht="25.9" customHeight="1">
      <c r="A57" s="81" t="s">
        <v>139</v>
      </c>
      <c r="B57" s="82"/>
      <c r="C57" s="83">
        <f>적용소요인력!F14</f>
        <v>1.65</v>
      </c>
      <c r="D57" s="55" t="s">
        <v>41</v>
      </c>
      <c r="E57" s="56">
        <f t="shared" si="10"/>
        <v>310884</v>
      </c>
      <c r="F57" s="56">
        <f t="shared" si="10"/>
        <v>512958</v>
      </c>
      <c r="G57" s="84"/>
      <c r="H57" s="84"/>
      <c r="I57" s="56">
        <f>$I$6</f>
        <v>310884</v>
      </c>
      <c r="J57" s="56">
        <f t="shared" si="11"/>
        <v>512958</v>
      </c>
      <c r="K57" s="84"/>
      <c r="L57" s="84"/>
      <c r="M57" s="85"/>
      <c r="N57" s="86"/>
    </row>
    <row r="58" spans="1:14" s="87" customFormat="1" ht="25.9" customHeight="1">
      <c r="A58" s="81" t="s">
        <v>168</v>
      </c>
      <c r="B58" s="82"/>
      <c r="C58" s="83">
        <f>적용소요인력!G14</f>
        <v>1.9</v>
      </c>
      <c r="D58" s="55" t="s">
        <v>41</v>
      </c>
      <c r="E58" s="56">
        <f t="shared" si="10"/>
        <v>295138</v>
      </c>
      <c r="F58" s="56">
        <f t="shared" si="10"/>
        <v>560762</v>
      </c>
      <c r="G58" s="84"/>
      <c r="H58" s="84"/>
      <c r="I58" s="56">
        <f>$I$7</f>
        <v>295138</v>
      </c>
      <c r="J58" s="56">
        <f t="shared" si="11"/>
        <v>560762</v>
      </c>
      <c r="K58" s="84"/>
      <c r="L58" s="84"/>
      <c r="M58" s="85"/>
      <c r="N58" s="86"/>
    </row>
    <row r="59" spans="1:14" s="87" customFormat="1" ht="25.9" customHeight="1">
      <c r="A59" s="81" t="s">
        <v>165</v>
      </c>
      <c r="B59" s="82"/>
      <c r="C59" s="83">
        <f>적용소요인력!H14</f>
        <v>1.25</v>
      </c>
      <c r="D59" s="55" t="s">
        <v>41</v>
      </c>
      <c r="E59" s="56">
        <f t="shared" si="10"/>
        <v>235459</v>
      </c>
      <c r="F59" s="56">
        <f t="shared" si="10"/>
        <v>294323</v>
      </c>
      <c r="G59" s="84"/>
      <c r="H59" s="84"/>
      <c r="I59" s="56">
        <f>$I$8</f>
        <v>235459</v>
      </c>
      <c r="J59" s="56">
        <f t="shared" si="11"/>
        <v>294323</v>
      </c>
      <c r="K59" s="84"/>
      <c r="L59" s="84"/>
      <c r="M59" s="85"/>
      <c r="N59" s="86"/>
    </row>
    <row r="60" spans="1:14" s="87" customFormat="1" ht="25.9" customHeight="1">
      <c r="A60" s="81" t="s">
        <v>180</v>
      </c>
      <c r="B60" s="82"/>
      <c r="C60" s="83">
        <f>적용소요인력!I14</f>
        <v>0</v>
      </c>
      <c r="D60" s="55" t="s">
        <v>41</v>
      </c>
      <c r="E60" s="56">
        <f t="shared" si="10"/>
        <v>250087</v>
      </c>
      <c r="F60" s="56">
        <f t="shared" si="10"/>
        <v>0</v>
      </c>
      <c r="G60" s="84"/>
      <c r="H60" s="84"/>
      <c r="I60" s="56">
        <f>$I$9</f>
        <v>250087</v>
      </c>
      <c r="J60" s="56">
        <f t="shared" si="11"/>
        <v>0</v>
      </c>
      <c r="K60" s="84"/>
      <c r="L60" s="84"/>
      <c r="M60" s="85"/>
      <c r="N60" s="86"/>
    </row>
    <row r="61" spans="1:14" s="87" customFormat="1" ht="25.9" customHeight="1">
      <c r="A61" s="81" t="s">
        <v>39</v>
      </c>
      <c r="B61" s="82"/>
      <c r="C61" s="83"/>
      <c r="D61" s="55"/>
      <c r="E61" s="56"/>
      <c r="F61" s="56">
        <f t="shared" si="10"/>
        <v>1895535</v>
      </c>
      <c r="G61" s="84"/>
      <c r="H61" s="84"/>
      <c r="I61" s="56"/>
      <c r="J61" s="56">
        <f>SUM(J55:J60)</f>
        <v>1895535</v>
      </c>
      <c r="K61" s="84"/>
      <c r="L61" s="84"/>
      <c r="M61" s="85"/>
      <c r="N61" s="86"/>
    </row>
    <row r="62" spans="1:14" s="87" customFormat="1" ht="25.9" customHeight="1">
      <c r="A62" s="81" t="s">
        <v>45</v>
      </c>
      <c r="B62" s="95">
        <f>$S$9</f>
        <v>0.3</v>
      </c>
      <c r="C62" s="83"/>
      <c r="D62" s="55"/>
      <c r="E62" s="51">
        <f>F62</f>
        <v>568660</v>
      </c>
      <c r="F62" s="56">
        <f t="shared" si="10"/>
        <v>568660</v>
      </c>
      <c r="G62" s="82"/>
      <c r="H62" s="82"/>
      <c r="I62" s="56"/>
      <c r="J62" s="56">
        <f>TRUNC(J61*$S$10,0)</f>
        <v>568660</v>
      </c>
      <c r="K62" s="82"/>
      <c r="L62" s="82"/>
      <c r="M62" s="226"/>
      <c r="N62" s="86"/>
    </row>
    <row r="63" spans="1:14" s="100" customFormat="1" ht="25.9" customHeight="1">
      <c r="A63" s="81"/>
      <c r="B63" s="95"/>
      <c r="C63" s="83"/>
      <c r="D63" s="55"/>
      <c r="E63" s="51"/>
      <c r="F63" s="56"/>
      <c r="G63" s="82"/>
      <c r="H63" s="82"/>
      <c r="I63" s="56"/>
      <c r="J63" s="56"/>
      <c r="K63" s="82"/>
      <c r="L63" s="82"/>
      <c r="M63" s="226"/>
      <c r="N63" s="99"/>
    </row>
    <row r="64" spans="1:14" s="100" customFormat="1" ht="25.9" customHeight="1">
      <c r="A64" s="102" t="s">
        <v>2008</v>
      </c>
      <c r="B64" s="82"/>
      <c r="C64" s="83"/>
      <c r="D64" s="55"/>
      <c r="E64" s="82"/>
      <c r="F64" s="84"/>
      <c r="G64" s="82"/>
      <c r="H64" s="82"/>
      <c r="I64" s="82"/>
      <c r="J64" s="84"/>
      <c r="K64" s="82"/>
      <c r="L64" s="82"/>
      <c r="M64" s="85"/>
      <c r="N64" s="99"/>
    </row>
    <row r="65" spans="1:14" s="87" customFormat="1" ht="25.9" customHeight="1">
      <c r="A65" s="81" t="s">
        <v>150</v>
      </c>
      <c r="B65" s="82"/>
      <c r="C65" s="83">
        <f>적용소요인력!D15</f>
        <v>0.25</v>
      </c>
      <c r="D65" s="55" t="s">
        <v>41</v>
      </c>
      <c r="E65" s="56">
        <f t="shared" ref="E65:F72" si="12">G65+I65+K65</f>
        <v>467217</v>
      </c>
      <c r="F65" s="56">
        <f t="shared" si="12"/>
        <v>116804</v>
      </c>
      <c r="G65" s="84"/>
      <c r="H65" s="84"/>
      <c r="I65" s="56">
        <f>$I$4</f>
        <v>467217</v>
      </c>
      <c r="J65" s="56">
        <f t="shared" ref="J65:J70" si="13">INT(I65*C65)</f>
        <v>116804</v>
      </c>
      <c r="K65" s="84"/>
      <c r="L65" s="84"/>
      <c r="M65" s="85"/>
      <c r="N65" s="86"/>
    </row>
    <row r="66" spans="1:14" s="87" customFormat="1" ht="25.9" customHeight="1">
      <c r="A66" s="81" t="s">
        <v>146</v>
      </c>
      <c r="B66" s="82"/>
      <c r="C66" s="83">
        <f>적용소요인력!E15</f>
        <v>0.5</v>
      </c>
      <c r="D66" s="55" t="s">
        <v>41</v>
      </c>
      <c r="E66" s="56">
        <f t="shared" si="12"/>
        <v>373353</v>
      </c>
      <c r="F66" s="56">
        <f t="shared" si="12"/>
        <v>186676</v>
      </c>
      <c r="G66" s="84"/>
      <c r="H66" s="84"/>
      <c r="I66" s="56">
        <f>$I$5</f>
        <v>373353</v>
      </c>
      <c r="J66" s="56">
        <f t="shared" si="13"/>
        <v>186676</v>
      </c>
      <c r="K66" s="84"/>
      <c r="L66" s="84"/>
      <c r="M66" s="85"/>
      <c r="N66" s="86"/>
    </row>
    <row r="67" spans="1:14" s="87" customFormat="1" ht="25.9" customHeight="1">
      <c r="A67" s="81" t="s">
        <v>139</v>
      </c>
      <c r="B67" s="82"/>
      <c r="C67" s="83">
        <f>적용소요인력!F15</f>
        <v>1</v>
      </c>
      <c r="D67" s="55" t="s">
        <v>41</v>
      </c>
      <c r="E67" s="56">
        <f t="shared" si="12"/>
        <v>310884</v>
      </c>
      <c r="F67" s="56">
        <f t="shared" si="12"/>
        <v>310884</v>
      </c>
      <c r="G67" s="84"/>
      <c r="H67" s="84"/>
      <c r="I67" s="56">
        <f>$I$6</f>
        <v>310884</v>
      </c>
      <c r="J67" s="56">
        <f t="shared" si="13"/>
        <v>310884</v>
      </c>
      <c r="K67" s="84"/>
      <c r="L67" s="84"/>
      <c r="M67" s="85"/>
      <c r="N67" s="86"/>
    </row>
    <row r="68" spans="1:14" s="87" customFormat="1" ht="25.9" customHeight="1">
      <c r="A68" s="81" t="s">
        <v>168</v>
      </c>
      <c r="B68" s="82"/>
      <c r="C68" s="83">
        <f>적용소요인력!G15</f>
        <v>1.75</v>
      </c>
      <c r="D68" s="55" t="s">
        <v>41</v>
      </c>
      <c r="E68" s="56">
        <f t="shared" si="12"/>
        <v>295138</v>
      </c>
      <c r="F68" s="56">
        <f t="shared" si="12"/>
        <v>516491</v>
      </c>
      <c r="G68" s="84"/>
      <c r="H68" s="84"/>
      <c r="I68" s="56">
        <f>$I$7</f>
        <v>295138</v>
      </c>
      <c r="J68" s="56">
        <f t="shared" si="13"/>
        <v>516491</v>
      </c>
      <c r="K68" s="84"/>
      <c r="L68" s="84"/>
      <c r="M68" s="85"/>
      <c r="N68" s="86"/>
    </row>
    <row r="69" spans="1:14" s="87" customFormat="1" ht="25.9" customHeight="1">
      <c r="A69" s="81" t="s">
        <v>165</v>
      </c>
      <c r="B69" s="82"/>
      <c r="C69" s="83">
        <f>적용소요인력!H15</f>
        <v>1.5</v>
      </c>
      <c r="D69" s="55" t="s">
        <v>41</v>
      </c>
      <c r="E69" s="56">
        <f t="shared" si="12"/>
        <v>235459</v>
      </c>
      <c r="F69" s="56">
        <f t="shared" si="12"/>
        <v>353188</v>
      </c>
      <c r="G69" s="84"/>
      <c r="H69" s="84"/>
      <c r="I69" s="56">
        <f>$I$8</f>
        <v>235459</v>
      </c>
      <c r="J69" s="56">
        <f t="shared" si="13"/>
        <v>353188</v>
      </c>
      <c r="K69" s="84"/>
      <c r="L69" s="84"/>
      <c r="M69" s="85"/>
      <c r="N69" s="86"/>
    </row>
    <row r="70" spans="1:14" s="87" customFormat="1" ht="25.9" customHeight="1">
      <c r="A70" s="81" t="s">
        <v>180</v>
      </c>
      <c r="B70" s="82"/>
      <c r="C70" s="83">
        <f>적용소요인력!I15</f>
        <v>1</v>
      </c>
      <c r="D70" s="55" t="s">
        <v>41</v>
      </c>
      <c r="E70" s="56">
        <f t="shared" si="12"/>
        <v>250087</v>
      </c>
      <c r="F70" s="56">
        <f t="shared" si="12"/>
        <v>250087</v>
      </c>
      <c r="G70" s="84"/>
      <c r="H70" s="84"/>
      <c r="I70" s="56">
        <f>$I$9</f>
        <v>250087</v>
      </c>
      <c r="J70" s="56">
        <f t="shared" si="13"/>
        <v>250087</v>
      </c>
      <c r="K70" s="84"/>
      <c r="L70" s="84"/>
      <c r="M70" s="85"/>
      <c r="N70" s="86"/>
    </row>
    <row r="71" spans="1:14" s="87" customFormat="1" ht="25.9" customHeight="1">
      <c r="A71" s="81" t="s">
        <v>39</v>
      </c>
      <c r="B71" s="82"/>
      <c r="C71" s="83"/>
      <c r="D71" s="55"/>
      <c r="E71" s="56"/>
      <c r="F71" s="56">
        <f t="shared" si="12"/>
        <v>1734130</v>
      </c>
      <c r="G71" s="84"/>
      <c r="H71" s="84"/>
      <c r="I71" s="56"/>
      <c r="J71" s="56">
        <f>SUM(J65:J70)</f>
        <v>1734130</v>
      </c>
      <c r="K71" s="84"/>
      <c r="L71" s="84"/>
      <c r="M71" s="85"/>
      <c r="N71" s="86"/>
    </row>
    <row r="72" spans="1:14" s="87" customFormat="1" ht="25.9" customHeight="1">
      <c r="A72" s="81" t="s">
        <v>45</v>
      </c>
      <c r="B72" s="95">
        <f>$S$9</f>
        <v>0.3</v>
      </c>
      <c r="C72" s="83"/>
      <c r="D72" s="55"/>
      <c r="E72" s="51">
        <f>F72</f>
        <v>520239</v>
      </c>
      <c r="F72" s="56">
        <f t="shared" si="12"/>
        <v>520239</v>
      </c>
      <c r="G72" s="82"/>
      <c r="H72" s="82"/>
      <c r="I72" s="56"/>
      <c r="J72" s="56">
        <f>TRUNC(J71*$S$10,0)</f>
        <v>520239</v>
      </c>
      <c r="K72" s="82"/>
      <c r="L72" s="82"/>
      <c r="M72" s="85"/>
      <c r="N72" s="86"/>
    </row>
    <row r="73" spans="1:14" s="87" customFormat="1" ht="25.9" customHeight="1">
      <c r="A73" s="102" t="s">
        <v>2009</v>
      </c>
      <c r="B73" s="82"/>
      <c r="C73" s="83"/>
      <c r="D73" s="55"/>
      <c r="E73" s="82"/>
      <c r="F73" s="84"/>
      <c r="G73" s="82"/>
      <c r="H73" s="82"/>
      <c r="I73" s="82"/>
      <c r="J73" s="84"/>
      <c r="K73" s="84"/>
      <c r="L73" s="84"/>
      <c r="M73" s="85"/>
      <c r="N73" s="86"/>
    </row>
    <row r="74" spans="1:14" s="87" customFormat="1" ht="25.9" customHeight="1">
      <c r="A74" s="81" t="s">
        <v>150</v>
      </c>
      <c r="B74" s="82"/>
      <c r="C74" s="83">
        <f>적용소요인력!D16</f>
        <v>0.3</v>
      </c>
      <c r="D74" s="55" t="s">
        <v>41</v>
      </c>
      <c r="E74" s="56">
        <f t="shared" ref="E74:F81" si="14">G74+I74+K74</f>
        <v>467217</v>
      </c>
      <c r="F74" s="56">
        <f t="shared" si="14"/>
        <v>140165</v>
      </c>
      <c r="G74" s="84"/>
      <c r="H74" s="84"/>
      <c r="I74" s="56">
        <f>$I$4</f>
        <v>467217</v>
      </c>
      <c r="J74" s="56">
        <f t="shared" ref="J74:J79" si="15">INT(I74*C74)</f>
        <v>140165</v>
      </c>
      <c r="K74" s="84"/>
      <c r="L74" s="84"/>
      <c r="M74" s="85"/>
      <c r="N74" s="86"/>
    </row>
    <row r="75" spans="1:14" s="87" customFormat="1" ht="25.9" customHeight="1">
      <c r="A75" s="81" t="s">
        <v>146</v>
      </c>
      <c r="B75" s="82"/>
      <c r="C75" s="83">
        <f>적용소요인력!E16</f>
        <v>0.55000000000000004</v>
      </c>
      <c r="D75" s="55" t="s">
        <v>41</v>
      </c>
      <c r="E75" s="56">
        <f t="shared" si="14"/>
        <v>373353</v>
      </c>
      <c r="F75" s="56">
        <f t="shared" si="14"/>
        <v>205344</v>
      </c>
      <c r="G75" s="84"/>
      <c r="H75" s="84"/>
      <c r="I75" s="56">
        <f>$I$5</f>
        <v>373353</v>
      </c>
      <c r="J75" s="56">
        <f t="shared" si="15"/>
        <v>205344</v>
      </c>
      <c r="K75" s="84"/>
      <c r="L75" s="84"/>
      <c r="M75" s="85"/>
      <c r="N75" s="86"/>
    </row>
    <row r="76" spans="1:14" s="87" customFormat="1" ht="25.9" customHeight="1">
      <c r="A76" s="81" t="s">
        <v>139</v>
      </c>
      <c r="B76" s="82"/>
      <c r="C76" s="83">
        <f>적용소요인력!F16</f>
        <v>1.05</v>
      </c>
      <c r="D76" s="55" t="s">
        <v>41</v>
      </c>
      <c r="E76" s="56">
        <f t="shared" si="14"/>
        <v>310884</v>
      </c>
      <c r="F76" s="56">
        <f t="shared" si="14"/>
        <v>326428</v>
      </c>
      <c r="G76" s="84"/>
      <c r="H76" s="84"/>
      <c r="I76" s="56">
        <f>$I$6</f>
        <v>310884</v>
      </c>
      <c r="J76" s="56">
        <f t="shared" si="15"/>
        <v>326428</v>
      </c>
      <c r="K76" s="84"/>
      <c r="L76" s="84"/>
      <c r="M76" s="85"/>
      <c r="N76" s="86"/>
    </row>
    <row r="77" spans="1:14" s="87" customFormat="1" ht="25.9" customHeight="1">
      <c r="A77" s="81" t="s">
        <v>168</v>
      </c>
      <c r="B77" s="82"/>
      <c r="C77" s="83">
        <f>적용소요인력!G16</f>
        <v>1.3</v>
      </c>
      <c r="D77" s="55" t="s">
        <v>41</v>
      </c>
      <c r="E77" s="56">
        <f t="shared" si="14"/>
        <v>295138</v>
      </c>
      <c r="F77" s="56">
        <f t="shared" si="14"/>
        <v>383679</v>
      </c>
      <c r="G77" s="84"/>
      <c r="H77" s="84"/>
      <c r="I77" s="56">
        <f>$I$7</f>
        <v>295138</v>
      </c>
      <c r="J77" s="56">
        <f t="shared" si="15"/>
        <v>383679</v>
      </c>
      <c r="K77" s="84"/>
      <c r="L77" s="84"/>
      <c r="M77" s="85"/>
      <c r="N77" s="86"/>
    </row>
    <row r="78" spans="1:14" s="87" customFormat="1" ht="25.9" customHeight="1">
      <c r="A78" s="81" t="s">
        <v>165</v>
      </c>
      <c r="B78" s="82"/>
      <c r="C78" s="83">
        <f>적용소요인력!H16</f>
        <v>1.2</v>
      </c>
      <c r="D78" s="55" t="s">
        <v>41</v>
      </c>
      <c r="E78" s="56">
        <f t="shared" si="14"/>
        <v>235459</v>
      </c>
      <c r="F78" s="56">
        <f t="shared" si="14"/>
        <v>282550</v>
      </c>
      <c r="G78" s="84"/>
      <c r="H78" s="84"/>
      <c r="I78" s="56">
        <f>$I$8</f>
        <v>235459</v>
      </c>
      <c r="J78" s="56">
        <f t="shared" si="15"/>
        <v>282550</v>
      </c>
      <c r="K78" s="84"/>
      <c r="L78" s="84"/>
      <c r="M78" s="85"/>
      <c r="N78" s="86"/>
    </row>
    <row r="79" spans="1:14" s="87" customFormat="1" ht="25.9" customHeight="1">
      <c r="A79" s="81" t="s">
        <v>180</v>
      </c>
      <c r="B79" s="82"/>
      <c r="C79" s="83">
        <f>적용소요인력!I16</f>
        <v>0</v>
      </c>
      <c r="D79" s="55" t="s">
        <v>41</v>
      </c>
      <c r="E79" s="56">
        <f t="shared" si="14"/>
        <v>250087</v>
      </c>
      <c r="F79" s="56">
        <f t="shared" si="14"/>
        <v>0</v>
      </c>
      <c r="G79" s="84"/>
      <c r="H79" s="84"/>
      <c r="I79" s="56">
        <f>$I$9</f>
        <v>250087</v>
      </c>
      <c r="J79" s="56">
        <f t="shared" si="15"/>
        <v>0</v>
      </c>
      <c r="K79" s="84"/>
      <c r="L79" s="84"/>
      <c r="M79" s="85"/>
      <c r="N79" s="86"/>
    </row>
    <row r="80" spans="1:14" s="87" customFormat="1" ht="25.9" customHeight="1">
      <c r="A80" s="81" t="s">
        <v>39</v>
      </c>
      <c r="B80" s="82"/>
      <c r="C80" s="83"/>
      <c r="D80" s="55"/>
      <c r="E80" s="56"/>
      <c r="F80" s="56">
        <f t="shared" si="14"/>
        <v>1338166</v>
      </c>
      <c r="G80" s="84"/>
      <c r="H80" s="84"/>
      <c r="I80" s="56"/>
      <c r="J80" s="56">
        <f>SUM(J74:J79)</f>
        <v>1338166</v>
      </c>
      <c r="K80" s="84"/>
      <c r="L80" s="84"/>
      <c r="M80" s="85"/>
      <c r="N80" s="86"/>
    </row>
    <row r="81" spans="1:14" s="87" customFormat="1" ht="25.9" customHeight="1">
      <c r="A81" s="81" t="s">
        <v>45</v>
      </c>
      <c r="B81" s="95">
        <f>$S$9</f>
        <v>0.3</v>
      </c>
      <c r="C81" s="83"/>
      <c r="D81" s="55"/>
      <c r="E81" s="51">
        <f>F81</f>
        <v>1338166</v>
      </c>
      <c r="F81" s="56">
        <f t="shared" si="14"/>
        <v>1338166</v>
      </c>
      <c r="G81" s="82"/>
      <c r="H81" s="82"/>
      <c r="I81" s="56"/>
      <c r="J81" s="56">
        <f>TRUNC(J80*$S$11,0)</f>
        <v>1338166</v>
      </c>
      <c r="K81" s="82"/>
      <c r="L81" s="82"/>
      <c r="M81" s="96"/>
      <c r="N81" s="86"/>
    </row>
    <row r="82" spans="1:14" s="87" customFormat="1" ht="25.9" customHeight="1">
      <c r="A82" s="81"/>
      <c r="B82" s="95"/>
      <c r="C82" s="83"/>
      <c r="D82" s="55"/>
      <c r="E82" s="51"/>
      <c r="F82" s="56"/>
      <c r="G82" s="82"/>
      <c r="H82" s="82"/>
      <c r="I82" s="56"/>
      <c r="J82" s="56"/>
      <c r="K82" s="82"/>
      <c r="L82" s="82"/>
      <c r="M82" s="96"/>
      <c r="N82" s="86"/>
    </row>
    <row r="83" spans="1:14" s="87" customFormat="1" ht="25.9" customHeight="1">
      <c r="A83" s="81"/>
      <c r="B83" s="82"/>
      <c r="C83" s="83"/>
      <c r="D83" s="55"/>
      <c r="E83" s="51"/>
      <c r="F83" s="56"/>
      <c r="G83" s="82"/>
      <c r="H83" s="82"/>
      <c r="I83" s="82"/>
      <c r="J83" s="82"/>
      <c r="K83" s="82"/>
      <c r="L83" s="82"/>
      <c r="M83" s="85"/>
      <c r="N83" s="86"/>
    </row>
    <row r="84" spans="1:14" s="87" customFormat="1" ht="25.9" customHeight="1">
      <c r="A84" s="102" t="s">
        <v>2010</v>
      </c>
      <c r="B84" s="82"/>
      <c r="C84" s="83"/>
      <c r="D84" s="55"/>
      <c r="E84" s="82"/>
      <c r="F84" s="84"/>
      <c r="G84" s="82"/>
      <c r="H84" s="82"/>
      <c r="I84" s="82"/>
      <c r="J84" s="84"/>
      <c r="K84" s="88"/>
      <c r="M84" s="101"/>
      <c r="N84" s="86"/>
    </row>
    <row r="85" spans="1:14" s="87" customFormat="1" ht="25.9" customHeight="1">
      <c r="A85" s="81" t="s">
        <v>150</v>
      </c>
      <c r="B85" s="82"/>
      <c r="C85" s="83">
        <f>적용소요인력!D17</f>
        <v>1.05</v>
      </c>
      <c r="D85" s="55" t="s">
        <v>41</v>
      </c>
      <c r="E85" s="56">
        <f t="shared" ref="E85:F92" si="16">G85+I85+K85</f>
        <v>467217</v>
      </c>
      <c r="F85" s="56">
        <f t="shared" si="16"/>
        <v>490577</v>
      </c>
      <c r="G85" s="84"/>
      <c r="H85" s="84"/>
      <c r="I85" s="56">
        <f>$I$4</f>
        <v>467217</v>
      </c>
      <c r="J85" s="56">
        <f t="shared" ref="J85:J90" si="17">INT(I85*C85)</f>
        <v>490577</v>
      </c>
      <c r="M85" s="101"/>
      <c r="N85" s="86"/>
    </row>
    <row r="86" spans="1:14" s="87" customFormat="1" ht="25.9" customHeight="1">
      <c r="A86" s="81" t="s">
        <v>146</v>
      </c>
      <c r="B86" s="82"/>
      <c r="C86" s="83">
        <f>적용소요인력!E17</f>
        <v>1.05</v>
      </c>
      <c r="D86" s="55" t="s">
        <v>41</v>
      </c>
      <c r="E86" s="56">
        <f t="shared" si="16"/>
        <v>373353</v>
      </c>
      <c r="F86" s="56">
        <f t="shared" si="16"/>
        <v>392020</v>
      </c>
      <c r="G86" s="84"/>
      <c r="H86" s="84"/>
      <c r="I86" s="56">
        <f>$I$5</f>
        <v>373353</v>
      </c>
      <c r="J86" s="56">
        <f t="shared" si="17"/>
        <v>392020</v>
      </c>
      <c r="M86" s="101"/>
      <c r="N86" s="86"/>
    </row>
    <row r="87" spans="1:14" s="87" customFormat="1" ht="25.9" customHeight="1">
      <c r="A87" s="81" t="s">
        <v>139</v>
      </c>
      <c r="B87" s="82"/>
      <c r="C87" s="83">
        <f>적용소요인력!F17</f>
        <v>1.05</v>
      </c>
      <c r="D87" s="55" t="s">
        <v>41</v>
      </c>
      <c r="E87" s="56">
        <f t="shared" si="16"/>
        <v>310884</v>
      </c>
      <c r="F87" s="56">
        <f t="shared" si="16"/>
        <v>326428</v>
      </c>
      <c r="G87" s="84"/>
      <c r="H87" s="84"/>
      <c r="I87" s="56">
        <f>$I$6</f>
        <v>310884</v>
      </c>
      <c r="J87" s="56">
        <f t="shared" si="17"/>
        <v>326428</v>
      </c>
      <c r="M87" s="101"/>
      <c r="N87" s="86"/>
    </row>
    <row r="88" spans="1:14" s="87" customFormat="1" ht="25.9" customHeight="1">
      <c r="A88" s="81" t="s">
        <v>168</v>
      </c>
      <c r="B88" s="82"/>
      <c r="C88" s="83">
        <f>적용소요인력!G17</f>
        <v>0.55000000000000004</v>
      </c>
      <c r="D88" s="55" t="s">
        <v>41</v>
      </c>
      <c r="E88" s="56">
        <f t="shared" si="16"/>
        <v>295138</v>
      </c>
      <c r="F88" s="56">
        <f t="shared" si="16"/>
        <v>162325</v>
      </c>
      <c r="G88" s="84"/>
      <c r="H88" s="84"/>
      <c r="I88" s="56">
        <f>$I$7</f>
        <v>295138</v>
      </c>
      <c r="J88" s="56">
        <f t="shared" si="17"/>
        <v>162325</v>
      </c>
      <c r="M88" s="101"/>
      <c r="N88" s="86"/>
    </row>
    <row r="89" spans="1:14" s="87" customFormat="1" ht="25.9" customHeight="1">
      <c r="A89" s="81" t="s">
        <v>165</v>
      </c>
      <c r="B89" s="82"/>
      <c r="C89" s="83">
        <f>적용소요인력!H17</f>
        <v>0</v>
      </c>
      <c r="D89" s="55" t="s">
        <v>41</v>
      </c>
      <c r="E89" s="56">
        <f t="shared" si="16"/>
        <v>235459</v>
      </c>
      <c r="F89" s="56">
        <f t="shared" si="16"/>
        <v>0</v>
      </c>
      <c r="G89" s="84"/>
      <c r="H89" s="84"/>
      <c r="I89" s="56">
        <f>$I$8</f>
        <v>235459</v>
      </c>
      <c r="J89" s="56">
        <f t="shared" si="17"/>
        <v>0</v>
      </c>
      <c r="M89" s="101"/>
      <c r="N89" s="86"/>
    </row>
    <row r="90" spans="1:14" s="87" customFormat="1" ht="25.9" customHeight="1">
      <c r="A90" s="81" t="s">
        <v>180</v>
      </c>
      <c r="B90" s="82"/>
      <c r="C90" s="83">
        <f>적용소요인력!I17</f>
        <v>0</v>
      </c>
      <c r="D90" s="55" t="s">
        <v>41</v>
      </c>
      <c r="E90" s="56">
        <f t="shared" si="16"/>
        <v>250087</v>
      </c>
      <c r="F90" s="56">
        <f t="shared" si="16"/>
        <v>0</v>
      </c>
      <c r="G90" s="84"/>
      <c r="H90" s="84"/>
      <c r="I90" s="56">
        <f>$I$9</f>
        <v>250087</v>
      </c>
      <c r="J90" s="56">
        <f t="shared" si="17"/>
        <v>0</v>
      </c>
      <c r="M90" s="101"/>
      <c r="N90" s="86"/>
    </row>
    <row r="91" spans="1:14" s="87" customFormat="1" ht="25.9" customHeight="1">
      <c r="A91" s="81" t="s">
        <v>39</v>
      </c>
      <c r="B91" s="82"/>
      <c r="C91" s="83"/>
      <c r="D91" s="55"/>
      <c r="E91" s="56"/>
      <c r="F91" s="56">
        <f t="shared" si="16"/>
        <v>1371350</v>
      </c>
      <c r="G91" s="84"/>
      <c r="H91" s="84"/>
      <c r="I91" s="56"/>
      <c r="J91" s="56">
        <f>SUM(J85:J90)</f>
        <v>1371350</v>
      </c>
      <c r="M91" s="101"/>
      <c r="N91" s="86"/>
    </row>
    <row r="92" spans="1:14" s="87" customFormat="1" ht="25.9" customHeight="1">
      <c r="A92" s="81" t="s">
        <v>45</v>
      </c>
      <c r="B92" s="95">
        <f>$S$9</f>
        <v>0.3</v>
      </c>
      <c r="C92" s="83"/>
      <c r="D92" s="55"/>
      <c r="E92" s="51">
        <f>F92</f>
        <v>1371350</v>
      </c>
      <c r="F92" s="56">
        <f t="shared" si="16"/>
        <v>1371350</v>
      </c>
      <c r="G92" s="82"/>
      <c r="H92" s="82"/>
      <c r="I92" s="56"/>
      <c r="J92" s="56">
        <f>TRUNC(J91*$S$11,0)</f>
        <v>1371350</v>
      </c>
      <c r="M92" s="101"/>
      <c r="N92" s="86"/>
    </row>
    <row r="93" spans="1:14" s="87" customFormat="1" ht="25.9" customHeight="1">
      <c r="A93" s="102" t="s">
        <v>2011</v>
      </c>
      <c r="B93" s="82"/>
      <c r="C93" s="83"/>
      <c r="D93" s="55"/>
      <c r="E93" s="82"/>
      <c r="F93" s="84"/>
      <c r="G93" s="82"/>
      <c r="H93" s="82"/>
      <c r="I93" s="82"/>
      <c r="J93" s="84"/>
      <c r="K93" s="84"/>
      <c r="L93" s="84"/>
      <c r="M93" s="85"/>
      <c r="N93" s="86"/>
    </row>
    <row r="94" spans="1:14" s="87" customFormat="1" ht="25.9" customHeight="1">
      <c r="A94" s="81" t="s">
        <v>150</v>
      </c>
      <c r="B94" s="82"/>
      <c r="C94" s="83">
        <f>적용소요인력!D18</f>
        <v>0.25</v>
      </c>
      <c r="D94" s="55" t="s">
        <v>41</v>
      </c>
      <c r="E94" s="56">
        <f t="shared" ref="E94:F101" si="18">G94+I94+K94</f>
        <v>467217</v>
      </c>
      <c r="F94" s="56">
        <f t="shared" si="18"/>
        <v>116804</v>
      </c>
      <c r="G94" s="84"/>
      <c r="H94" s="84"/>
      <c r="I94" s="56">
        <f>$I$4</f>
        <v>467217</v>
      </c>
      <c r="J94" s="56">
        <f t="shared" ref="J94:J99" si="19">INT(I94*C94)</f>
        <v>116804</v>
      </c>
      <c r="K94" s="84"/>
      <c r="L94" s="84"/>
      <c r="M94" s="85"/>
      <c r="N94" s="86"/>
    </row>
    <row r="95" spans="1:14" s="87" customFormat="1" ht="25.9" customHeight="1">
      <c r="A95" s="81" t="s">
        <v>146</v>
      </c>
      <c r="B95" s="82"/>
      <c r="C95" s="83">
        <f>적용소요인력!E18</f>
        <v>0.5</v>
      </c>
      <c r="D95" s="55" t="s">
        <v>41</v>
      </c>
      <c r="E95" s="56">
        <f t="shared" si="18"/>
        <v>373353</v>
      </c>
      <c r="F95" s="56">
        <f t="shared" si="18"/>
        <v>186676</v>
      </c>
      <c r="G95" s="84"/>
      <c r="H95" s="84"/>
      <c r="I95" s="56">
        <f>$I$5</f>
        <v>373353</v>
      </c>
      <c r="J95" s="56">
        <f t="shared" si="19"/>
        <v>186676</v>
      </c>
      <c r="K95" s="84"/>
      <c r="L95" s="84"/>
      <c r="M95" s="85"/>
      <c r="N95" s="86"/>
    </row>
    <row r="96" spans="1:14" s="87" customFormat="1" ht="25.9" customHeight="1">
      <c r="A96" s="81" t="s">
        <v>139</v>
      </c>
      <c r="B96" s="82"/>
      <c r="C96" s="83">
        <f>적용소요인력!F18</f>
        <v>0.5</v>
      </c>
      <c r="D96" s="55" t="s">
        <v>41</v>
      </c>
      <c r="E96" s="56">
        <f t="shared" si="18"/>
        <v>310884</v>
      </c>
      <c r="F96" s="56">
        <f t="shared" si="18"/>
        <v>155442</v>
      </c>
      <c r="G96" s="84"/>
      <c r="H96" s="84"/>
      <c r="I96" s="56">
        <f>$I$6</f>
        <v>310884</v>
      </c>
      <c r="J96" s="56">
        <f t="shared" si="19"/>
        <v>155442</v>
      </c>
      <c r="K96" s="84"/>
      <c r="L96" s="84"/>
      <c r="M96" s="85"/>
      <c r="N96" s="86"/>
    </row>
    <row r="97" spans="1:14" s="87" customFormat="1" ht="25.9" customHeight="1">
      <c r="A97" s="81" t="s">
        <v>168</v>
      </c>
      <c r="B97" s="82"/>
      <c r="C97" s="83">
        <f>적용소요인력!G18</f>
        <v>0.5</v>
      </c>
      <c r="D97" s="55" t="s">
        <v>41</v>
      </c>
      <c r="E97" s="56">
        <f t="shared" si="18"/>
        <v>295138</v>
      </c>
      <c r="F97" s="56">
        <f t="shared" si="18"/>
        <v>147569</v>
      </c>
      <c r="G97" s="84"/>
      <c r="H97" s="84"/>
      <c r="I97" s="56">
        <f>$I$7</f>
        <v>295138</v>
      </c>
      <c r="J97" s="56">
        <f t="shared" si="19"/>
        <v>147569</v>
      </c>
      <c r="K97" s="84"/>
      <c r="L97" s="84"/>
      <c r="M97" s="85"/>
      <c r="N97" s="86"/>
    </row>
    <row r="98" spans="1:14" s="87" customFormat="1" ht="25.9" customHeight="1">
      <c r="A98" s="81" t="s">
        <v>165</v>
      </c>
      <c r="B98" s="82"/>
      <c r="C98" s="83">
        <f>적용소요인력!H18</f>
        <v>1</v>
      </c>
      <c r="D98" s="55" t="s">
        <v>41</v>
      </c>
      <c r="E98" s="56">
        <f t="shared" si="18"/>
        <v>235459</v>
      </c>
      <c r="F98" s="56">
        <f t="shared" si="18"/>
        <v>235459</v>
      </c>
      <c r="G98" s="84"/>
      <c r="H98" s="84"/>
      <c r="I98" s="56">
        <f>$I$8</f>
        <v>235459</v>
      </c>
      <c r="J98" s="56">
        <f t="shared" si="19"/>
        <v>235459</v>
      </c>
      <c r="K98" s="84"/>
      <c r="L98" s="84"/>
      <c r="M98" s="85"/>
      <c r="N98" s="86"/>
    </row>
    <row r="99" spans="1:14" s="87" customFormat="1" ht="25.9" customHeight="1">
      <c r="A99" s="81" t="s">
        <v>180</v>
      </c>
      <c r="B99" s="82"/>
      <c r="C99" s="83">
        <f>적용소요인력!I18</f>
        <v>1</v>
      </c>
      <c r="D99" s="55" t="s">
        <v>41</v>
      </c>
      <c r="E99" s="56">
        <f t="shared" si="18"/>
        <v>250087</v>
      </c>
      <c r="F99" s="56">
        <f t="shared" si="18"/>
        <v>250087</v>
      </c>
      <c r="G99" s="84"/>
      <c r="H99" s="84"/>
      <c r="I99" s="56">
        <f>$I$9</f>
        <v>250087</v>
      </c>
      <c r="J99" s="56">
        <f t="shared" si="19"/>
        <v>250087</v>
      </c>
      <c r="K99" s="84"/>
      <c r="L99" s="84"/>
      <c r="M99" s="85"/>
      <c r="N99" s="86"/>
    </row>
    <row r="100" spans="1:14" s="87" customFormat="1" ht="25.9" customHeight="1">
      <c r="A100" s="81" t="s">
        <v>39</v>
      </c>
      <c r="B100" s="82"/>
      <c r="C100" s="83"/>
      <c r="D100" s="55"/>
      <c r="E100" s="56"/>
      <c r="F100" s="56">
        <f t="shared" si="18"/>
        <v>1092037</v>
      </c>
      <c r="G100" s="84"/>
      <c r="H100" s="84"/>
      <c r="I100" s="56"/>
      <c r="J100" s="56">
        <f>SUM(J94:J99)</f>
        <v>1092037</v>
      </c>
      <c r="K100" s="84"/>
      <c r="L100" s="84"/>
      <c r="M100" s="85"/>
      <c r="N100" s="86"/>
    </row>
    <row r="101" spans="1:14" s="87" customFormat="1" ht="25.9" customHeight="1">
      <c r="A101" s="81" t="s">
        <v>45</v>
      </c>
      <c r="B101" s="95">
        <f>$S$9</f>
        <v>0.3</v>
      </c>
      <c r="C101" s="83"/>
      <c r="D101" s="55"/>
      <c r="E101" s="51">
        <f>F101</f>
        <v>1092037</v>
      </c>
      <c r="F101" s="56">
        <f t="shared" si="18"/>
        <v>1092037</v>
      </c>
      <c r="G101" s="82"/>
      <c r="H101" s="82"/>
      <c r="I101" s="56"/>
      <c r="J101" s="56">
        <f>TRUNC(J100*$S$11,0)</f>
        <v>1092037</v>
      </c>
      <c r="K101" s="82"/>
      <c r="L101" s="82"/>
      <c r="M101" s="96"/>
      <c r="N101" s="86"/>
    </row>
    <row r="102" spans="1:14" s="87" customFormat="1" ht="25.9" customHeight="1">
      <c r="A102" s="81"/>
      <c r="B102" s="95"/>
      <c r="C102" s="83"/>
      <c r="D102" s="55"/>
      <c r="E102" s="51"/>
      <c r="F102" s="56"/>
      <c r="G102" s="82"/>
      <c r="H102" s="82"/>
      <c r="I102" s="56"/>
      <c r="J102" s="56"/>
      <c r="K102" s="82"/>
      <c r="L102" s="82"/>
      <c r="M102" s="96"/>
      <c r="N102" s="86"/>
    </row>
    <row r="103" spans="1:14" s="87" customFormat="1" ht="25.9" customHeight="1">
      <c r="A103" s="81"/>
      <c r="B103" s="82"/>
      <c r="C103" s="83"/>
      <c r="D103" s="55"/>
      <c r="E103" s="51"/>
      <c r="F103" s="56"/>
      <c r="G103" s="82"/>
      <c r="H103" s="82"/>
      <c r="I103" s="82"/>
      <c r="J103" s="82"/>
      <c r="K103" s="82"/>
      <c r="L103" s="82"/>
      <c r="M103" s="85"/>
      <c r="N103" s="86"/>
    </row>
    <row r="104" spans="1:14" s="87" customFormat="1" ht="25.9" customHeight="1">
      <c r="A104" s="102" t="s">
        <v>2012</v>
      </c>
      <c r="B104" s="82"/>
      <c r="C104" s="83"/>
      <c r="D104" s="55"/>
      <c r="E104" s="82"/>
      <c r="F104" s="84"/>
      <c r="G104" s="82"/>
      <c r="H104" s="82"/>
      <c r="I104" s="82"/>
      <c r="J104" s="84"/>
      <c r="K104" s="88"/>
      <c r="M104" s="101"/>
      <c r="N104" s="86"/>
    </row>
    <row r="105" spans="1:14" s="87" customFormat="1" ht="25.9" customHeight="1">
      <c r="A105" s="81" t="s">
        <v>150</v>
      </c>
      <c r="B105" s="82"/>
      <c r="C105" s="83">
        <f>적용소요인력!D21</f>
        <v>5.8</v>
      </c>
      <c r="D105" s="55" t="s">
        <v>41</v>
      </c>
      <c r="E105" s="56">
        <f t="shared" ref="E105:F112" si="20">G105+I105+K105</f>
        <v>467217</v>
      </c>
      <c r="F105" s="56">
        <f t="shared" si="20"/>
        <v>2709858</v>
      </c>
      <c r="G105" s="84"/>
      <c r="H105" s="84"/>
      <c r="I105" s="56">
        <f>$I$4</f>
        <v>467217</v>
      </c>
      <c r="J105" s="56">
        <f t="shared" ref="J105:J110" si="21">INT(I105*C105)</f>
        <v>2709858</v>
      </c>
      <c r="M105" s="101"/>
      <c r="N105" s="86"/>
    </row>
    <row r="106" spans="1:14" s="87" customFormat="1" ht="25.9" customHeight="1">
      <c r="A106" s="81" t="s">
        <v>146</v>
      </c>
      <c r="B106" s="82"/>
      <c r="C106" s="83">
        <f>적용소요인력!E21</f>
        <v>10.4</v>
      </c>
      <c r="D106" s="55" t="s">
        <v>41</v>
      </c>
      <c r="E106" s="56">
        <f t="shared" si="20"/>
        <v>373353</v>
      </c>
      <c r="F106" s="56">
        <f t="shared" si="20"/>
        <v>3882871</v>
      </c>
      <c r="G106" s="84"/>
      <c r="H106" s="84"/>
      <c r="I106" s="56">
        <f>$I$5</f>
        <v>373353</v>
      </c>
      <c r="J106" s="56">
        <f t="shared" si="21"/>
        <v>3882871</v>
      </c>
      <c r="M106" s="101"/>
      <c r="N106" s="86"/>
    </row>
    <row r="107" spans="1:14" s="87" customFormat="1" ht="25.9" customHeight="1">
      <c r="A107" s="81" t="s">
        <v>139</v>
      </c>
      <c r="B107" s="82"/>
      <c r="C107" s="83">
        <f>적용소요인력!F21</f>
        <v>13.8</v>
      </c>
      <c r="D107" s="55" t="s">
        <v>41</v>
      </c>
      <c r="E107" s="56">
        <f t="shared" si="20"/>
        <v>310884</v>
      </c>
      <c r="F107" s="56">
        <f t="shared" si="20"/>
        <v>4290199</v>
      </c>
      <c r="G107" s="84"/>
      <c r="H107" s="84"/>
      <c r="I107" s="56">
        <f>$I$6</f>
        <v>310884</v>
      </c>
      <c r="J107" s="56">
        <f t="shared" si="21"/>
        <v>4290199</v>
      </c>
      <c r="M107" s="101"/>
      <c r="N107" s="86"/>
    </row>
    <row r="108" spans="1:14" s="87" customFormat="1" ht="25.9" customHeight="1">
      <c r="A108" s="81" t="s">
        <v>168</v>
      </c>
      <c r="B108" s="82"/>
      <c r="C108" s="83">
        <f>적용소요인력!G21</f>
        <v>13.8</v>
      </c>
      <c r="D108" s="55" t="s">
        <v>41</v>
      </c>
      <c r="E108" s="56">
        <f t="shared" si="20"/>
        <v>295138</v>
      </c>
      <c r="F108" s="56">
        <f t="shared" si="20"/>
        <v>4072904</v>
      </c>
      <c r="G108" s="84"/>
      <c r="H108" s="84"/>
      <c r="I108" s="56">
        <f>$I$7</f>
        <v>295138</v>
      </c>
      <c r="J108" s="56">
        <f t="shared" si="21"/>
        <v>4072904</v>
      </c>
      <c r="M108" s="101"/>
      <c r="N108" s="86"/>
    </row>
    <row r="109" spans="1:14" s="87" customFormat="1" ht="25.9" customHeight="1">
      <c r="A109" s="81" t="s">
        <v>165</v>
      </c>
      <c r="B109" s="82"/>
      <c r="C109" s="83">
        <f>적용소요인력!H21</f>
        <v>7.95</v>
      </c>
      <c r="D109" s="55" t="s">
        <v>41</v>
      </c>
      <c r="E109" s="56">
        <f t="shared" si="20"/>
        <v>235459</v>
      </c>
      <c r="F109" s="56">
        <f t="shared" si="20"/>
        <v>1871899</v>
      </c>
      <c r="G109" s="84"/>
      <c r="H109" s="84"/>
      <c r="I109" s="56">
        <f>$I$8</f>
        <v>235459</v>
      </c>
      <c r="J109" s="56">
        <f t="shared" si="21"/>
        <v>1871899</v>
      </c>
      <c r="M109" s="101"/>
      <c r="N109" s="86"/>
    </row>
    <row r="110" spans="1:14" s="87" customFormat="1" ht="25.9" customHeight="1">
      <c r="A110" s="81" t="s">
        <v>180</v>
      </c>
      <c r="B110" s="82"/>
      <c r="C110" s="83">
        <f>적용소요인력!I21</f>
        <v>0</v>
      </c>
      <c r="D110" s="55" t="s">
        <v>41</v>
      </c>
      <c r="E110" s="56">
        <f t="shared" si="20"/>
        <v>250087</v>
      </c>
      <c r="F110" s="56">
        <f t="shared" si="20"/>
        <v>0</v>
      </c>
      <c r="G110" s="84"/>
      <c r="H110" s="84"/>
      <c r="I110" s="56">
        <f>$I$9</f>
        <v>250087</v>
      </c>
      <c r="J110" s="56">
        <f t="shared" si="21"/>
        <v>0</v>
      </c>
      <c r="M110" s="101"/>
      <c r="N110" s="86"/>
    </row>
    <row r="111" spans="1:14" s="87" customFormat="1" ht="25.9" customHeight="1">
      <c r="A111" s="81" t="s">
        <v>39</v>
      </c>
      <c r="B111" s="82"/>
      <c r="C111" s="83"/>
      <c r="D111" s="55"/>
      <c r="E111" s="56"/>
      <c r="F111" s="56">
        <f t="shared" si="20"/>
        <v>16827731</v>
      </c>
      <c r="G111" s="84"/>
      <c r="H111" s="84"/>
      <c r="I111" s="56"/>
      <c r="J111" s="56">
        <f>SUM(J105:J110)</f>
        <v>16827731</v>
      </c>
      <c r="M111" s="101"/>
      <c r="N111" s="86"/>
    </row>
    <row r="112" spans="1:14" s="87" customFormat="1" ht="25.9" customHeight="1">
      <c r="A112" s="81" t="s">
        <v>45</v>
      </c>
      <c r="B112" s="95">
        <f>$S$10</f>
        <v>0.3</v>
      </c>
      <c r="C112" s="83"/>
      <c r="D112" s="55"/>
      <c r="E112" s="51">
        <f>F112</f>
        <v>16827731</v>
      </c>
      <c r="F112" s="56">
        <f t="shared" si="20"/>
        <v>16827731</v>
      </c>
      <c r="G112" s="82"/>
      <c r="H112" s="82"/>
      <c r="I112" s="56"/>
      <c r="J112" s="56">
        <f>TRUNC(J111*$S$11,0)</f>
        <v>16827731</v>
      </c>
      <c r="M112" s="101"/>
      <c r="N112" s="86"/>
    </row>
    <row r="113" spans="1:14" s="87" customFormat="1" ht="25.9" customHeight="1">
      <c r="A113" s="102" t="s">
        <v>2013</v>
      </c>
      <c r="B113" s="82"/>
      <c r="C113" s="83"/>
      <c r="D113" s="55"/>
      <c r="E113" s="82"/>
      <c r="F113" s="84"/>
      <c r="G113" s="82"/>
      <c r="H113" s="82"/>
      <c r="I113" s="82"/>
      <c r="J113" s="84"/>
      <c r="K113" s="84"/>
      <c r="L113" s="84"/>
      <c r="M113" s="85"/>
      <c r="N113" s="86"/>
    </row>
    <row r="114" spans="1:14" s="87" customFormat="1" ht="25.9" customHeight="1">
      <c r="A114" s="81" t="s">
        <v>150</v>
      </c>
      <c r="B114" s="82"/>
      <c r="C114" s="83">
        <f>적용소요인력!D22</f>
        <v>3</v>
      </c>
      <c r="D114" s="55" t="s">
        <v>41</v>
      </c>
      <c r="E114" s="56">
        <f t="shared" ref="E114:F121" si="22">G114+I114+K114</f>
        <v>467217</v>
      </c>
      <c r="F114" s="56">
        <f t="shared" si="22"/>
        <v>1401651</v>
      </c>
      <c r="G114" s="84"/>
      <c r="H114" s="84"/>
      <c r="I114" s="56">
        <f>$I$4</f>
        <v>467217</v>
      </c>
      <c r="J114" s="56">
        <f t="shared" ref="J114:J119" si="23">INT(I114*C114)</f>
        <v>1401651</v>
      </c>
      <c r="K114" s="84"/>
      <c r="L114" s="84"/>
      <c r="M114" s="85"/>
      <c r="N114" s="86"/>
    </row>
    <row r="115" spans="1:14" s="87" customFormat="1" ht="25.9" customHeight="1">
      <c r="A115" s="81" t="s">
        <v>146</v>
      </c>
      <c r="B115" s="82"/>
      <c r="C115" s="83">
        <f>적용소요인력!E22</f>
        <v>4</v>
      </c>
      <c r="D115" s="55" t="s">
        <v>41</v>
      </c>
      <c r="E115" s="56">
        <f t="shared" si="22"/>
        <v>373353</v>
      </c>
      <c r="F115" s="56">
        <f t="shared" si="22"/>
        <v>1493412</v>
      </c>
      <c r="G115" s="84"/>
      <c r="H115" s="84"/>
      <c r="I115" s="56">
        <f>$I$5</f>
        <v>373353</v>
      </c>
      <c r="J115" s="56">
        <f t="shared" si="23"/>
        <v>1493412</v>
      </c>
      <c r="K115" s="84"/>
      <c r="L115" s="84"/>
      <c r="M115" s="85"/>
      <c r="N115" s="86"/>
    </row>
    <row r="116" spans="1:14" s="87" customFormat="1" ht="25.9" customHeight="1">
      <c r="A116" s="81" t="s">
        <v>139</v>
      </c>
      <c r="B116" s="82"/>
      <c r="C116" s="83">
        <f>적용소요인력!F22</f>
        <v>6</v>
      </c>
      <c r="D116" s="55" t="s">
        <v>41</v>
      </c>
      <c r="E116" s="56">
        <f t="shared" si="22"/>
        <v>310884</v>
      </c>
      <c r="F116" s="56">
        <f t="shared" si="22"/>
        <v>1865304</v>
      </c>
      <c r="G116" s="84"/>
      <c r="H116" s="84"/>
      <c r="I116" s="56">
        <f>$I$6</f>
        <v>310884</v>
      </c>
      <c r="J116" s="56">
        <f t="shared" si="23"/>
        <v>1865304</v>
      </c>
      <c r="K116" s="84"/>
      <c r="L116" s="84"/>
      <c r="M116" s="85"/>
      <c r="N116" s="86"/>
    </row>
    <row r="117" spans="1:14" s="87" customFormat="1" ht="25.9" customHeight="1">
      <c r="A117" s="81" t="s">
        <v>168</v>
      </c>
      <c r="B117" s="82"/>
      <c r="C117" s="83">
        <f>적용소요인력!G22</f>
        <v>5</v>
      </c>
      <c r="D117" s="55" t="s">
        <v>41</v>
      </c>
      <c r="E117" s="56">
        <f t="shared" si="22"/>
        <v>295138</v>
      </c>
      <c r="F117" s="56">
        <f t="shared" si="22"/>
        <v>1475690</v>
      </c>
      <c r="G117" s="84"/>
      <c r="H117" s="84"/>
      <c r="I117" s="56">
        <f>$I$7</f>
        <v>295138</v>
      </c>
      <c r="J117" s="56">
        <f t="shared" si="23"/>
        <v>1475690</v>
      </c>
      <c r="K117" s="84"/>
      <c r="L117" s="84"/>
      <c r="M117" s="85"/>
      <c r="N117" s="86"/>
    </row>
    <row r="118" spans="1:14" s="87" customFormat="1" ht="25.9" customHeight="1">
      <c r="A118" s="81" t="s">
        <v>165</v>
      </c>
      <c r="B118" s="82"/>
      <c r="C118" s="83">
        <f>적용소요인력!H22</f>
        <v>2</v>
      </c>
      <c r="D118" s="55" t="s">
        <v>41</v>
      </c>
      <c r="E118" s="56">
        <f t="shared" si="22"/>
        <v>235459</v>
      </c>
      <c r="F118" s="56">
        <f t="shared" si="22"/>
        <v>470918</v>
      </c>
      <c r="G118" s="84"/>
      <c r="H118" s="84"/>
      <c r="I118" s="56">
        <f>$I$8</f>
        <v>235459</v>
      </c>
      <c r="J118" s="56">
        <f t="shared" si="23"/>
        <v>470918</v>
      </c>
      <c r="K118" s="84"/>
      <c r="L118" s="84"/>
      <c r="M118" s="85"/>
      <c r="N118" s="86"/>
    </row>
    <row r="119" spans="1:14" s="87" customFormat="1" ht="25.9" customHeight="1">
      <c r="A119" s="81" t="s">
        <v>180</v>
      </c>
      <c r="B119" s="82"/>
      <c r="C119" s="83">
        <f>적용소요인력!I22</f>
        <v>2</v>
      </c>
      <c r="D119" s="55" t="s">
        <v>41</v>
      </c>
      <c r="E119" s="56">
        <f t="shared" si="22"/>
        <v>250087</v>
      </c>
      <c r="F119" s="56">
        <f t="shared" si="22"/>
        <v>500174</v>
      </c>
      <c r="G119" s="84"/>
      <c r="H119" s="84"/>
      <c r="I119" s="56">
        <f>$I$9</f>
        <v>250087</v>
      </c>
      <c r="J119" s="56">
        <f t="shared" si="23"/>
        <v>500174</v>
      </c>
      <c r="K119" s="84"/>
      <c r="L119" s="84"/>
      <c r="M119" s="85"/>
      <c r="N119" s="86"/>
    </row>
    <row r="120" spans="1:14" s="87" customFormat="1" ht="25.9" customHeight="1">
      <c r="A120" s="81" t="s">
        <v>39</v>
      </c>
      <c r="B120" s="82"/>
      <c r="C120" s="83"/>
      <c r="D120" s="55"/>
      <c r="E120" s="56"/>
      <c r="F120" s="56">
        <f t="shared" si="22"/>
        <v>7207149</v>
      </c>
      <c r="G120" s="84"/>
      <c r="H120" s="84"/>
      <c r="I120" s="56"/>
      <c r="J120" s="56">
        <f>SUM(J114:J119)</f>
        <v>7207149</v>
      </c>
      <c r="K120" s="84"/>
      <c r="L120" s="84"/>
      <c r="M120" s="85"/>
      <c r="N120" s="86"/>
    </row>
    <row r="121" spans="1:14" s="87" customFormat="1" ht="25.9" customHeight="1">
      <c r="A121" s="81" t="s">
        <v>45</v>
      </c>
      <c r="B121" s="95">
        <f>$S$10</f>
        <v>0.3</v>
      </c>
      <c r="C121" s="83"/>
      <c r="D121" s="55"/>
      <c r="E121" s="51">
        <f>F121</f>
        <v>7207149</v>
      </c>
      <c r="F121" s="56">
        <f t="shared" si="22"/>
        <v>7207149</v>
      </c>
      <c r="G121" s="82"/>
      <c r="H121" s="82"/>
      <c r="I121" s="56"/>
      <c r="J121" s="56">
        <f>TRUNC(J120*$S$11,0)</f>
        <v>7207149</v>
      </c>
      <c r="K121" s="82"/>
      <c r="L121" s="82"/>
      <c r="M121" s="96"/>
      <c r="N121" s="86"/>
    </row>
    <row r="122" spans="1:14" s="87" customFormat="1" ht="25.9" customHeight="1">
      <c r="A122" s="81"/>
      <c r="B122" s="95"/>
      <c r="C122" s="83"/>
      <c r="D122" s="55"/>
      <c r="E122" s="51"/>
      <c r="F122" s="56"/>
      <c r="G122" s="82"/>
      <c r="H122" s="82"/>
      <c r="I122" s="56"/>
      <c r="J122" s="56"/>
      <c r="K122" s="82"/>
      <c r="L122" s="82"/>
      <c r="M122" s="96"/>
      <c r="N122" s="86"/>
    </row>
    <row r="123" spans="1:14" s="87" customFormat="1" ht="25.9" customHeight="1">
      <c r="A123" s="81"/>
      <c r="B123" s="82"/>
      <c r="C123" s="83"/>
      <c r="D123" s="55"/>
      <c r="E123" s="51"/>
      <c r="F123" s="56"/>
      <c r="G123" s="82"/>
      <c r="H123" s="82"/>
      <c r="I123" s="82"/>
      <c r="J123" s="82"/>
      <c r="K123" s="82"/>
      <c r="L123" s="82"/>
      <c r="M123" s="85"/>
      <c r="N123" s="86"/>
    </row>
    <row r="124" spans="1:14" s="87" customFormat="1" ht="25.9" customHeight="1">
      <c r="A124" s="102" t="s">
        <v>2014</v>
      </c>
      <c r="B124" s="82"/>
      <c r="C124" s="83"/>
      <c r="D124" s="55"/>
      <c r="E124" s="82"/>
      <c r="F124" s="84"/>
      <c r="G124" s="82"/>
      <c r="H124" s="82"/>
      <c r="I124" s="82"/>
      <c r="J124" s="84"/>
      <c r="K124" s="88"/>
      <c r="M124" s="101"/>
      <c r="N124" s="86"/>
    </row>
    <row r="125" spans="1:14" s="87" customFormat="1" ht="25.9" customHeight="1">
      <c r="A125" s="81" t="s">
        <v>150</v>
      </c>
      <c r="B125" s="82"/>
      <c r="C125" s="83">
        <f>적용소요인력!D23</f>
        <v>5.8</v>
      </c>
      <c r="D125" s="55" t="s">
        <v>41</v>
      </c>
      <c r="E125" s="56">
        <f t="shared" ref="E125:F132" si="24">G125+I125+K125</f>
        <v>467217</v>
      </c>
      <c r="F125" s="56">
        <f t="shared" si="24"/>
        <v>2709858</v>
      </c>
      <c r="G125" s="84"/>
      <c r="H125" s="84"/>
      <c r="I125" s="56">
        <f>$I$4</f>
        <v>467217</v>
      </c>
      <c r="J125" s="56">
        <f t="shared" ref="J125:J130" si="25">INT(I125*C125)</f>
        <v>2709858</v>
      </c>
      <c r="M125" s="101"/>
      <c r="N125" s="86"/>
    </row>
    <row r="126" spans="1:14" s="87" customFormat="1" ht="25.9" customHeight="1">
      <c r="A126" s="81" t="s">
        <v>146</v>
      </c>
      <c r="B126" s="82"/>
      <c r="C126" s="83">
        <f>적용소요인력!E23</f>
        <v>10.4</v>
      </c>
      <c r="D126" s="55" t="s">
        <v>41</v>
      </c>
      <c r="E126" s="56">
        <f t="shared" si="24"/>
        <v>373353</v>
      </c>
      <c r="F126" s="56">
        <f t="shared" si="24"/>
        <v>3882871</v>
      </c>
      <c r="G126" s="84"/>
      <c r="H126" s="84"/>
      <c r="I126" s="56">
        <f>$I$5</f>
        <v>373353</v>
      </c>
      <c r="J126" s="56">
        <f t="shared" si="25"/>
        <v>3882871</v>
      </c>
      <c r="M126" s="101"/>
      <c r="N126" s="86"/>
    </row>
    <row r="127" spans="1:14" s="87" customFormat="1" ht="25.9" customHeight="1">
      <c r="A127" s="81" t="s">
        <v>139</v>
      </c>
      <c r="B127" s="82"/>
      <c r="C127" s="83">
        <f>적용소요인력!F23</f>
        <v>13.8</v>
      </c>
      <c r="D127" s="55" t="s">
        <v>41</v>
      </c>
      <c r="E127" s="56">
        <f t="shared" si="24"/>
        <v>310884</v>
      </c>
      <c r="F127" s="56">
        <f t="shared" si="24"/>
        <v>4290199</v>
      </c>
      <c r="G127" s="84"/>
      <c r="H127" s="84"/>
      <c r="I127" s="56">
        <f>$I$6</f>
        <v>310884</v>
      </c>
      <c r="J127" s="56">
        <f t="shared" si="25"/>
        <v>4290199</v>
      </c>
      <c r="M127" s="101"/>
      <c r="N127" s="86"/>
    </row>
    <row r="128" spans="1:14" s="87" customFormat="1" ht="25.9" customHeight="1">
      <c r="A128" s="81" t="s">
        <v>168</v>
      </c>
      <c r="B128" s="82"/>
      <c r="C128" s="83">
        <f>적용소요인력!G23</f>
        <v>13.8</v>
      </c>
      <c r="D128" s="55" t="s">
        <v>41</v>
      </c>
      <c r="E128" s="56">
        <f t="shared" si="24"/>
        <v>295138</v>
      </c>
      <c r="F128" s="56">
        <f t="shared" si="24"/>
        <v>4072904</v>
      </c>
      <c r="G128" s="84"/>
      <c r="H128" s="84"/>
      <c r="I128" s="56">
        <f>$I$7</f>
        <v>295138</v>
      </c>
      <c r="J128" s="56">
        <f t="shared" si="25"/>
        <v>4072904</v>
      </c>
      <c r="M128" s="101"/>
      <c r="N128" s="86"/>
    </row>
    <row r="129" spans="1:14" s="87" customFormat="1" ht="25.9" customHeight="1">
      <c r="A129" s="81" t="s">
        <v>165</v>
      </c>
      <c r="B129" s="82"/>
      <c r="C129" s="83">
        <f>적용소요인력!H23</f>
        <v>7.95</v>
      </c>
      <c r="D129" s="55" t="s">
        <v>41</v>
      </c>
      <c r="E129" s="56">
        <f t="shared" si="24"/>
        <v>235459</v>
      </c>
      <c r="F129" s="56">
        <f t="shared" si="24"/>
        <v>1871899</v>
      </c>
      <c r="G129" s="84"/>
      <c r="H129" s="84"/>
      <c r="I129" s="56">
        <f>$I$8</f>
        <v>235459</v>
      </c>
      <c r="J129" s="56">
        <f t="shared" si="25"/>
        <v>1871899</v>
      </c>
      <c r="M129" s="101"/>
      <c r="N129" s="86"/>
    </row>
    <row r="130" spans="1:14" s="87" customFormat="1" ht="25.9" customHeight="1">
      <c r="A130" s="81" t="s">
        <v>180</v>
      </c>
      <c r="B130" s="82"/>
      <c r="C130" s="83">
        <f>적용소요인력!I23</f>
        <v>0</v>
      </c>
      <c r="D130" s="55" t="s">
        <v>41</v>
      </c>
      <c r="E130" s="56">
        <f t="shared" si="24"/>
        <v>250087</v>
      </c>
      <c r="F130" s="56">
        <f t="shared" si="24"/>
        <v>0</v>
      </c>
      <c r="G130" s="84"/>
      <c r="H130" s="84"/>
      <c r="I130" s="56">
        <f>$I$9</f>
        <v>250087</v>
      </c>
      <c r="J130" s="56">
        <f t="shared" si="25"/>
        <v>0</v>
      </c>
      <c r="M130" s="101"/>
      <c r="N130" s="86"/>
    </row>
    <row r="131" spans="1:14" s="87" customFormat="1" ht="25.9" customHeight="1">
      <c r="A131" s="81" t="s">
        <v>39</v>
      </c>
      <c r="B131" s="82"/>
      <c r="C131" s="83"/>
      <c r="D131" s="55"/>
      <c r="E131" s="56"/>
      <c r="F131" s="56">
        <f t="shared" si="24"/>
        <v>16827731</v>
      </c>
      <c r="G131" s="84"/>
      <c r="H131" s="84"/>
      <c r="I131" s="56"/>
      <c r="J131" s="56">
        <f>SUM(J125:J130)</f>
        <v>16827731</v>
      </c>
      <c r="M131" s="101"/>
      <c r="N131" s="86"/>
    </row>
    <row r="132" spans="1:14" s="87" customFormat="1" ht="25.9" customHeight="1">
      <c r="A132" s="81" t="s">
        <v>45</v>
      </c>
      <c r="B132" s="95">
        <f>$S$10</f>
        <v>0.3</v>
      </c>
      <c r="C132" s="83"/>
      <c r="D132" s="55"/>
      <c r="E132" s="51">
        <f>F132</f>
        <v>16827731</v>
      </c>
      <c r="F132" s="56">
        <f t="shared" si="24"/>
        <v>16827731</v>
      </c>
      <c r="G132" s="82"/>
      <c r="H132" s="82"/>
      <c r="I132" s="56"/>
      <c r="J132" s="56">
        <f>TRUNC(J131*$S$11,0)</f>
        <v>16827731</v>
      </c>
      <c r="M132" s="101"/>
      <c r="N132" s="86"/>
    </row>
    <row r="133" spans="1:14" s="87" customFormat="1" ht="25.9" customHeight="1">
      <c r="A133" s="102" t="s">
        <v>2015</v>
      </c>
      <c r="B133" s="82"/>
      <c r="C133" s="83"/>
      <c r="D133" s="55"/>
      <c r="E133" s="82"/>
      <c r="F133" s="84"/>
      <c r="G133" s="82"/>
      <c r="H133" s="82"/>
      <c r="I133" s="82"/>
      <c r="J133" s="84"/>
      <c r="K133" s="84"/>
      <c r="L133" s="84"/>
      <c r="M133" s="85"/>
      <c r="N133" s="86"/>
    </row>
    <row r="134" spans="1:14" s="87" customFormat="1" ht="25.9" customHeight="1">
      <c r="A134" s="81" t="s">
        <v>150</v>
      </c>
      <c r="B134" s="82"/>
      <c r="C134" s="83">
        <f>적용소요인력!D24</f>
        <v>5.8</v>
      </c>
      <c r="D134" s="55" t="s">
        <v>41</v>
      </c>
      <c r="E134" s="56">
        <f t="shared" ref="E134:F141" si="26">G134+I134+K134</f>
        <v>467217</v>
      </c>
      <c r="F134" s="56">
        <f t="shared" si="26"/>
        <v>2709858</v>
      </c>
      <c r="G134" s="84"/>
      <c r="H134" s="84"/>
      <c r="I134" s="56">
        <f>$I$4</f>
        <v>467217</v>
      </c>
      <c r="J134" s="56">
        <f t="shared" ref="J134:J139" si="27">INT(I134*C134)</f>
        <v>2709858</v>
      </c>
      <c r="K134" s="84"/>
      <c r="L134" s="84"/>
      <c r="M134" s="85"/>
      <c r="N134" s="86"/>
    </row>
    <row r="135" spans="1:14" s="87" customFormat="1" ht="25.9" customHeight="1">
      <c r="A135" s="81" t="s">
        <v>146</v>
      </c>
      <c r="B135" s="82"/>
      <c r="C135" s="83">
        <f>적용소요인력!E24</f>
        <v>10.4</v>
      </c>
      <c r="D135" s="55" t="s">
        <v>41</v>
      </c>
      <c r="E135" s="56">
        <f t="shared" si="26"/>
        <v>373353</v>
      </c>
      <c r="F135" s="56">
        <f t="shared" si="26"/>
        <v>3882871</v>
      </c>
      <c r="G135" s="84"/>
      <c r="H135" s="84"/>
      <c r="I135" s="56">
        <f>$I$5</f>
        <v>373353</v>
      </c>
      <c r="J135" s="56">
        <f t="shared" si="27"/>
        <v>3882871</v>
      </c>
      <c r="K135" s="84"/>
      <c r="L135" s="84"/>
      <c r="M135" s="85"/>
      <c r="N135" s="86"/>
    </row>
    <row r="136" spans="1:14" s="87" customFormat="1" ht="25.9" customHeight="1">
      <c r="A136" s="81" t="s">
        <v>139</v>
      </c>
      <c r="B136" s="82"/>
      <c r="C136" s="83">
        <f>적용소요인력!F24</f>
        <v>13.8</v>
      </c>
      <c r="D136" s="55" t="s">
        <v>41</v>
      </c>
      <c r="E136" s="56">
        <f t="shared" si="26"/>
        <v>310884</v>
      </c>
      <c r="F136" s="56">
        <f t="shared" si="26"/>
        <v>4290199</v>
      </c>
      <c r="G136" s="84"/>
      <c r="H136" s="84"/>
      <c r="I136" s="56">
        <f>$I$6</f>
        <v>310884</v>
      </c>
      <c r="J136" s="56">
        <f t="shared" si="27"/>
        <v>4290199</v>
      </c>
      <c r="K136" s="84"/>
      <c r="L136" s="84"/>
      <c r="M136" s="85"/>
      <c r="N136" s="86"/>
    </row>
    <row r="137" spans="1:14" s="87" customFormat="1" ht="25.9" customHeight="1">
      <c r="A137" s="81" t="s">
        <v>168</v>
      </c>
      <c r="B137" s="82"/>
      <c r="C137" s="83">
        <f>적용소요인력!G24</f>
        <v>13.8</v>
      </c>
      <c r="D137" s="55" t="s">
        <v>41</v>
      </c>
      <c r="E137" s="56">
        <f t="shared" si="26"/>
        <v>295138</v>
      </c>
      <c r="F137" s="56">
        <f t="shared" si="26"/>
        <v>4072904</v>
      </c>
      <c r="G137" s="84"/>
      <c r="H137" s="84"/>
      <c r="I137" s="56">
        <f>$I$7</f>
        <v>295138</v>
      </c>
      <c r="J137" s="56">
        <f t="shared" si="27"/>
        <v>4072904</v>
      </c>
      <c r="K137" s="84"/>
      <c r="L137" s="84"/>
      <c r="M137" s="85"/>
      <c r="N137" s="86"/>
    </row>
    <row r="138" spans="1:14" s="87" customFormat="1" ht="25.9" customHeight="1">
      <c r="A138" s="81" t="s">
        <v>165</v>
      </c>
      <c r="B138" s="82"/>
      <c r="C138" s="83">
        <f>적용소요인력!H24</f>
        <v>7.95</v>
      </c>
      <c r="D138" s="55" t="s">
        <v>41</v>
      </c>
      <c r="E138" s="56">
        <f t="shared" si="26"/>
        <v>235459</v>
      </c>
      <c r="F138" s="56">
        <f t="shared" si="26"/>
        <v>1871899</v>
      </c>
      <c r="G138" s="84"/>
      <c r="H138" s="84"/>
      <c r="I138" s="56">
        <f>$I$8</f>
        <v>235459</v>
      </c>
      <c r="J138" s="56">
        <f t="shared" si="27"/>
        <v>1871899</v>
      </c>
      <c r="K138" s="84"/>
      <c r="L138" s="84"/>
      <c r="M138" s="85"/>
      <c r="N138" s="86"/>
    </row>
    <row r="139" spans="1:14" s="87" customFormat="1" ht="25.9" customHeight="1">
      <c r="A139" s="81" t="s">
        <v>180</v>
      </c>
      <c r="B139" s="82"/>
      <c r="C139" s="83">
        <f>적용소요인력!I24</f>
        <v>0</v>
      </c>
      <c r="D139" s="55" t="s">
        <v>41</v>
      </c>
      <c r="E139" s="56">
        <f t="shared" si="26"/>
        <v>250087</v>
      </c>
      <c r="F139" s="56">
        <f t="shared" si="26"/>
        <v>0</v>
      </c>
      <c r="G139" s="84"/>
      <c r="H139" s="84"/>
      <c r="I139" s="56">
        <f>$I$9</f>
        <v>250087</v>
      </c>
      <c r="J139" s="56">
        <f t="shared" si="27"/>
        <v>0</v>
      </c>
      <c r="K139" s="84"/>
      <c r="L139" s="84"/>
      <c r="M139" s="85"/>
      <c r="N139" s="86"/>
    </row>
    <row r="140" spans="1:14" s="87" customFormat="1" ht="25.9" customHeight="1">
      <c r="A140" s="81" t="s">
        <v>39</v>
      </c>
      <c r="B140" s="82"/>
      <c r="C140" s="83"/>
      <c r="D140" s="55"/>
      <c r="E140" s="56"/>
      <c r="F140" s="56">
        <f t="shared" si="26"/>
        <v>16827731</v>
      </c>
      <c r="G140" s="84"/>
      <c r="H140" s="84"/>
      <c r="I140" s="56"/>
      <c r="J140" s="56">
        <f>SUM(J134:J139)</f>
        <v>16827731</v>
      </c>
      <c r="K140" s="84"/>
      <c r="L140" s="84"/>
      <c r="M140" s="85"/>
      <c r="N140" s="86"/>
    </row>
    <row r="141" spans="1:14" s="87" customFormat="1" ht="25.9" customHeight="1">
      <c r="A141" s="81" t="s">
        <v>45</v>
      </c>
      <c r="B141" s="95">
        <f>$S$10</f>
        <v>0.3</v>
      </c>
      <c r="C141" s="83"/>
      <c r="D141" s="55"/>
      <c r="E141" s="51">
        <f>F141</f>
        <v>16827731</v>
      </c>
      <c r="F141" s="56">
        <f t="shared" si="26"/>
        <v>16827731</v>
      </c>
      <c r="G141" s="82"/>
      <c r="H141" s="82"/>
      <c r="I141" s="56"/>
      <c r="J141" s="56">
        <f>TRUNC(J140*$S$11,0)</f>
        <v>16827731</v>
      </c>
      <c r="K141" s="82"/>
      <c r="L141" s="82"/>
      <c r="M141" s="96"/>
      <c r="N141" s="86"/>
    </row>
    <row r="142" spans="1:14" s="87" customFormat="1" ht="25.9" customHeight="1">
      <c r="A142" s="81"/>
      <c r="B142" s="95"/>
      <c r="C142" s="83"/>
      <c r="D142" s="55"/>
      <c r="E142" s="51"/>
      <c r="F142" s="56"/>
      <c r="G142" s="82"/>
      <c r="H142" s="82"/>
      <c r="I142" s="56"/>
      <c r="J142" s="56"/>
      <c r="K142" s="82"/>
      <c r="L142" s="82"/>
      <c r="M142" s="96"/>
      <c r="N142" s="86"/>
    </row>
    <row r="143" spans="1:14" s="87" customFormat="1" ht="25.9" customHeight="1">
      <c r="A143" s="81"/>
      <c r="B143" s="82"/>
      <c r="C143" s="83"/>
      <c r="D143" s="55"/>
      <c r="E143" s="51"/>
      <c r="F143" s="56"/>
      <c r="G143" s="82"/>
      <c r="H143" s="82"/>
      <c r="I143" s="82"/>
      <c r="J143" s="82"/>
      <c r="K143" s="82"/>
      <c r="L143" s="82"/>
      <c r="M143" s="85"/>
      <c r="N143" s="86"/>
    </row>
    <row r="144" spans="1:14" s="87" customFormat="1" ht="25.9" customHeight="1">
      <c r="A144" s="102" t="s">
        <v>2016</v>
      </c>
      <c r="B144" s="82"/>
      <c r="C144" s="83"/>
      <c r="D144" s="55"/>
      <c r="E144" s="84"/>
      <c r="F144" s="84"/>
      <c r="G144" s="84"/>
      <c r="H144" s="84"/>
      <c r="I144" s="84"/>
      <c r="J144" s="84"/>
      <c r="K144" s="88"/>
      <c r="M144" s="101"/>
      <c r="N144" s="86"/>
    </row>
    <row r="145" spans="1:16" s="87" customFormat="1" ht="25.9" customHeight="1">
      <c r="A145" s="81" t="s">
        <v>150</v>
      </c>
      <c r="B145" s="82"/>
      <c r="C145" s="83">
        <f>적용소요인력!D26</f>
        <v>0.5</v>
      </c>
      <c r="D145" s="55" t="s">
        <v>41</v>
      </c>
      <c r="E145" s="56">
        <f t="shared" ref="E145:F152" si="28">G145+I145+K145</f>
        <v>467217</v>
      </c>
      <c r="F145" s="56">
        <f t="shared" si="28"/>
        <v>233608</v>
      </c>
      <c r="G145" s="84"/>
      <c r="H145" s="84"/>
      <c r="I145" s="56">
        <f>$I$4</f>
        <v>467217</v>
      </c>
      <c r="J145" s="56">
        <f t="shared" ref="J145:J150" si="29">INT(I145*C145)</f>
        <v>233608</v>
      </c>
      <c r="M145" s="101"/>
      <c r="N145" s="86"/>
    </row>
    <row r="146" spans="1:16" s="87" customFormat="1" ht="25.9" customHeight="1">
      <c r="A146" s="81" t="s">
        <v>146</v>
      </c>
      <c r="B146" s="82"/>
      <c r="C146" s="83">
        <f>적용소요인력!E26</f>
        <v>0.5</v>
      </c>
      <c r="D146" s="55" t="s">
        <v>41</v>
      </c>
      <c r="E146" s="56">
        <f t="shared" si="28"/>
        <v>373353</v>
      </c>
      <c r="F146" s="56">
        <f t="shared" si="28"/>
        <v>186676</v>
      </c>
      <c r="G146" s="84"/>
      <c r="H146" s="84"/>
      <c r="I146" s="56">
        <f>$I$5</f>
        <v>373353</v>
      </c>
      <c r="J146" s="56">
        <f t="shared" si="29"/>
        <v>186676</v>
      </c>
      <c r="M146" s="101"/>
      <c r="N146" s="86"/>
    </row>
    <row r="147" spans="1:16" s="87" customFormat="1" ht="25.9" customHeight="1">
      <c r="A147" s="81" t="s">
        <v>139</v>
      </c>
      <c r="B147" s="82"/>
      <c r="C147" s="83">
        <f>적용소요인력!F26</f>
        <v>1</v>
      </c>
      <c r="D147" s="55" t="s">
        <v>41</v>
      </c>
      <c r="E147" s="56">
        <f t="shared" si="28"/>
        <v>310884</v>
      </c>
      <c r="F147" s="56">
        <f t="shared" si="28"/>
        <v>310884</v>
      </c>
      <c r="G147" s="84"/>
      <c r="H147" s="84"/>
      <c r="I147" s="56">
        <f>$I$6</f>
        <v>310884</v>
      </c>
      <c r="J147" s="56">
        <f t="shared" si="29"/>
        <v>310884</v>
      </c>
      <c r="M147" s="101"/>
      <c r="N147" s="86"/>
    </row>
    <row r="148" spans="1:16" s="87" customFormat="1" ht="25.9" customHeight="1">
      <c r="A148" s="81" t="s">
        <v>168</v>
      </c>
      <c r="B148" s="82"/>
      <c r="C148" s="83">
        <f>적용소요인력!G26</f>
        <v>1.5</v>
      </c>
      <c r="D148" s="55" t="s">
        <v>41</v>
      </c>
      <c r="E148" s="56">
        <f t="shared" si="28"/>
        <v>295138</v>
      </c>
      <c r="F148" s="56">
        <f t="shared" si="28"/>
        <v>442707</v>
      </c>
      <c r="G148" s="84"/>
      <c r="H148" s="84"/>
      <c r="I148" s="56">
        <f>$I$7</f>
        <v>295138</v>
      </c>
      <c r="J148" s="56">
        <f t="shared" si="29"/>
        <v>442707</v>
      </c>
      <c r="M148" s="101"/>
      <c r="N148" s="86"/>
    </row>
    <row r="149" spans="1:16" s="87" customFormat="1" ht="25.9" customHeight="1">
      <c r="A149" s="81" t="s">
        <v>165</v>
      </c>
      <c r="B149" s="82"/>
      <c r="C149" s="83">
        <f>적용소요인력!H26</f>
        <v>1</v>
      </c>
      <c r="D149" s="55" t="s">
        <v>41</v>
      </c>
      <c r="E149" s="56">
        <f t="shared" si="28"/>
        <v>235459</v>
      </c>
      <c r="F149" s="56">
        <f t="shared" si="28"/>
        <v>235459</v>
      </c>
      <c r="G149" s="84"/>
      <c r="H149" s="84"/>
      <c r="I149" s="56">
        <f>$I$8</f>
        <v>235459</v>
      </c>
      <c r="J149" s="56">
        <f t="shared" si="29"/>
        <v>235459</v>
      </c>
      <c r="M149" s="101"/>
      <c r="N149" s="86"/>
    </row>
    <row r="150" spans="1:16" s="87" customFormat="1" ht="25.9" customHeight="1">
      <c r="A150" s="81" t="s">
        <v>179</v>
      </c>
      <c r="B150" s="82"/>
      <c r="C150" s="83">
        <f>적용소요인력!I26</f>
        <v>0</v>
      </c>
      <c r="D150" s="55" t="s">
        <v>41</v>
      </c>
      <c r="E150" s="56">
        <f t="shared" si="28"/>
        <v>250087</v>
      </c>
      <c r="F150" s="56">
        <f t="shared" si="28"/>
        <v>0</v>
      </c>
      <c r="G150" s="84"/>
      <c r="H150" s="84"/>
      <c r="I150" s="56">
        <f>$I$9</f>
        <v>250087</v>
      </c>
      <c r="J150" s="56">
        <f t="shared" si="29"/>
        <v>0</v>
      </c>
      <c r="M150" s="101"/>
      <c r="N150" s="86"/>
    </row>
    <row r="151" spans="1:16" s="87" customFormat="1" ht="25.9" customHeight="1">
      <c r="A151" s="81" t="s">
        <v>39</v>
      </c>
      <c r="B151" s="82"/>
      <c r="C151" s="83"/>
      <c r="D151" s="55"/>
      <c r="E151" s="56"/>
      <c r="F151" s="56">
        <f t="shared" si="28"/>
        <v>1409334</v>
      </c>
      <c r="G151" s="84"/>
      <c r="H151" s="84"/>
      <c r="I151" s="56"/>
      <c r="J151" s="56">
        <f>SUM(J145:J150)</f>
        <v>1409334</v>
      </c>
      <c r="M151" s="101"/>
      <c r="N151" s="86"/>
    </row>
    <row r="152" spans="1:16" s="87" customFormat="1" ht="25.9" customHeight="1">
      <c r="A152" s="81" t="s">
        <v>45</v>
      </c>
      <c r="B152" s="95">
        <f>$S$10</f>
        <v>0.3</v>
      </c>
      <c r="C152" s="83"/>
      <c r="D152" s="55"/>
      <c r="E152" s="51">
        <f>F152</f>
        <v>422800</v>
      </c>
      <c r="F152" s="56">
        <f t="shared" si="28"/>
        <v>422800</v>
      </c>
      <c r="G152" s="82"/>
      <c r="H152" s="82"/>
      <c r="I152" s="56"/>
      <c r="J152" s="56">
        <f>TRUNC(J151*$S$10,0)</f>
        <v>422800</v>
      </c>
      <c r="M152" s="101"/>
      <c r="N152" s="86"/>
    </row>
    <row r="153" spans="1:16" ht="25.9" customHeight="1">
      <c r="A153" s="81"/>
      <c r="B153" s="95"/>
      <c r="C153" s="83"/>
      <c r="D153" s="55"/>
      <c r="E153" s="51"/>
      <c r="F153" s="56"/>
      <c r="G153" s="82"/>
      <c r="H153" s="82"/>
      <c r="I153" s="56"/>
      <c r="J153" s="56"/>
      <c r="K153" s="87"/>
      <c r="L153" s="87"/>
      <c r="M153" s="101"/>
      <c r="N153" s="86"/>
      <c r="O153" s="87"/>
      <c r="P153" s="87"/>
    </row>
    <row r="154" spans="1:16" ht="25.9" customHeight="1">
      <c r="A154" s="102" t="s">
        <v>2017</v>
      </c>
      <c r="B154" s="82"/>
      <c r="C154" s="83"/>
      <c r="D154" s="55"/>
      <c r="E154" s="82"/>
      <c r="F154" s="84"/>
      <c r="G154" s="82"/>
      <c r="H154" s="82"/>
      <c r="I154" s="82"/>
      <c r="J154" s="84"/>
      <c r="K154" s="84"/>
      <c r="L154" s="84"/>
      <c r="M154" s="85"/>
      <c r="N154" s="86"/>
      <c r="O154" s="87"/>
      <c r="P154" s="87"/>
    </row>
    <row r="155" spans="1:16" ht="25.9" customHeight="1">
      <c r="A155" s="81" t="s">
        <v>150</v>
      </c>
      <c r="B155" s="82"/>
      <c r="C155" s="83">
        <f>적용소요인력!D27</f>
        <v>10.5</v>
      </c>
      <c r="D155" s="55" t="s">
        <v>41</v>
      </c>
      <c r="E155" s="56">
        <f t="shared" ref="E155:E160" si="30">G155+I155+K155</f>
        <v>467217</v>
      </c>
      <c r="F155" s="56">
        <f t="shared" ref="F155:F162" si="31">H155+J155+L155</f>
        <v>4905778</v>
      </c>
      <c r="G155" s="84"/>
      <c r="H155" s="84"/>
      <c r="I155" s="56">
        <f>$I$4</f>
        <v>467217</v>
      </c>
      <c r="J155" s="56">
        <f t="shared" ref="J155:J160" si="32">INT(I155*C155)</f>
        <v>4905778</v>
      </c>
      <c r="K155" s="84"/>
      <c r="L155" s="84"/>
      <c r="M155" s="85"/>
      <c r="N155" s="86"/>
      <c r="O155" s="87"/>
      <c r="P155" s="87"/>
    </row>
    <row r="156" spans="1:16" ht="25.9" customHeight="1">
      <c r="A156" s="81" t="s">
        <v>146</v>
      </c>
      <c r="B156" s="82"/>
      <c r="C156" s="83">
        <f>적용소요인력!E27</f>
        <v>17</v>
      </c>
      <c r="D156" s="55" t="s">
        <v>41</v>
      </c>
      <c r="E156" s="56">
        <f t="shared" si="30"/>
        <v>373353</v>
      </c>
      <c r="F156" s="56">
        <f t="shared" si="31"/>
        <v>6347001</v>
      </c>
      <c r="G156" s="84"/>
      <c r="H156" s="84"/>
      <c r="I156" s="56">
        <f>$I$5</f>
        <v>373353</v>
      </c>
      <c r="J156" s="56">
        <f t="shared" si="32"/>
        <v>6347001</v>
      </c>
      <c r="K156" s="84"/>
      <c r="L156" s="84"/>
      <c r="M156" s="85"/>
      <c r="N156" s="86"/>
      <c r="O156" s="87"/>
      <c r="P156" s="87"/>
    </row>
    <row r="157" spans="1:16" ht="25.9" customHeight="1">
      <c r="A157" s="81" t="s">
        <v>139</v>
      </c>
      <c r="B157" s="82"/>
      <c r="C157" s="83">
        <f>적용소요인력!F27</f>
        <v>22</v>
      </c>
      <c r="D157" s="55" t="s">
        <v>41</v>
      </c>
      <c r="E157" s="56">
        <f t="shared" si="30"/>
        <v>310884</v>
      </c>
      <c r="F157" s="56">
        <f t="shared" si="31"/>
        <v>6839448</v>
      </c>
      <c r="G157" s="84"/>
      <c r="H157" s="84"/>
      <c r="I157" s="56">
        <f>$I$6</f>
        <v>310884</v>
      </c>
      <c r="J157" s="56">
        <f t="shared" si="32"/>
        <v>6839448</v>
      </c>
      <c r="K157" s="84"/>
      <c r="L157" s="84"/>
      <c r="M157" s="85"/>
      <c r="N157" s="86"/>
      <c r="O157" s="87"/>
      <c r="P157" s="87"/>
    </row>
    <row r="158" spans="1:16" ht="25.9" customHeight="1">
      <c r="A158" s="81" t="s">
        <v>168</v>
      </c>
      <c r="B158" s="82"/>
      <c r="C158" s="83">
        <f>적용소요인력!G27</f>
        <v>23</v>
      </c>
      <c r="D158" s="55" t="s">
        <v>41</v>
      </c>
      <c r="E158" s="56">
        <f t="shared" si="30"/>
        <v>295138</v>
      </c>
      <c r="F158" s="56">
        <f t="shared" si="31"/>
        <v>6788174</v>
      </c>
      <c r="G158" s="84"/>
      <c r="H158" s="84"/>
      <c r="I158" s="56">
        <f>$I$7</f>
        <v>295138</v>
      </c>
      <c r="J158" s="56">
        <f t="shared" si="32"/>
        <v>6788174</v>
      </c>
      <c r="K158" s="84"/>
      <c r="L158" s="84"/>
      <c r="M158" s="85"/>
      <c r="N158" s="86"/>
      <c r="O158" s="87"/>
      <c r="P158" s="87"/>
    </row>
    <row r="159" spans="1:16" ht="25.9" customHeight="1">
      <c r="A159" s="81" t="s">
        <v>165</v>
      </c>
      <c r="B159" s="82"/>
      <c r="C159" s="83">
        <f>적용소요인력!H27</f>
        <v>19.5</v>
      </c>
      <c r="D159" s="55" t="s">
        <v>41</v>
      </c>
      <c r="E159" s="56">
        <f t="shared" si="30"/>
        <v>235459</v>
      </c>
      <c r="F159" s="56">
        <f t="shared" si="31"/>
        <v>4591450</v>
      </c>
      <c r="G159" s="84"/>
      <c r="H159" s="84"/>
      <c r="I159" s="56">
        <f>$I$8</f>
        <v>235459</v>
      </c>
      <c r="J159" s="56">
        <f t="shared" si="32"/>
        <v>4591450</v>
      </c>
      <c r="K159" s="84"/>
      <c r="L159" s="84"/>
      <c r="M159" s="85"/>
      <c r="N159" s="86"/>
      <c r="O159" s="87"/>
      <c r="P159" s="87"/>
    </row>
    <row r="160" spans="1:16" ht="25.9" customHeight="1">
      <c r="A160" s="81" t="s">
        <v>180</v>
      </c>
      <c r="B160" s="82"/>
      <c r="C160" s="83">
        <f>적용소요인력!I27</f>
        <v>3</v>
      </c>
      <c r="D160" s="55" t="s">
        <v>41</v>
      </c>
      <c r="E160" s="56">
        <f t="shared" si="30"/>
        <v>250087</v>
      </c>
      <c r="F160" s="56">
        <f t="shared" si="31"/>
        <v>750261</v>
      </c>
      <c r="G160" s="84"/>
      <c r="H160" s="84"/>
      <c r="I160" s="56">
        <f>$I$9</f>
        <v>250087</v>
      </c>
      <c r="J160" s="56">
        <f t="shared" si="32"/>
        <v>750261</v>
      </c>
      <c r="K160" s="84"/>
      <c r="L160" s="84"/>
      <c r="M160" s="85"/>
      <c r="N160" s="86"/>
      <c r="O160" s="87"/>
      <c r="P160" s="87"/>
    </row>
    <row r="161" spans="1:16" ht="25.9" customHeight="1">
      <c r="A161" s="81" t="s">
        <v>39</v>
      </c>
      <c r="B161" s="82"/>
      <c r="C161" s="83"/>
      <c r="D161" s="55"/>
      <c r="E161" s="56"/>
      <c r="F161" s="56">
        <f t="shared" si="31"/>
        <v>30222112</v>
      </c>
      <c r="G161" s="84"/>
      <c r="H161" s="84"/>
      <c r="I161" s="56"/>
      <c r="J161" s="56">
        <f>SUM(J155:J160)</f>
        <v>30222112</v>
      </c>
      <c r="K161" s="84"/>
      <c r="L161" s="84"/>
      <c r="M161" s="85"/>
      <c r="N161" s="86"/>
      <c r="O161" s="87"/>
      <c r="P161" s="87"/>
    </row>
    <row r="162" spans="1:16" ht="25.9" customHeight="1">
      <c r="A162" s="81" t="s">
        <v>45</v>
      </c>
      <c r="B162" s="95">
        <f>$S$10</f>
        <v>0.3</v>
      </c>
      <c r="C162" s="83"/>
      <c r="D162" s="55"/>
      <c r="E162" s="51">
        <f>F162</f>
        <v>30222112</v>
      </c>
      <c r="F162" s="56">
        <f t="shared" si="31"/>
        <v>30222112</v>
      </c>
      <c r="G162" s="82"/>
      <c r="H162" s="82"/>
      <c r="I162" s="56"/>
      <c r="J162" s="56">
        <f>TRUNC(J161*$S$11,0)</f>
        <v>30222112</v>
      </c>
      <c r="K162" s="82"/>
      <c r="L162" s="82"/>
      <c r="M162" s="96"/>
      <c r="N162" s="86"/>
      <c r="O162" s="87"/>
      <c r="P162" s="87"/>
    </row>
    <row r="163" spans="1:16" ht="25.9" customHeight="1">
      <c r="A163" s="102" t="s">
        <v>2018</v>
      </c>
      <c r="B163" s="82"/>
      <c r="C163" s="83"/>
      <c r="D163" s="55"/>
      <c r="E163" s="84"/>
      <c r="F163" s="84"/>
      <c r="G163" s="84"/>
      <c r="H163" s="84"/>
      <c r="I163" s="84"/>
      <c r="J163" s="84"/>
      <c r="K163" s="88"/>
      <c r="L163" s="87"/>
      <c r="M163" s="101"/>
      <c r="N163" s="86"/>
      <c r="O163" s="87"/>
      <c r="P163" s="87"/>
    </row>
    <row r="164" spans="1:16" ht="25.9" customHeight="1">
      <c r="A164" s="81" t="s">
        <v>150</v>
      </c>
      <c r="B164" s="82"/>
      <c r="C164" s="83">
        <f>적용소요인력!D28</f>
        <v>3</v>
      </c>
      <c r="D164" s="55" t="s">
        <v>41</v>
      </c>
      <c r="E164" s="56">
        <f t="shared" ref="E164:E169" si="33">G164+I164+K164</f>
        <v>467217</v>
      </c>
      <c r="F164" s="56">
        <f t="shared" ref="F164:F171" si="34">H164+J164+L164</f>
        <v>1401651</v>
      </c>
      <c r="G164" s="84"/>
      <c r="H164" s="84"/>
      <c r="I164" s="56">
        <f>$I$4</f>
        <v>467217</v>
      </c>
      <c r="J164" s="56">
        <f t="shared" ref="J164:J169" si="35">INT(I164*C164)</f>
        <v>1401651</v>
      </c>
      <c r="K164" s="87"/>
      <c r="L164" s="87"/>
      <c r="M164" s="101"/>
      <c r="N164" s="86"/>
      <c r="O164" s="87"/>
      <c r="P164" s="87"/>
    </row>
    <row r="165" spans="1:16" ht="25.9" customHeight="1">
      <c r="A165" s="81" t="s">
        <v>146</v>
      </c>
      <c r="B165" s="82"/>
      <c r="C165" s="83">
        <f>적용소요인력!E28</f>
        <v>5.5</v>
      </c>
      <c r="D165" s="55" t="s">
        <v>41</v>
      </c>
      <c r="E165" s="56">
        <f t="shared" si="33"/>
        <v>373353</v>
      </c>
      <c r="F165" s="56">
        <f t="shared" si="34"/>
        <v>2053441</v>
      </c>
      <c r="G165" s="84"/>
      <c r="H165" s="84"/>
      <c r="I165" s="56">
        <f>$I$5</f>
        <v>373353</v>
      </c>
      <c r="J165" s="56">
        <f t="shared" si="35"/>
        <v>2053441</v>
      </c>
      <c r="K165" s="87"/>
      <c r="L165" s="87"/>
      <c r="M165" s="101"/>
      <c r="N165" s="86"/>
      <c r="O165" s="87"/>
      <c r="P165" s="87"/>
    </row>
    <row r="166" spans="1:16" ht="25.9" customHeight="1">
      <c r="A166" s="81" t="s">
        <v>139</v>
      </c>
      <c r="B166" s="82"/>
      <c r="C166" s="83">
        <f>적용소요인력!F28</f>
        <v>4.5</v>
      </c>
      <c r="D166" s="55" t="s">
        <v>41</v>
      </c>
      <c r="E166" s="56">
        <f t="shared" si="33"/>
        <v>310884</v>
      </c>
      <c r="F166" s="56">
        <f t="shared" si="34"/>
        <v>1398978</v>
      </c>
      <c r="G166" s="84"/>
      <c r="H166" s="84"/>
      <c r="I166" s="56">
        <f>$I$6</f>
        <v>310884</v>
      </c>
      <c r="J166" s="56">
        <f t="shared" si="35"/>
        <v>1398978</v>
      </c>
      <c r="K166" s="87"/>
      <c r="L166" s="87"/>
      <c r="M166" s="101"/>
      <c r="N166" s="86"/>
      <c r="O166" s="87"/>
      <c r="P166" s="87"/>
    </row>
    <row r="167" spans="1:16" ht="25.9" customHeight="1">
      <c r="A167" s="81" t="s">
        <v>168</v>
      </c>
      <c r="B167" s="82"/>
      <c r="C167" s="83">
        <f>적용소요인력!G28</f>
        <v>3</v>
      </c>
      <c r="D167" s="55" t="s">
        <v>41</v>
      </c>
      <c r="E167" s="56">
        <f t="shared" si="33"/>
        <v>295138</v>
      </c>
      <c r="F167" s="56">
        <f t="shared" si="34"/>
        <v>885414</v>
      </c>
      <c r="G167" s="84"/>
      <c r="H167" s="84"/>
      <c r="I167" s="56">
        <f>$I$7</f>
        <v>295138</v>
      </c>
      <c r="J167" s="56">
        <f t="shared" si="35"/>
        <v>885414</v>
      </c>
      <c r="K167" s="87"/>
      <c r="L167" s="87"/>
      <c r="M167" s="101"/>
      <c r="N167" s="86"/>
      <c r="O167" s="87"/>
      <c r="P167" s="87"/>
    </row>
    <row r="168" spans="1:16" ht="25.9" customHeight="1">
      <c r="A168" s="81" t="s">
        <v>165</v>
      </c>
      <c r="B168" s="82"/>
      <c r="C168" s="83">
        <f>적용소요인력!H28</f>
        <v>2</v>
      </c>
      <c r="D168" s="55" t="s">
        <v>41</v>
      </c>
      <c r="E168" s="56">
        <f t="shared" si="33"/>
        <v>235459</v>
      </c>
      <c r="F168" s="56">
        <f t="shared" si="34"/>
        <v>470918</v>
      </c>
      <c r="G168" s="84"/>
      <c r="H168" s="84"/>
      <c r="I168" s="56">
        <f>$I$8</f>
        <v>235459</v>
      </c>
      <c r="J168" s="56">
        <f t="shared" si="35"/>
        <v>470918</v>
      </c>
      <c r="K168" s="87"/>
      <c r="L168" s="87"/>
      <c r="M168" s="101"/>
      <c r="N168" s="86"/>
      <c r="O168" s="87"/>
      <c r="P168" s="87"/>
    </row>
    <row r="169" spans="1:16" ht="25.9" customHeight="1">
      <c r="A169" s="81" t="s">
        <v>179</v>
      </c>
      <c r="B169" s="82"/>
      <c r="C169" s="83">
        <f>적용소요인력!I28</f>
        <v>0</v>
      </c>
      <c r="D169" s="55" t="s">
        <v>41</v>
      </c>
      <c r="E169" s="56">
        <f t="shared" si="33"/>
        <v>250087</v>
      </c>
      <c r="F169" s="56">
        <f t="shared" si="34"/>
        <v>0</v>
      </c>
      <c r="G169" s="84"/>
      <c r="H169" s="84"/>
      <c r="I169" s="56">
        <f>$I$9</f>
        <v>250087</v>
      </c>
      <c r="J169" s="56">
        <f t="shared" si="35"/>
        <v>0</v>
      </c>
      <c r="K169" s="87"/>
      <c r="L169" s="87"/>
      <c r="M169" s="101"/>
      <c r="N169" s="86"/>
      <c r="O169" s="87"/>
      <c r="P169" s="87"/>
    </row>
    <row r="170" spans="1:16" ht="25.9" customHeight="1">
      <c r="A170" s="81" t="s">
        <v>39</v>
      </c>
      <c r="B170" s="82"/>
      <c r="C170" s="83"/>
      <c r="D170" s="55"/>
      <c r="E170" s="56"/>
      <c r="F170" s="56">
        <f t="shared" si="34"/>
        <v>6210402</v>
      </c>
      <c r="G170" s="84"/>
      <c r="H170" s="84"/>
      <c r="I170" s="56"/>
      <c r="J170" s="56">
        <f>SUM(J164:J169)</f>
        <v>6210402</v>
      </c>
      <c r="K170" s="87"/>
      <c r="L170" s="87"/>
      <c r="M170" s="101"/>
      <c r="N170" s="86"/>
      <c r="O170" s="87"/>
      <c r="P170" s="87"/>
    </row>
    <row r="171" spans="1:16" ht="25.9" customHeight="1">
      <c r="A171" s="81" t="s">
        <v>45</v>
      </c>
      <c r="B171" s="95">
        <f>$S$10</f>
        <v>0.3</v>
      </c>
      <c r="C171" s="83"/>
      <c r="D171" s="55"/>
      <c r="E171" s="51">
        <f>F171</f>
        <v>1863120</v>
      </c>
      <c r="F171" s="56">
        <f t="shared" si="34"/>
        <v>1863120</v>
      </c>
      <c r="G171" s="82"/>
      <c r="H171" s="82"/>
      <c r="I171" s="56"/>
      <c r="J171" s="56">
        <f>TRUNC(J170*$S$10,0)</f>
        <v>1863120</v>
      </c>
      <c r="K171" s="87"/>
      <c r="L171" s="87"/>
      <c r="M171" s="101"/>
      <c r="N171" s="86"/>
      <c r="O171" s="87"/>
      <c r="P171" s="87"/>
    </row>
    <row r="172" spans="1:16" ht="25.9" customHeight="1">
      <c r="A172" s="81"/>
      <c r="B172" s="95"/>
      <c r="C172" s="83"/>
      <c r="D172" s="55"/>
      <c r="E172" s="51"/>
      <c r="F172" s="56"/>
      <c r="G172" s="82"/>
      <c r="H172" s="82"/>
      <c r="I172" s="56"/>
      <c r="J172" s="56"/>
      <c r="K172" s="87"/>
      <c r="L172" s="87"/>
      <c r="M172" s="101"/>
      <c r="N172" s="86"/>
      <c r="O172" s="87"/>
      <c r="P172" s="87"/>
    </row>
    <row r="173" spans="1:16" ht="25.9" customHeight="1">
      <c r="A173" s="81"/>
      <c r="B173" s="95"/>
      <c r="C173" s="83"/>
      <c r="D173" s="55"/>
      <c r="E173" s="51"/>
      <c r="F173" s="56"/>
      <c r="G173" s="82"/>
      <c r="H173" s="82"/>
      <c r="I173" s="56"/>
      <c r="J173" s="56"/>
      <c r="K173" s="87"/>
      <c r="L173" s="87"/>
      <c r="M173" s="101"/>
      <c r="N173" s="86"/>
      <c r="O173" s="87"/>
      <c r="P173" s="87"/>
    </row>
    <row r="174" spans="1:16" s="87" customFormat="1" ht="25.9" customHeight="1">
      <c r="A174" s="102" t="s">
        <v>2019</v>
      </c>
      <c r="B174" s="82"/>
      <c r="C174" s="83"/>
      <c r="D174" s="55"/>
      <c r="E174" s="82"/>
      <c r="F174" s="84"/>
      <c r="G174" s="82"/>
      <c r="H174" s="82"/>
      <c r="I174" s="82"/>
      <c r="J174" s="84"/>
      <c r="K174" s="84"/>
      <c r="L174" s="84"/>
      <c r="M174" s="85"/>
      <c r="N174" s="86"/>
    </row>
    <row r="175" spans="1:16" s="87" customFormat="1" ht="25.9" customHeight="1">
      <c r="A175" s="81" t="s">
        <v>150</v>
      </c>
      <c r="B175" s="82"/>
      <c r="C175" s="83">
        <f>적용소요인력!D29</f>
        <v>1</v>
      </c>
      <c r="D175" s="55" t="s">
        <v>41</v>
      </c>
      <c r="E175" s="56">
        <f t="shared" ref="E175:E180" si="36">G175+I175+K175</f>
        <v>467217</v>
      </c>
      <c r="F175" s="56">
        <f t="shared" ref="F175:F182" si="37">H175+J175+L175</f>
        <v>467217</v>
      </c>
      <c r="G175" s="84"/>
      <c r="H175" s="84"/>
      <c r="I175" s="56">
        <f>$I$4</f>
        <v>467217</v>
      </c>
      <c r="J175" s="56">
        <f t="shared" ref="J175:J180" si="38">INT(I175*C175)</f>
        <v>467217</v>
      </c>
      <c r="K175" s="84"/>
      <c r="L175" s="84"/>
      <c r="M175" s="85"/>
      <c r="N175" s="86"/>
    </row>
    <row r="176" spans="1:16" s="87" customFormat="1" ht="25.9" customHeight="1">
      <c r="A176" s="81" t="s">
        <v>146</v>
      </c>
      <c r="B176" s="82"/>
      <c r="C176" s="83">
        <f>적용소요인력!E29</f>
        <v>1.5</v>
      </c>
      <c r="D176" s="55" t="s">
        <v>41</v>
      </c>
      <c r="E176" s="56">
        <f t="shared" si="36"/>
        <v>373353</v>
      </c>
      <c r="F176" s="56">
        <f t="shared" si="37"/>
        <v>560029</v>
      </c>
      <c r="G176" s="84"/>
      <c r="H176" s="84"/>
      <c r="I176" s="56">
        <f>$I$5</f>
        <v>373353</v>
      </c>
      <c r="J176" s="56">
        <f t="shared" si="38"/>
        <v>560029</v>
      </c>
      <c r="K176" s="84"/>
      <c r="L176" s="84"/>
      <c r="M176" s="85"/>
      <c r="N176" s="86"/>
    </row>
    <row r="177" spans="1:14" s="87" customFormat="1" ht="25.9" customHeight="1">
      <c r="A177" s="81" t="s">
        <v>139</v>
      </c>
      <c r="B177" s="82"/>
      <c r="C177" s="83">
        <f>적용소요인력!F29</f>
        <v>2.5</v>
      </c>
      <c r="D177" s="55" t="s">
        <v>41</v>
      </c>
      <c r="E177" s="56">
        <f t="shared" si="36"/>
        <v>310884</v>
      </c>
      <c r="F177" s="56">
        <f t="shared" si="37"/>
        <v>777210</v>
      </c>
      <c r="G177" s="84"/>
      <c r="H177" s="84"/>
      <c r="I177" s="56">
        <f>$I$6</f>
        <v>310884</v>
      </c>
      <c r="J177" s="56">
        <f t="shared" si="38"/>
        <v>777210</v>
      </c>
      <c r="K177" s="84"/>
      <c r="L177" s="84"/>
      <c r="M177" s="85"/>
      <c r="N177" s="86"/>
    </row>
    <row r="178" spans="1:14" s="87" customFormat="1" ht="25.9" customHeight="1">
      <c r="A178" s="81" t="s">
        <v>168</v>
      </c>
      <c r="B178" s="82"/>
      <c r="C178" s="83">
        <f>적용소요인력!G29</f>
        <v>2</v>
      </c>
      <c r="D178" s="55" t="s">
        <v>41</v>
      </c>
      <c r="E178" s="56">
        <f t="shared" si="36"/>
        <v>295138</v>
      </c>
      <c r="F178" s="56">
        <f t="shared" si="37"/>
        <v>590276</v>
      </c>
      <c r="G178" s="84"/>
      <c r="H178" s="84"/>
      <c r="I178" s="56">
        <f>$I$7</f>
        <v>295138</v>
      </c>
      <c r="J178" s="56">
        <f t="shared" si="38"/>
        <v>590276</v>
      </c>
      <c r="K178" s="84"/>
      <c r="L178" s="84"/>
      <c r="M178" s="85"/>
      <c r="N178" s="86"/>
    </row>
    <row r="179" spans="1:14" s="87" customFormat="1" ht="25.9" customHeight="1">
      <c r="A179" s="81" t="s">
        <v>165</v>
      </c>
      <c r="B179" s="82"/>
      <c r="C179" s="83">
        <f>적용소요인력!H29</f>
        <v>3.5</v>
      </c>
      <c r="D179" s="55" t="s">
        <v>41</v>
      </c>
      <c r="E179" s="56">
        <f t="shared" si="36"/>
        <v>235459</v>
      </c>
      <c r="F179" s="56">
        <f t="shared" si="37"/>
        <v>824106</v>
      </c>
      <c r="G179" s="84"/>
      <c r="H179" s="84"/>
      <c r="I179" s="56">
        <f>$I$8</f>
        <v>235459</v>
      </c>
      <c r="J179" s="56">
        <f t="shared" si="38"/>
        <v>824106</v>
      </c>
      <c r="K179" s="84"/>
      <c r="L179" s="84"/>
      <c r="M179" s="85"/>
      <c r="N179" s="86"/>
    </row>
    <row r="180" spans="1:14" s="87" customFormat="1" ht="25.9" customHeight="1">
      <c r="A180" s="81" t="s">
        <v>180</v>
      </c>
      <c r="B180" s="82"/>
      <c r="C180" s="83">
        <f>적용소요인력!I29</f>
        <v>0</v>
      </c>
      <c r="D180" s="55" t="s">
        <v>41</v>
      </c>
      <c r="E180" s="56">
        <f t="shared" si="36"/>
        <v>250087</v>
      </c>
      <c r="F180" s="56">
        <f t="shared" si="37"/>
        <v>0</v>
      </c>
      <c r="G180" s="84"/>
      <c r="H180" s="84"/>
      <c r="I180" s="56">
        <f>$I$9</f>
        <v>250087</v>
      </c>
      <c r="J180" s="56">
        <f t="shared" si="38"/>
        <v>0</v>
      </c>
      <c r="K180" s="84"/>
      <c r="L180" s="84"/>
      <c r="M180" s="85"/>
      <c r="N180" s="86"/>
    </row>
    <row r="181" spans="1:14" s="87" customFormat="1" ht="25.9" customHeight="1">
      <c r="A181" s="81" t="s">
        <v>39</v>
      </c>
      <c r="B181" s="82"/>
      <c r="C181" s="83"/>
      <c r="D181" s="55"/>
      <c r="E181" s="56"/>
      <c r="F181" s="56">
        <f t="shared" si="37"/>
        <v>3218838</v>
      </c>
      <c r="G181" s="84"/>
      <c r="H181" s="84"/>
      <c r="I181" s="56"/>
      <c r="J181" s="56">
        <f>SUM(J175:J180)</f>
        <v>3218838</v>
      </c>
      <c r="K181" s="84"/>
      <c r="L181" s="84"/>
      <c r="M181" s="85"/>
      <c r="N181" s="86"/>
    </row>
    <row r="182" spans="1:14" s="87" customFormat="1" ht="25.9" customHeight="1">
      <c r="A182" s="81" t="s">
        <v>45</v>
      </c>
      <c r="B182" s="95">
        <f>$S$10</f>
        <v>0.3</v>
      </c>
      <c r="C182" s="83"/>
      <c r="D182" s="55"/>
      <c r="E182" s="51">
        <f>F182</f>
        <v>3218838</v>
      </c>
      <c r="F182" s="56">
        <f t="shared" si="37"/>
        <v>3218838</v>
      </c>
      <c r="G182" s="82"/>
      <c r="H182" s="82"/>
      <c r="I182" s="56"/>
      <c r="J182" s="56">
        <f>TRUNC(J181*$S$11,0)</f>
        <v>3218838</v>
      </c>
      <c r="K182" s="82"/>
      <c r="L182" s="82"/>
      <c r="M182" s="96"/>
      <c r="N182" s="86"/>
    </row>
    <row r="183" spans="1:14" s="87" customFormat="1" ht="25.9" customHeight="1">
      <c r="A183" s="81"/>
      <c r="B183" s="95"/>
      <c r="C183" s="83"/>
      <c r="D183" s="55"/>
      <c r="E183" s="51"/>
      <c r="F183" s="56"/>
      <c r="G183" s="82"/>
      <c r="H183" s="82"/>
      <c r="I183" s="56"/>
      <c r="J183" s="56"/>
      <c r="K183" s="82"/>
      <c r="L183" s="82"/>
      <c r="M183" s="96"/>
      <c r="N183" s="86"/>
    </row>
    <row r="184" spans="1:14" s="87" customFormat="1" ht="25.9" customHeight="1">
      <c r="A184" s="102" t="s">
        <v>2021</v>
      </c>
      <c r="B184" s="82"/>
      <c r="C184" s="83"/>
      <c r="D184" s="55"/>
      <c r="E184" s="82"/>
      <c r="F184" s="84"/>
      <c r="G184" s="82"/>
      <c r="H184" s="82"/>
      <c r="I184" s="82"/>
      <c r="J184" s="84"/>
      <c r="K184" s="84"/>
      <c r="L184" s="84"/>
      <c r="M184" s="85"/>
      <c r="N184" s="86"/>
    </row>
    <row r="185" spans="1:14" s="87" customFormat="1" ht="25.9" customHeight="1">
      <c r="A185" s="81" t="s">
        <v>150</v>
      </c>
      <c r="B185" s="82"/>
      <c r="C185" s="83">
        <f>적용소요인력!D31</f>
        <v>0.7</v>
      </c>
      <c r="D185" s="55" t="s">
        <v>41</v>
      </c>
      <c r="E185" s="56">
        <f t="shared" ref="E185:F192" si="39">G185+I185+K185</f>
        <v>467217</v>
      </c>
      <c r="F185" s="56">
        <f t="shared" si="39"/>
        <v>327051</v>
      </c>
      <c r="G185" s="84"/>
      <c r="H185" s="84"/>
      <c r="I185" s="56">
        <f>$I$4</f>
        <v>467217</v>
      </c>
      <c r="J185" s="56">
        <f t="shared" ref="J185:J190" si="40">INT(I185*C185)</f>
        <v>327051</v>
      </c>
      <c r="K185" s="84"/>
      <c r="L185" s="84"/>
      <c r="M185" s="85"/>
      <c r="N185" s="86"/>
    </row>
    <row r="186" spans="1:14" s="87" customFormat="1" ht="25.9" customHeight="1">
      <c r="A186" s="81" t="s">
        <v>146</v>
      </c>
      <c r="B186" s="82"/>
      <c r="C186" s="83">
        <f>적용소요인력!E31</f>
        <v>1.3</v>
      </c>
      <c r="D186" s="55" t="s">
        <v>41</v>
      </c>
      <c r="E186" s="56">
        <f t="shared" si="39"/>
        <v>373353</v>
      </c>
      <c r="F186" s="56">
        <f t="shared" si="39"/>
        <v>485358</v>
      </c>
      <c r="G186" s="84"/>
      <c r="H186" s="84"/>
      <c r="I186" s="56">
        <f>$I$5</f>
        <v>373353</v>
      </c>
      <c r="J186" s="56">
        <f t="shared" si="40"/>
        <v>485358</v>
      </c>
      <c r="K186" s="84"/>
      <c r="L186" s="84"/>
      <c r="M186" s="85"/>
      <c r="N186" s="86"/>
    </row>
    <row r="187" spans="1:14" s="87" customFormat="1" ht="25.9" customHeight="1">
      <c r="A187" s="81" t="s">
        <v>139</v>
      </c>
      <c r="B187" s="82"/>
      <c r="C187" s="83">
        <f>적용소요인력!F31</f>
        <v>2.5</v>
      </c>
      <c r="D187" s="55" t="s">
        <v>41</v>
      </c>
      <c r="E187" s="56">
        <f t="shared" si="39"/>
        <v>310884</v>
      </c>
      <c r="F187" s="56">
        <f t="shared" si="39"/>
        <v>777210</v>
      </c>
      <c r="G187" s="84"/>
      <c r="H187" s="84"/>
      <c r="I187" s="56">
        <f>$I$6</f>
        <v>310884</v>
      </c>
      <c r="J187" s="56">
        <f t="shared" si="40"/>
        <v>777210</v>
      </c>
      <c r="K187" s="84"/>
      <c r="L187" s="84"/>
      <c r="M187" s="85"/>
      <c r="N187" s="86"/>
    </row>
    <row r="188" spans="1:14" s="87" customFormat="1" ht="25.9" customHeight="1">
      <c r="A188" s="81" t="s">
        <v>168</v>
      </c>
      <c r="B188" s="82"/>
      <c r="C188" s="83">
        <f>적용소요인력!G31</f>
        <v>3.6</v>
      </c>
      <c r="D188" s="55" t="s">
        <v>41</v>
      </c>
      <c r="E188" s="56">
        <f t="shared" si="39"/>
        <v>295138</v>
      </c>
      <c r="F188" s="56">
        <f t="shared" si="39"/>
        <v>1062496</v>
      </c>
      <c r="G188" s="84"/>
      <c r="H188" s="84"/>
      <c r="I188" s="56">
        <f>$I$7</f>
        <v>295138</v>
      </c>
      <c r="J188" s="56">
        <f t="shared" si="40"/>
        <v>1062496</v>
      </c>
      <c r="K188" s="84"/>
      <c r="L188" s="84"/>
      <c r="M188" s="85"/>
      <c r="N188" s="86"/>
    </row>
    <row r="189" spans="1:14" s="87" customFormat="1" ht="25.9" customHeight="1">
      <c r="A189" s="81" t="s">
        <v>165</v>
      </c>
      <c r="B189" s="82"/>
      <c r="C189" s="83">
        <f>적용소요인력!H31</f>
        <v>1.8</v>
      </c>
      <c r="D189" s="55" t="s">
        <v>41</v>
      </c>
      <c r="E189" s="56">
        <f t="shared" si="39"/>
        <v>235459</v>
      </c>
      <c r="F189" s="56">
        <f t="shared" si="39"/>
        <v>423826</v>
      </c>
      <c r="G189" s="84"/>
      <c r="H189" s="84"/>
      <c r="I189" s="56">
        <f>$I$8</f>
        <v>235459</v>
      </c>
      <c r="J189" s="56">
        <f t="shared" si="40"/>
        <v>423826</v>
      </c>
      <c r="K189" s="84"/>
      <c r="L189" s="84"/>
      <c r="M189" s="85"/>
      <c r="N189" s="86"/>
    </row>
    <row r="190" spans="1:14" s="87" customFormat="1" ht="25.9" customHeight="1">
      <c r="A190" s="81" t="s">
        <v>180</v>
      </c>
      <c r="B190" s="82"/>
      <c r="C190" s="83">
        <f>적용소요인력!I31</f>
        <v>0</v>
      </c>
      <c r="D190" s="55" t="s">
        <v>41</v>
      </c>
      <c r="E190" s="56">
        <f t="shared" si="39"/>
        <v>250087</v>
      </c>
      <c r="F190" s="56">
        <f t="shared" si="39"/>
        <v>0</v>
      </c>
      <c r="G190" s="84"/>
      <c r="H190" s="84"/>
      <c r="I190" s="56">
        <f>$I$9</f>
        <v>250087</v>
      </c>
      <c r="J190" s="56">
        <f t="shared" si="40"/>
        <v>0</v>
      </c>
      <c r="K190" s="84"/>
      <c r="L190" s="84"/>
      <c r="M190" s="85"/>
      <c r="N190" s="86"/>
    </row>
    <row r="191" spans="1:14" s="87" customFormat="1" ht="25.9" customHeight="1">
      <c r="A191" s="81" t="s">
        <v>39</v>
      </c>
      <c r="B191" s="82"/>
      <c r="C191" s="83"/>
      <c r="D191" s="55"/>
      <c r="E191" s="56"/>
      <c r="F191" s="56">
        <f t="shared" si="39"/>
        <v>3075941</v>
      </c>
      <c r="G191" s="84"/>
      <c r="H191" s="84"/>
      <c r="I191" s="56"/>
      <c r="J191" s="56">
        <f>SUM(J185:J190)</f>
        <v>3075941</v>
      </c>
      <c r="K191" s="84"/>
      <c r="L191" s="84"/>
      <c r="M191" s="85"/>
      <c r="N191" s="86"/>
    </row>
    <row r="192" spans="1:14" s="87" customFormat="1" ht="25.9" customHeight="1">
      <c r="A192" s="81" t="s">
        <v>45</v>
      </c>
      <c r="B192" s="95">
        <f>$S$11</f>
        <v>1</v>
      </c>
      <c r="C192" s="83"/>
      <c r="D192" s="55"/>
      <c r="E192" s="51">
        <f>F192</f>
        <v>3075941</v>
      </c>
      <c r="F192" s="56">
        <f t="shared" si="39"/>
        <v>3075941</v>
      </c>
      <c r="G192" s="82"/>
      <c r="H192" s="82"/>
      <c r="I192" s="56"/>
      <c r="J192" s="56">
        <f>TRUNC(J191*$S$11,0)</f>
        <v>3075941</v>
      </c>
      <c r="K192" s="82"/>
      <c r="L192" s="82"/>
      <c r="M192" s="96"/>
      <c r="N192" s="86"/>
    </row>
    <row r="193" spans="1:16" s="87" customFormat="1" ht="25.9" customHeight="1">
      <c r="A193" s="81"/>
      <c r="B193" s="95"/>
      <c r="C193" s="83"/>
      <c r="D193" s="55"/>
      <c r="E193" s="51"/>
      <c r="F193" s="56"/>
      <c r="G193" s="82"/>
      <c r="H193" s="82"/>
      <c r="I193" s="56"/>
      <c r="J193" s="56"/>
      <c r="K193" s="82"/>
      <c r="L193" s="82"/>
      <c r="M193" s="96"/>
      <c r="N193" s="86"/>
    </row>
    <row r="194" spans="1:16" s="87" customFormat="1" ht="25.9" customHeight="1">
      <c r="A194" s="102" t="s">
        <v>2022</v>
      </c>
      <c r="B194" s="82"/>
      <c r="C194" s="83"/>
      <c r="D194" s="55"/>
      <c r="E194" s="84"/>
      <c r="F194" s="84"/>
      <c r="G194" s="84"/>
      <c r="H194" s="84"/>
      <c r="I194" s="84"/>
      <c r="J194" s="84"/>
      <c r="K194" s="88"/>
      <c r="M194" s="101"/>
      <c r="N194" s="86"/>
    </row>
    <row r="195" spans="1:16" s="87" customFormat="1" ht="25.9" customHeight="1">
      <c r="A195" s="81" t="s">
        <v>150</v>
      </c>
      <c r="B195" s="82"/>
      <c r="C195" s="83">
        <f>적용소요인력!D32</f>
        <v>1.1000000000000001</v>
      </c>
      <c r="D195" s="55" t="s">
        <v>41</v>
      </c>
      <c r="E195" s="56">
        <f t="shared" ref="E195:E200" si="41">G195+I195+K195</f>
        <v>467217</v>
      </c>
      <c r="F195" s="56">
        <f t="shared" ref="F195:F202" si="42">H195+J195+L195</f>
        <v>513938</v>
      </c>
      <c r="G195" s="84"/>
      <c r="H195" s="84"/>
      <c r="I195" s="56">
        <f>$I$4</f>
        <v>467217</v>
      </c>
      <c r="J195" s="56">
        <f t="shared" ref="J195:J200" si="43">INT(I195*C195)</f>
        <v>513938</v>
      </c>
      <c r="M195" s="101"/>
      <c r="N195" s="86"/>
    </row>
    <row r="196" spans="1:16" s="87" customFormat="1" ht="25.9" customHeight="1">
      <c r="A196" s="81" t="s">
        <v>146</v>
      </c>
      <c r="B196" s="82"/>
      <c r="C196" s="83">
        <f>적용소요인력!E32</f>
        <v>1.7</v>
      </c>
      <c r="D196" s="55" t="s">
        <v>41</v>
      </c>
      <c r="E196" s="56">
        <f t="shared" si="41"/>
        <v>373353</v>
      </c>
      <c r="F196" s="56">
        <f t="shared" si="42"/>
        <v>634700</v>
      </c>
      <c r="G196" s="84"/>
      <c r="H196" s="84"/>
      <c r="I196" s="56">
        <f>$I$5</f>
        <v>373353</v>
      </c>
      <c r="J196" s="56">
        <f t="shared" si="43"/>
        <v>634700</v>
      </c>
      <c r="M196" s="101"/>
      <c r="N196" s="86"/>
    </row>
    <row r="197" spans="1:16" s="87" customFormat="1" ht="25.9" customHeight="1">
      <c r="A197" s="81" t="s">
        <v>139</v>
      </c>
      <c r="B197" s="82"/>
      <c r="C197" s="83">
        <f>적용소요인력!F32</f>
        <v>2.7</v>
      </c>
      <c r="D197" s="55" t="s">
        <v>41</v>
      </c>
      <c r="E197" s="56">
        <f t="shared" si="41"/>
        <v>310884</v>
      </c>
      <c r="F197" s="56">
        <f t="shared" si="42"/>
        <v>839386</v>
      </c>
      <c r="G197" s="84"/>
      <c r="H197" s="84"/>
      <c r="I197" s="56">
        <f>$I$6</f>
        <v>310884</v>
      </c>
      <c r="J197" s="56">
        <f t="shared" si="43"/>
        <v>839386</v>
      </c>
      <c r="M197" s="101"/>
      <c r="N197" s="86"/>
    </row>
    <row r="198" spans="1:16" s="87" customFormat="1" ht="25.9" customHeight="1">
      <c r="A198" s="81" t="s">
        <v>168</v>
      </c>
      <c r="B198" s="82"/>
      <c r="C198" s="83">
        <f>적용소요인력!G32</f>
        <v>3</v>
      </c>
      <c r="D198" s="55" t="s">
        <v>41</v>
      </c>
      <c r="E198" s="56">
        <f t="shared" si="41"/>
        <v>295138</v>
      </c>
      <c r="F198" s="56">
        <f t="shared" si="42"/>
        <v>885414</v>
      </c>
      <c r="G198" s="84"/>
      <c r="H198" s="84"/>
      <c r="I198" s="56">
        <f>$I$7</f>
        <v>295138</v>
      </c>
      <c r="J198" s="56">
        <f t="shared" si="43"/>
        <v>885414</v>
      </c>
      <c r="M198" s="101"/>
      <c r="N198" s="86"/>
    </row>
    <row r="199" spans="1:16" s="87" customFormat="1" ht="25.9" customHeight="1">
      <c r="A199" s="81" t="s">
        <v>165</v>
      </c>
      <c r="B199" s="82"/>
      <c r="C199" s="83">
        <f>적용소요인력!H32</f>
        <v>2.2000000000000002</v>
      </c>
      <c r="D199" s="55" t="s">
        <v>41</v>
      </c>
      <c r="E199" s="56">
        <f t="shared" si="41"/>
        <v>235459</v>
      </c>
      <c r="F199" s="56">
        <f t="shared" si="42"/>
        <v>518009</v>
      </c>
      <c r="G199" s="84"/>
      <c r="H199" s="84"/>
      <c r="I199" s="56">
        <f>$I$8</f>
        <v>235459</v>
      </c>
      <c r="J199" s="56">
        <f t="shared" si="43"/>
        <v>518009</v>
      </c>
      <c r="M199" s="101"/>
      <c r="N199" s="86"/>
    </row>
    <row r="200" spans="1:16" s="87" customFormat="1" ht="25.9" customHeight="1">
      <c r="A200" s="81" t="s">
        <v>179</v>
      </c>
      <c r="B200" s="82"/>
      <c r="C200" s="83">
        <f>적용소요인력!I32</f>
        <v>0</v>
      </c>
      <c r="D200" s="55" t="s">
        <v>41</v>
      </c>
      <c r="E200" s="56">
        <f t="shared" si="41"/>
        <v>250087</v>
      </c>
      <c r="F200" s="56">
        <f t="shared" si="42"/>
        <v>0</v>
      </c>
      <c r="G200" s="84"/>
      <c r="H200" s="84"/>
      <c r="I200" s="56">
        <f>$I$9</f>
        <v>250087</v>
      </c>
      <c r="J200" s="56">
        <f t="shared" si="43"/>
        <v>0</v>
      </c>
      <c r="M200" s="101"/>
      <c r="N200" s="86"/>
    </row>
    <row r="201" spans="1:16" s="87" customFormat="1" ht="25.9" customHeight="1">
      <c r="A201" s="81" t="s">
        <v>39</v>
      </c>
      <c r="B201" s="82"/>
      <c r="C201" s="83"/>
      <c r="D201" s="55"/>
      <c r="E201" s="56"/>
      <c r="F201" s="56">
        <f t="shared" si="42"/>
        <v>3391447</v>
      </c>
      <c r="G201" s="84"/>
      <c r="H201" s="84"/>
      <c r="I201" s="56"/>
      <c r="J201" s="56">
        <f>SUM(J195:J200)</f>
        <v>3391447</v>
      </c>
      <c r="M201" s="101"/>
      <c r="N201" s="86"/>
    </row>
    <row r="202" spans="1:16" s="87" customFormat="1" ht="25.9" customHeight="1">
      <c r="A202" s="81" t="s">
        <v>45</v>
      </c>
      <c r="B202" s="95">
        <f>$S$11</f>
        <v>1</v>
      </c>
      <c r="C202" s="83"/>
      <c r="D202" s="55"/>
      <c r="E202" s="51">
        <f>F202</f>
        <v>1017434</v>
      </c>
      <c r="F202" s="56">
        <f t="shared" si="42"/>
        <v>1017434</v>
      </c>
      <c r="G202" s="82"/>
      <c r="H202" s="82"/>
      <c r="I202" s="56"/>
      <c r="J202" s="56">
        <f>TRUNC(J201*$S$10,0)</f>
        <v>1017434</v>
      </c>
      <c r="M202" s="101"/>
      <c r="N202" s="86"/>
    </row>
    <row r="203" spans="1:16" ht="25.9" customHeight="1">
      <c r="A203" s="81"/>
      <c r="B203" s="95"/>
      <c r="C203" s="83"/>
      <c r="D203" s="55"/>
      <c r="E203" s="51"/>
      <c r="F203" s="56"/>
      <c r="G203" s="82"/>
      <c r="H203" s="82"/>
      <c r="I203" s="56"/>
      <c r="J203" s="56"/>
      <c r="K203" s="87"/>
      <c r="L203" s="87"/>
      <c r="M203" s="101"/>
      <c r="N203" s="86"/>
      <c r="O203" s="87"/>
      <c r="P203" s="87"/>
    </row>
    <row r="204" spans="1:16" ht="24" customHeight="1">
      <c r="A204" s="102" t="s">
        <v>2023</v>
      </c>
      <c r="B204" s="87"/>
      <c r="C204" s="103"/>
      <c r="D204" s="87"/>
      <c r="E204" s="87"/>
      <c r="F204" s="87"/>
      <c r="G204" s="87"/>
      <c r="H204" s="87"/>
      <c r="I204" s="87"/>
      <c r="J204" s="87"/>
      <c r="K204" s="88"/>
      <c r="L204" s="87"/>
      <c r="M204" s="101"/>
    </row>
    <row r="205" spans="1:16" ht="24" customHeight="1">
      <c r="A205" s="62" t="s">
        <v>85</v>
      </c>
      <c r="B205" s="87"/>
      <c r="C205" s="103">
        <v>1</v>
      </c>
      <c r="D205" s="87" t="s">
        <v>56</v>
      </c>
      <c r="E205" s="87"/>
      <c r="F205" s="87"/>
      <c r="G205" s="87"/>
      <c r="H205" s="87"/>
      <c r="I205" s="104">
        <f>'산근1 직접경비'!H8</f>
        <v>900000</v>
      </c>
      <c r="J205" s="56">
        <f>INT(I205*C205)</f>
        <v>900000</v>
      </c>
      <c r="K205" s="87"/>
      <c r="L205" s="87"/>
      <c r="M205" s="101"/>
    </row>
    <row r="206" spans="1:16" ht="24" customHeight="1">
      <c r="A206" s="81" t="s">
        <v>39</v>
      </c>
      <c r="B206" s="82"/>
      <c r="C206" s="83"/>
      <c r="D206" s="55"/>
      <c r="E206" s="56"/>
      <c r="F206" s="56">
        <f>H206+J206+L206</f>
        <v>900000</v>
      </c>
      <c r="G206" s="84"/>
      <c r="H206" s="84"/>
      <c r="I206" s="56"/>
      <c r="J206" s="56">
        <f>SUM(J205)</f>
        <v>900000</v>
      </c>
      <c r="K206" s="87"/>
      <c r="L206" s="87"/>
      <c r="M206" s="101"/>
    </row>
    <row r="207" spans="1:16" ht="24" customHeight="1">
      <c r="A207" s="81" t="s">
        <v>45</v>
      </c>
      <c r="B207" s="95">
        <f>$S$11</f>
        <v>1</v>
      </c>
      <c r="C207" s="83"/>
      <c r="D207" s="55"/>
      <c r="E207" s="51">
        <f>F207</f>
        <v>900000</v>
      </c>
      <c r="F207" s="56">
        <f>H207+J207+L207</f>
        <v>900000</v>
      </c>
      <c r="G207" s="82"/>
      <c r="H207" s="82"/>
      <c r="I207" s="56"/>
      <c r="J207" s="56">
        <f>TRUNC(J206*$S$11,0)</f>
        <v>900000</v>
      </c>
      <c r="K207" s="87"/>
      <c r="L207" s="87"/>
      <c r="M207" s="101"/>
    </row>
    <row r="208" spans="1:16" ht="24.95" customHeight="1">
      <c r="A208" s="81"/>
      <c r="B208" s="95"/>
      <c r="C208" s="83"/>
      <c r="D208" s="55"/>
      <c r="E208" s="51"/>
      <c r="F208" s="56"/>
      <c r="G208" s="82"/>
      <c r="H208" s="82"/>
      <c r="I208" s="56"/>
      <c r="J208" s="56"/>
      <c r="K208" s="87"/>
      <c r="L208" s="87"/>
      <c r="M208" s="101"/>
    </row>
    <row r="209" spans="1:13" ht="24.95" customHeight="1">
      <c r="A209" s="81"/>
      <c r="B209" s="95"/>
      <c r="C209" s="83"/>
      <c r="D209" s="55"/>
      <c r="E209" s="51"/>
      <c r="F209" s="56"/>
      <c r="G209" s="82"/>
      <c r="H209" s="82"/>
      <c r="I209" s="56"/>
      <c r="J209" s="56"/>
      <c r="K209" s="87"/>
      <c r="L209" s="87"/>
      <c r="M209" s="101"/>
    </row>
  </sheetData>
  <mergeCells count="11">
    <mergeCell ref="A1:A2"/>
    <mergeCell ref="B1:B2"/>
    <mergeCell ref="C1:C2"/>
    <mergeCell ref="D1:D2"/>
    <mergeCell ref="E1:F1"/>
    <mergeCell ref="G1:H1"/>
    <mergeCell ref="I1:J1"/>
    <mergeCell ref="K1:L1"/>
    <mergeCell ref="M1:M2"/>
    <mergeCell ref="P1:Q1"/>
    <mergeCell ref="P2:Q2"/>
  </mergeCells>
  <phoneticPr fontId="181" type="noConversion"/>
  <printOptions horizontalCentered="1"/>
  <pageMargins left="7.874015748031496E-2" right="7.874015748031496E-2" top="0.59055118110236227" bottom="0.39370078740157483" header="0.39370078740157483" footer="0.19685039370078741"/>
  <pageSetup paperSize="9" scale="91" orientation="landscape" r:id="rId1"/>
  <headerFooter>
    <oddFooter>&amp;N페이지 중 &amp;P페이지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보정계수_산출">
    <tabColor rgb="FF99CC00"/>
    <pageSetUpPr fitToPage="1"/>
  </sheetPr>
  <dimension ref="A1:AB101"/>
  <sheetViews>
    <sheetView view="pageBreakPreview" topLeftCell="A49" zoomScale="40" zoomScaleNormal="100" zoomScaleSheetLayoutView="40" workbookViewId="0">
      <selection activeCell="H70" sqref="A1:H70"/>
    </sheetView>
  </sheetViews>
  <sheetFormatPr defaultColWidth="8.88671875" defaultRowHeight="13.5"/>
  <cols>
    <col min="1" max="1" width="23.21875" style="107" customWidth="1"/>
    <col min="2" max="2" width="22.88671875" style="107" customWidth="1"/>
    <col min="3" max="3" width="14.21875" style="107" bestFit="1" customWidth="1"/>
    <col min="4" max="4" width="9.109375" style="107" customWidth="1"/>
    <col min="5" max="28" width="6.77734375" style="107" customWidth="1"/>
    <col min="29" max="263" width="8.88671875" style="107"/>
    <col min="264" max="264" width="23.21875" style="107" customWidth="1"/>
    <col min="265" max="266" width="6.77734375" style="107" customWidth="1"/>
    <col min="267" max="267" width="9.109375" style="107" customWidth="1"/>
    <col min="268" max="275" width="6.77734375" style="107" customWidth="1"/>
    <col min="276" max="276" width="12.77734375" style="107" customWidth="1"/>
    <col min="277" max="277" width="8.88671875" style="107"/>
    <col min="278" max="278" width="9.109375" style="107" bestFit="1" customWidth="1"/>
    <col min="279" max="519" width="8.88671875" style="107"/>
    <col min="520" max="520" width="23.21875" style="107" customWidth="1"/>
    <col min="521" max="522" width="6.77734375" style="107" customWidth="1"/>
    <col min="523" max="523" width="9.109375" style="107" customWidth="1"/>
    <col min="524" max="531" width="6.77734375" style="107" customWidth="1"/>
    <col min="532" max="532" width="12.77734375" style="107" customWidth="1"/>
    <col min="533" max="533" width="8.88671875" style="107"/>
    <col min="534" max="534" width="9.109375" style="107" bestFit="1" customWidth="1"/>
    <col min="535" max="775" width="8.88671875" style="107"/>
    <col min="776" max="776" width="23.21875" style="107" customWidth="1"/>
    <col min="777" max="778" width="6.77734375" style="107" customWidth="1"/>
    <col min="779" max="779" width="9.109375" style="107" customWidth="1"/>
    <col min="780" max="787" width="6.77734375" style="107" customWidth="1"/>
    <col min="788" max="788" width="12.77734375" style="107" customWidth="1"/>
    <col min="789" max="789" width="8.88671875" style="107"/>
    <col min="790" max="790" width="9.109375" style="107" bestFit="1" customWidth="1"/>
    <col min="791" max="1031" width="8.88671875" style="107"/>
    <col min="1032" max="1032" width="23.21875" style="107" customWidth="1"/>
    <col min="1033" max="1034" width="6.77734375" style="107" customWidth="1"/>
    <col min="1035" max="1035" width="9.109375" style="107" customWidth="1"/>
    <col min="1036" max="1043" width="6.77734375" style="107" customWidth="1"/>
    <col min="1044" max="1044" width="12.77734375" style="107" customWidth="1"/>
    <col min="1045" max="1045" width="8.88671875" style="107"/>
    <col min="1046" max="1046" width="9.109375" style="107" bestFit="1" customWidth="1"/>
    <col min="1047" max="1287" width="8.88671875" style="107"/>
    <col min="1288" max="1288" width="23.21875" style="107" customWidth="1"/>
    <col min="1289" max="1290" width="6.77734375" style="107" customWidth="1"/>
    <col min="1291" max="1291" width="9.109375" style="107" customWidth="1"/>
    <col min="1292" max="1299" width="6.77734375" style="107" customWidth="1"/>
    <col min="1300" max="1300" width="12.77734375" style="107" customWidth="1"/>
    <col min="1301" max="1301" width="8.88671875" style="107"/>
    <col min="1302" max="1302" width="9.109375" style="107" bestFit="1" customWidth="1"/>
    <col min="1303" max="1543" width="8.88671875" style="107"/>
    <col min="1544" max="1544" width="23.21875" style="107" customWidth="1"/>
    <col min="1545" max="1546" width="6.77734375" style="107" customWidth="1"/>
    <col min="1547" max="1547" width="9.109375" style="107" customWidth="1"/>
    <col min="1548" max="1555" width="6.77734375" style="107" customWidth="1"/>
    <col min="1556" max="1556" width="12.77734375" style="107" customWidth="1"/>
    <col min="1557" max="1557" width="8.88671875" style="107"/>
    <col min="1558" max="1558" width="9.109375" style="107" bestFit="1" customWidth="1"/>
    <col min="1559" max="1799" width="8.88671875" style="107"/>
    <col min="1800" max="1800" width="23.21875" style="107" customWidth="1"/>
    <col min="1801" max="1802" width="6.77734375" style="107" customWidth="1"/>
    <col min="1803" max="1803" width="9.109375" style="107" customWidth="1"/>
    <col min="1804" max="1811" width="6.77734375" style="107" customWidth="1"/>
    <col min="1812" max="1812" width="12.77734375" style="107" customWidth="1"/>
    <col min="1813" max="1813" width="8.88671875" style="107"/>
    <col min="1814" max="1814" width="9.109375" style="107" bestFit="1" customWidth="1"/>
    <col min="1815" max="2055" width="8.88671875" style="107"/>
    <col min="2056" max="2056" width="23.21875" style="107" customWidth="1"/>
    <col min="2057" max="2058" width="6.77734375" style="107" customWidth="1"/>
    <col min="2059" max="2059" width="9.109375" style="107" customWidth="1"/>
    <col min="2060" max="2067" width="6.77734375" style="107" customWidth="1"/>
    <col min="2068" max="2068" width="12.77734375" style="107" customWidth="1"/>
    <col min="2069" max="2069" width="8.88671875" style="107"/>
    <col min="2070" max="2070" width="9.109375" style="107" bestFit="1" customWidth="1"/>
    <col min="2071" max="2311" width="8.88671875" style="107"/>
    <col min="2312" max="2312" width="23.21875" style="107" customWidth="1"/>
    <col min="2313" max="2314" width="6.77734375" style="107" customWidth="1"/>
    <col min="2315" max="2315" width="9.109375" style="107" customWidth="1"/>
    <col min="2316" max="2323" width="6.77734375" style="107" customWidth="1"/>
    <col min="2324" max="2324" width="12.77734375" style="107" customWidth="1"/>
    <col min="2325" max="2325" width="8.88671875" style="107"/>
    <col min="2326" max="2326" width="9.109375" style="107" bestFit="1" customWidth="1"/>
    <col min="2327" max="2567" width="8.88671875" style="107"/>
    <col min="2568" max="2568" width="23.21875" style="107" customWidth="1"/>
    <col min="2569" max="2570" width="6.77734375" style="107" customWidth="1"/>
    <col min="2571" max="2571" width="9.109375" style="107" customWidth="1"/>
    <col min="2572" max="2579" width="6.77734375" style="107" customWidth="1"/>
    <col min="2580" max="2580" width="12.77734375" style="107" customWidth="1"/>
    <col min="2581" max="2581" width="8.88671875" style="107"/>
    <col min="2582" max="2582" width="9.109375" style="107" bestFit="1" customWidth="1"/>
    <col min="2583" max="2823" width="8.88671875" style="107"/>
    <col min="2824" max="2824" width="23.21875" style="107" customWidth="1"/>
    <col min="2825" max="2826" width="6.77734375" style="107" customWidth="1"/>
    <col min="2827" max="2827" width="9.109375" style="107" customWidth="1"/>
    <col min="2828" max="2835" width="6.77734375" style="107" customWidth="1"/>
    <col min="2836" max="2836" width="12.77734375" style="107" customWidth="1"/>
    <col min="2837" max="2837" width="8.88671875" style="107"/>
    <col min="2838" max="2838" width="9.109375" style="107" bestFit="1" customWidth="1"/>
    <col min="2839" max="3079" width="8.88671875" style="107"/>
    <col min="3080" max="3080" width="23.21875" style="107" customWidth="1"/>
    <col min="3081" max="3082" width="6.77734375" style="107" customWidth="1"/>
    <col min="3083" max="3083" width="9.109375" style="107" customWidth="1"/>
    <col min="3084" max="3091" width="6.77734375" style="107" customWidth="1"/>
    <col min="3092" max="3092" width="12.77734375" style="107" customWidth="1"/>
    <col min="3093" max="3093" width="8.88671875" style="107"/>
    <col min="3094" max="3094" width="9.109375" style="107" bestFit="1" customWidth="1"/>
    <col min="3095" max="3335" width="8.88671875" style="107"/>
    <col min="3336" max="3336" width="23.21875" style="107" customWidth="1"/>
    <col min="3337" max="3338" width="6.77734375" style="107" customWidth="1"/>
    <col min="3339" max="3339" width="9.109375" style="107" customWidth="1"/>
    <col min="3340" max="3347" width="6.77734375" style="107" customWidth="1"/>
    <col min="3348" max="3348" width="12.77734375" style="107" customWidth="1"/>
    <col min="3349" max="3349" width="8.88671875" style="107"/>
    <col min="3350" max="3350" width="9.109375" style="107" bestFit="1" customWidth="1"/>
    <col min="3351" max="3591" width="8.88671875" style="107"/>
    <col min="3592" max="3592" width="23.21875" style="107" customWidth="1"/>
    <col min="3593" max="3594" width="6.77734375" style="107" customWidth="1"/>
    <col min="3595" max="3595" width="9.109375" style="107" customWidth="1"/>
    <col min="3596" max="3603" width="6.77734375" style="107" customWidth="1"/>
    <col min="3604" max="3604" width="12.77734375" style="107" customWidth="1"/>
    <col min="3605" max="3605" width="8.88671875" style="107"/>
    <col min="3606" max="3606" width="9.109375" style="107" bestFit="1" customWidth="1"/>
    <col min="3607" max="3847" width="8.88671875" style="107"/>
    <col min="3848" max="3848" width="23.21875" style="107" customWidth="1"/>
    <col min="3849" max="3850" width="6.77734375" style="107" customWidth="1"/>
    <col min="3851" max="3851" width="9.109375" style="107" customWidth="1"/>
    <col min="3852" max="3859" width="6.77734375" style="107" customWidth="1"/>
    <col min="3860" max="3860" width="12.77734375" style="107" customWidth="1"/>
    <col min="3861" max="3861" width="8.88671875" style="107"/>
    <col min="3862" max="3862" width="9.109375" style="107" bestFit="1" customWidth="1"/>
    <col min="3863" max="4103" width="8.88671875" style="107"/>
    <col min="4104" max="4104" width="23.21875" style="107" customWidth="1"/>
    <col min="4105" max="4106" width="6.77734375" style="107" customWidth="1"/>
    <col min="4107" max="4107" width="9.109375" style="107" customWidth="1"/>
    <col min="4108" max="4115" width="6.77734375" style="107" customWidth="1"/>
    <col min="4116" max="4116" width="12.77734375" style="107" customWidth="1"/>
    <col min="4117" max="4117" width="8.88671875" style="107"/>
    <col min="4118" max="4118" width="9.109375" style="107" bestFit="1" customWidth="1"/>
    <col min="4119" max="4359" width="8.88671875" style="107"/>
    <col min="4360" max="4360" width="23.21875" style="107" customWidth="1"/>
    <col min="4361" max="4362" width="6.77734375" style="107" customWidth="1"/>
    <col min="4363" max="4363" width="9.109375" style="107" customWidth="1"/>
    <col min="4364" max="4371" width="6.77734375" style="107" customWidth="1"/>
    <col min="4372" max="4372" width="12.77734375" style="107" customWidth="1"/>
    <col min="4373" max="4373" width="8.88671875" style="107"/>
    <col min="4374" max="4374" width="9.109375" style="107" bestFit="1" customWidth="1"/>
    <col min="4375" max="4615" width="8.88671875" style="107"/>
    <col min="4616" max="4616" width="23.21875" style="107" customWidth="1"/>
    <col min="4617" max="4618" width="6.77734375" style="107" customWidth="1"/>
    <col min="4619" max="4619" width="9.109375" style="107" customWidth="1"/>
    <col min="4620" max="4627" width="6.77734375" style="107" customWidth="1"/>
    <col min="4628" max="4628" width="12.77734375" style="107" customWidth="1"/>
    <col min="4629" max="4629" width="8.88671875" style="107"/>
    <col min="4630" max="4630" width="9.109375" style="107" bestFit="1" customWidth="1"/>
    <col min="4631" max="4871" width="8.88671875" style="107"/>
    <col min="4872" max="4872" width="23.21875" style="107" customWidth="1"/>
    <col min="4873" max="4874" width="6.77734375" style="107" customWidth="1"/>
    <col min="4875" max="4875" width="9.109375" style="107" customWidth="1"/>
    <col min="4876" max="4883" width="6.77734375" style="107" customWidth="1"/>
    <col min="4884" max="4884" width="12.77734375" style="107" customWidth="1"/>
    <col min="4885" max="4885" width="8.88671875" style="107"/>
    <col min="4886" max="4886" width="9.109375" style="107" bestFit="1" customWidth="1"/>
    <col min="4887" max="5127" width="8.88671875" style="107"/>
    <col min="5128" max="5128" width="23.21875" style="107" customWidth="1"/>
    <col min="5129" max="5130" width="6.77734375" style="107" customWidth="1"/>
    <col min="5131" max="5131" width="9.109375" style="107" customWidth="1"/>
    <col min="5132" max="5139" width="6.77734375" style="107" customWidth="1"/>
    <col min="5140" max="5140" width="12.77734375" style="107" customWidth="1"/>
    <col min="5141" max="5141" width="8.88671875" style="107"/>
    <col min="5142" max="5142" width="9.109375" style="107" bestFit="1" customWidth="1"/>
    <col min="5143" max="5383" width="8.88671875" style="107"/>
    <col min="5384" max="5384" width="23.21875" style="107" customWidth="1"/>
    <col min="5385" max="5386" width="6.77734375" style="107" customWidth="1"/>
    <col min="5387" max="5387" width="9.109375" style="107" customWidth="1"/>
    <col min="5388" max="5395" width="6.77734375" style="107" customWidth="1"/>
    <col min="5396" max="5396" width="12.77734375" style="107" customWidth="1"/>
    <col min="5397" max="5397" width="8.88671875" style="107"/>
    <col min="5398" max="5398" width="9.109375" style="107" bestFit="1" customWidth="1"/>
    <col min="5399" max="5639" width="8.88671875" style="107"/>
    <col min="5640" max="5640" width="23.21875" style="107" customWidth="1"/>
    <col min="5641" max="5642" width="6.77734375" style="107" customWidth="1"/>
    <col min="5643" max="5643" width="9.109375" style="107" customWidth="1"/>
    <col min="5644" max="5651" width="6.77734375" style="107" customWidth="1"/>
    <col min="5652" max="5652" width="12.77734375" style="107" customWidth="1"/>
    <col min="5653" max="5653" width="8.88671875" style="107"/>
    <col min="5654" max="5654" width="9.109375" style="107" bestFit="1" customWidth="1"/>
    <col min="5655" max="5895" width="8.88671875" style="107"/>
    <col min="5896" max="5896" width="23.21875" style="107" customWidth="1"/>
    <col min="5897" max="5898" width="6.77734375" style="107" customWidth="1"/>
    <col min="5899" max="5899" width="9.109375" style="107" customWidth="1"/>
    <col min="5900" max="5907" width="6.77734375" style="107" customWidth="1"/>
    <col min="5908" max="5908" width="12.77734375" style="107" customWidth="1"/>
    <col min="5909" max="5909" width="8.88671875" style="107"/>
    <col min="5910" max="5910" width="9.109375" style="107" bestFit="1" customWidth="1"/>
    <col min="5911" max="6151" width="8.88671875" style="107"/>
    <col min="6152" max="6152" width="23.21875" style="107" customWidth="1"/>
    <col min="6153" max="6154" width="6.77734375" style="107" customWidth="1"/>
    <col min="6155" max="6155" width="9.109375" style="107" customWidth="1"/>
    <col min="6156" max="6163" width="6.77734375" style="107" customWidth="1"/>
    <col min="6164" max="6164" width="12.77734375" style="107" customWidth="1"/>
    <col min="6165" max="6165" width="8.88671875" style="107"/>
    <col min="6166" max="6166" width="9.109375" style="107" bestFit="1" customWidth="1"/>
    <col min="6167" max="6407" width="8.88671875" style="107"/>
    <col min="6408" max="6408" width="23.21875" style="107" customWidth="1"/>
    <col min="6409" max="6410" width="6.77734375" style="107" customWidth="1"/>
    <col min="6411" max="6411" width="9.109375" style="107" customWidth="1"/>
    <col min="6412" max="6419" width="6.77734375" style="107" customWidth="1"/>
    <col min="6420" max="6420" width="12.77734375" style="107" customWidth="1"/>
    <col min="6421" max="6421" width="8.88671875" style="107"/>
    <col min="6422" max="6422" width="9.109375" style="107" bestFit="1" customWidth="1"/>
    <col min="6423" max="6663" width="8.88671875" style="107"/>
    <col min="6664" max="6664" width="23.21875" style="107" customWidth="1"/>
    <col min="6665" max="6666" width="6.77734375" style="107" customWidth="1"/>
    <col min="6667" max="6667" width="9.109375" style="107" customWidth="1"/>
    <col min="6668" max="6675" width="6.77734375" style="107" customWidth="1"/>
    <col min="6676" max="6676" width="12.77734375" style="107" customWidth="1"/>
    <col min="6677" max="6677" width="8.88671875" style="107"/>
    <col min="6678" max="6678" width="9.109375" style="107" bestFit="1" customWidth="1"/>
    <col min="6679" max="6919" width="8.88671875" style="107"/>
    <col min="6920" max="6920" width="23.21875" style="107" customWidth="1"/>
    <col min="6921" max="6922" width="6.77734375" style="107" customWidth="1"/>
    <col min="6923" max="6923" width="9.109375" style="107" customWidth="1"/>
    <col min="6924" max="6931" width="6.77734375" style="107" customWidth="1"/>
    <col min="6932" max="6932" width="12.77734375" style="107" customWidth="1"/>
    <col min="6933" max="6933" width="8.88671875" style="107"/>
    <col min="6934" max="6934" width="9.109375" style="107" bestFit="1" customWidth="1"/>
    <col min="6935" max="7175" width="8.88671875" style="107"/>
    <col min="7176" max="7176" width="23.21875" style="107" customWidth="1"/>
    <col min="7177" max="7178" width="6.77734375" style="107" customWidth="1"/>
    <col min="7179" max="7179" width="9.109375" style="107" customWidth="1"/>
    <col min="7180" max="7187" width="6.77734375" style="107" customWidth="1"/>
    <col min="7188" max="7188" width="12.77734375" style="107" customWidth="1"/>
    <col min="7189" max="7189" width="8.88671875" style="107"/>
    <col min="7190" max="7190" width="9.109375" style="107" bestFit="1" customWidth="1"/>
    <col min="7191" max="7431" width="8.88671875" style="107"/>
    <col min="7432" max="7432" width="23.21875" style="107" customWidth="1"/>
    <col min="7433" max="7434" width="6.77734375" style="107" customWidth="1"/>
    <col min="7435" max="7435" width="9.109375" style="107" customWidth="1"/>
    <col min="7436" max="7443" width="6.77734375" style="107" customWidth="1"/>
    <col min="7444" max="7444" width="12.77734375" style="107" customWidth="1"/>
    <col min="7445" max="7445" width="8.88671875" style="107"/>
    <col min="7446" max="7446" width="9.109375" style="107" bestFit="1" customWidth="1"/>
    <col min="7447" max="7687" width="8.88671875" style="107"/>
    <col min="7688" max="7688" width="23.21875" style="107" customWidth="1"/>
    <col min="7689" max="7690" width="6.77734375" style="107" customWidth="1"/>
    <col min="7691" max="7691" width="9.109375" style="107" customWidth="1"/>
    <col min="7692" max="7699" width="6.77734375" style="107" customWidth="1"/>
    <col min="7700" max="7700" width="12.77734375" style="107" customWidth="1"/>
    <col min="7701" max="7701" width="8.88671875" style="107"/>
    <col min="7702" max="7702" width="9.109375" style="107" bestFit="1" customWidth="1"/>
    <col min="7703" max="7943" width="8.88671875" style="107"/>
    <col min="7944" max="7944" width="23.21875" style="107" customWidth="1"/>
    <col min="7945" max="7946" width="6.77734375" style="107" customWidth="1"/>
    <col min="7947" max="7947" width="9.109375" style="107" customWidth="1"/>
    <col min="7948" max="7955" width="6.77734375" style="107" customWidth="1"/>
    <col min="7956" max="7956" width="12.77734375" style="107" customWidth="1"/>
    <col min="7957" max="7957" width="8.88671875" style="107"/>
    <col min="7958" max="7958" width="9.109375" style="107" bestFit="1" customWidth="1"/>
    <col min="7959" max="8199" width="8.88671875" style="107"/>
    <col min="8200" max="8200" width="23.21875" style="107" customWidth="1"/>
    <col min="8201" max="8202" width="6.77734375" style="107" customWidth="1"/>
    <col min="8203" max="8203" width="9.109375" style="107" customWidth="1"/>
    <col min="8204" max="8211" width="6.77734375" style="107" customWidth="1"/>
    <col min="8212" max="8212" width="12.77734375" style="107" customWidth="1"/>
    <col min="8213" max="8213" width="8.88671875" style="107"/>
    <col min="8214" max="8214" width="9.109375" style="107" bestFit="1" customWidth="1"/>
    <col min="8215" max="8455" width="8.88671875" style="107"/>
    <col min="8456" max="8456" width="23.21875" style="107" customWidth="1"/>
    <col min="8457" max="8458" width="6.77734375" style="107" customWidth="1"/>
    <col min="8459" max="8459" width="9.109375" style="107" customWidth="1"/>
    <col min="8460" max="8467" width="6.77734375" style="107" customWidth="1"/>
    <col min="8468" max="8468" width="12.77734375" style="107" customWidth="1"/>
    <col min="8469" max="8469" width="8.88671875" style="107"/>
    <col min="8470" max="8470" width="9.109375" style="107" bestFit="1" customWidth="1"/>
    <col min="8471" max="8711" width="8.88671875" style="107"/>
    <col min="8712" max="8712" width="23.21875" style="107" customWidth="1"/>
    <col min="8713" max="8714" width="6.77734375" style="107" customWidth="1"/>
    <col min="8715" max="8715" width="9.109375" style="107" customWidth="1"/>
    <col min="8716" max="8723" width="6.77734375" style="107" customWidth="1"/>
    <col min="8724" max="8724" width="12.77734375" style="107" customWidth="1"/>
    <col min="8725" max="8725" width="8.88671875" style="107"/>
    <col min="8726" max="8726" width="9.109375" style="107" bestFit="1" customWidth="1"/>
    <col min="8727" max="8967" width="8.88671875" style="107"/>
    <col min="8968" max="8968" width="23.21875" style="107" customWidth="1"/>
    <col min="8969" max="8970" width="6.77734375" style="107" customWidth="1"/>
    <col min="8971" max="8971" width="9.109375" style="107" customWidth="1"/>
    <col min="8972" max="8979" width="6.77734375" style="107" customWidth="1"/>
    <col min="8980" max="8980" width="12.77734375" style="107" customWidth="1"/>
    <col min="8981" max="8981" width="8.88671875" style="107"/>
    <col min="8982" max="8982" width="9.109375" style="107" bestFit="1" customWidth="1"/>
    <col min="8983" max="9223" width="8.88671875" style="107"/>
    <col min="9224" max="9224" width="23.21875" style="107" customWidth="1"/>
    <col min="9225" max="9226" width="6.77734375" style="107" customWidth="1"/>
    <col min="9227" max="9227" width="9.109375" style="107" customWidth="1"/>
    <col min="9228" max="9235" width="6.77734375" style="107" customWidth="1"/>
    <col min="9236" max="9236" width="12.77734375" style="107" customWidth="1"/>
    <col min="9237" max="9237" width="8.88671875" style="107"/>
    <col min="9238" max="9238" width="9.109375" style="107" bestFit="1" customWidth="1"/>
    <col min="9239" max="9479" width="8.88671875" style="107"/>
    <col min="9480" max="9480" width="23.21875" style="107" customWidth="1"/>
    <col min="9481" max="9482" width="6.77734375" style="107" customWidth="1"/>
    <col min="9483" max="9483" width="9.109375" style="107" customWidth="1"/>
    <col min="9484" max="9491" width="6.77734375" style="107" customWidth="1"/>
    <col min="9492" max="9492" width="12.77734375" style="107" customWidth="1"/>
    <col min="9493" max="9493" width="8.88671875" style="107"/>
    <col min="9494" max="9494" width="9.109375" style="107" bestFit="1" customWidth="1"/>
    <col min="9495" max="9735" width="8.88671875" style="107"/>
    <col min="9736" max="9736" width="23.21875" style="107" customWidth="1"/>
    <col min="9737" max="9738" width="6.77734375" style="107" customWidth="1"/>
    <col min="9739" max="9739" width="9.109375" style="107" customWidth="1"/>
    <col min="9740" max="9747" width="6.77734375" style="107" customWidth="1"/>
    <col min="9748" max="9748" width="12.77734375" style="107" customWidth="1"/>
    <col min="9749" max="9749" width="8.88671875" style="107"/>
    <col min="9750" max="9750" width="9.109375" style="107" bestFit="1" customWidth="1"/>
    <col min="9751" max="9991" width="8.88671875" style="107"/>
    <col min="9992" max="9992" width="23.21875" style="107" customWidth="1"/>
    <col min="9993" max="9994" width="6.77734375" style="107" customWidth="1"/>
    <col min="9995" max="9995" width="9.109375" style="107" customWidth="1"/>
    <col min="9996" max="10003" width="6.77734375" style="107" customWidth="1"/>
    <col min="10004" max="10004" width="12.77734375" style="107" customWidth="1"/>
    <col min="10005" max="10005" width="8.88671875" style="107"/>
    <col min="10006" max="10006" width="9.109375" style="107" bestFit="1" customWidth="1"/>
    <col min="10007" max="10247" width="8.88671875" style="107"/>
    <col min="10248" max="10248" width="23.21875" style="107" customWidth="1"/>
    <col min="10249" max="10250" width="6.77734375" style="107" customWidth="1"/>
    <col min="10251" max="10251" width="9.109375" style="107" customWidth="1"/>
    <col min="10252" max="10259" width="6.77734375" style="107" customWidth="1"/>
    <col min="10260" max="10260" width="12.77734375" style="107" customWidth="1"/>
    <col min="10261" max="10261" width="8.88671875" style="107"/>
    <col min="10262" max="10262" width="9.109375" style="107" bestFit="1" customWidth="1"/>
    <col min="10263" max="10503" width="8.88671875" style="107"/>
    <col min="10504" max="10504" width="23.21875" style="107" customWidth="1"/>
    <col min="10505" max="10506" width="6.77734375" style="107" customWidth="1"/>
    <col min="10507" max="10507" width="9.109375" style="107" customWidth="1"/>
    <col min="10508" max="10515" width="6.77734375" style="107" customWidth="1"/>
    <col min="10516" max="10516" width="12.77734375" style="107" customWidth="1"/>
    <col min="10517" max="10517" width="8.88671875" style="107"/>
    <col min="10518" max="10518" width="9.109375" style="107" bestFit="1" customWidth="1"/>
    <col min="10519" max="10759" width="8.88671875" style="107"/>
    <col min="10760" max="10760" width="23.21875" style="107" customWidth="1"/>
    <col min="10761" max="10762" width="6.77734375" style="107" customWidth="1"/>
    <col min="10763" max="10763" width="9.109375" style="107" customWidth="1"/>
    <col min="10764" max="10771" width="6.77734375" style="107" customWidth="1"/>
    <col min="10772" max="10772" width="12.77734375" style="107" customWidth="1"/>
    <col min="10773" max="10773" width="8.88671875" style="107"/>
    <col min="10774" max="10774" width="9.109375" style="107" bestFit="1" customWidth="1"/>
    <col min="10775" max="11015" width="8.88671875" style="107"/>
    <col min="11016" max="11016" width="23.21875" style="107" customWidth="1"/>
    <col min="11017" max="11018" width="6.77734375" style="107" customWidth="1"/>
    <col min="11019" max="11019" width="9.109375" style="107" customWidth="1"/>
    <col min="11020" max="11027" width="6.77734375" style="107" customWidth="1"/>
    <col min="11028" max="11028" width="12.77734375" style="107" customWidth="1"/>
    <col min="11029" max="11029" width="8.88671875" style="107"/>
    <col min="11030" max="11030" width="9.109375" style="107" bestFit="1" customWidth="1"/>
    <col min="11031" max="11271" width="8.88671875" style="107"/>
    <col min="11272" max="11272" width="23.21875" style="107" customWidth="1"/>
    <col min="11273" max="11274" width="6.77734375" style="107" customWidth="1"/>
    <col min="11275" max="11275" width="9.109375" style="107" customWidth="1"/>
    <col min="11276" max="11283" width="6.77734375" style="107" customWidth="1"/>
    <col min="11284" max="11284" width="12.77734375" style="107" customWidth="1"/>
    <col min="11285" max="11285" width="8.88671875" style="107"/>
    <col min="11286" max="11286" width="9.109375" style="107" bestFit="1" customWidth="1"/>
    <col min="11287" max="11527" width="8.88671875" style="107"/>
    <col min="11528" max="11528" width="23.21875" style="107" customWidth="1"/>
    <col min="11529" max="11530" width="6.77734375" style="107" customWidth="1"/>
    <col min="11531" max="11531" width="9.109375" style="107" customWidth="1"/>
    <col min="11532" max="11539" width="6.77734375" style="107" customWidth="1"/>
    <col min="11540" max="11540" width="12.77734375" style="107" customWidth="1"/>
    <col min="11541" max="11541" width="8.88671875" style="107"/>
    <col min="11542" max="11542" width="9.109375" style="107" bestFit="1" customWidth="1"/>
    <col min="11543" max="11783" width="8.88671875" style="107"/>
    <col min="11784" max="11784" width="23.21875" style="107" customWidth="1"/>
    <col min="11785" max="11786" width="6.77734375" style="107" customWidth="1"/>
    <col min="11787" max="11787" width="9.109375" style="107" customWidth="1"/>
    <col min="11788" max="11795" width="6.77734375" style="107" customWidth="1"/>
    <col min="11796" max="11796" width="12.77734375" style="107" customWidth="1"/>
    <col min="11797" max="11797" width="8.88671875" style="107"/>
    <col min="11798" max="11798" width="9.109375" style="107" bestFit="1" customWidth="1"/>
    <col min="11799" max="12039" width="8.88671875" style="107"/>
    <col min="12040" max="12040" width="23.21875" style="107" customWidth="1"/>
    <col min="12041" max="12042" width="6.77734375" style="107" customWidth="1"/>
    <col min="12043" max="12043" width="9.109375" style="107" customWidth="1"/>
    <col min="12044" max="12051" width="6.77734375" style="107" customWidth="1"/>
    <col min="12052" max="12052" width="12.77734375" style="107" customWidth="1"/>
    <col min="12053" max="12053" width="8.88671875" style="107"/>
    <col min="12054" max="12054" width="9.109375" style="107" bestFit="1" customWidth="1"/>
    <col min="12055" max="12295" width="8.88671875" style="107"/>
    <col min="12296" max="12296" width="23.21875" style="107" customWidth="1"/>
    <col min="12297" max="12298" width="6.77734375" style="107" customWidth="1"/>
    <col min="12299" max="12299" width="9.109375" style="107" customWidth="1"/>
    <col min="12300" max="12307" width="6.77734375" style="107" customWidth="1"/>
    <col min="12308" max="12308" width="12.77734375" style="107" customWidth="1"/>
    <col min="12309" max="12309" width="8.88671875" style="107"/>
    <col min="12310" max="12310" width="9.109375" style="107" bestFit="1" customWidth="1"/>
    <col min="12311" max="12551" width="8.88671875" style="107"/>
    <col min="12552" max="12552" width="23.21875" style="107" customWidth="1"/>
    <col min="12553" max="12554" width="6.77734375" style="107" customWidth="1"/>
    <col min="12555" max="12555" width="9.109375" style="107" customWidth="1"/>
    <col min="12556" max="12563" width="6.77734375" style="107" customWidth="1"/>
    <col min="12564" max="12564" width="12.77734375" style="107" customWidth="1"/>
    <col min="12565" max="12565" width="8.88671875" style="107"/>
    <col min="12566" max="12566" width="9.109375" style="107" bestFit="1" customWidth="1"/>
    <col min="12567" max="12807" width="8.88671875" style="107"/>
    <col min="12808" max="12808" width="23.21875" style="107" customWidth="1"/>
    <col min="12809" max="12810" width="6.77734375" style="107" customWidth="1"/>
    <col min="12811" max="12811" width="9.109375" style="107" customWidth="1"/>
    <col min="12812" max="12819" width="6.77734375" style="107" customWidth="1"/>
    <col min="12820" max="12820" width="12.77734375" style="107" customWidth="1"/>
    <col min="12821" max="12821" width="8.88671875" style="107"/>
    <col min="12822" max="12822" width="9.109375" style="107" bestFit="1" customWidth="1"/>
    <col min="12823" max="13063" width="8.88671875" style="107"/>
    <col min="13064" max="13064" width="23.21875" style="107" customWidth="1"/>
    <col min="13065" max="13066" width="6.77734375" style="107" customWidth="1"/>
    <col min="13067" max="13067" width="9.109375" style="107" customWidth="1"/>
    <col min="13068" max="13075" width="6.77734375" style="107" customWidth="1"/>
    <col min="13076" max="13076" width="12.77734375" style="107" customWidth="1"/>
    <col min="13077" max="13077" width="8.88671875" style="107"/>
    <col min="13078" max="13078" width="9.109375" style="107" bestFit="1" customWidth="1"/>
    <col min="13079" max="13319" width="8.88671875" style="107"/>
    <col min="13320" max="13320" width="23.21875" style="107" customWidth="1"/>
    <col min="13321" max="13322" width="6.77734375" style="107" customWidth="1"/>
    <col min="13323" max="13323" width="9.109375" style="107" customWidth="1"/>
    <col min="13324" max="13331" width="6.77734375" style="107" customWidth="1"/>
    <col min="13332" max="13332" width="12.77734375" style="107" customWidth="1"/>
    <col min="13333" max="13333" width="8.88671875" style="107"/>
    <col min="13334" max="13334" width="9.109375" style="107" bestFit="1" customWidth="1"/>
    <col min="13335" max="13575" width="8.88671875" style="107"/>
    <col min="13576" max="13576" width="23.21875" style="107" customWidth="1"/>
    <col min="13577" max="13578" width="6.77734375" style="107" customWidth="1"/>
    <col min="13579" max="13579" width="9.109375" style="107" customWidth="1"/>
    <col min="13580" max="13587" width="6.77734375" style="107" customWidth="1"/>
    <col min="13588" max="13588" width="12.77734375" style="107" customWidth="1"/>
    <col min="13589" max="13589" width="8.88671875" style="107"/>
    <col min="13590" max="13590" width="9.109375" style="107" bestFit="1" customWidth="1"/>
    <col min="13591" max="13831" width="8.88671875" style="107"/>
    <col min="13832" max="13832" width="23.21875" style="107" customWidth="1"/>
    <col min="13833" max="13834" width="6.77734375" style="107" customWidth="1"/>
    <col min="13835" max="13835" width="9.109375" style="107" customWidth="1"/>
    <col min="13836" max="13843" width="6.77734375" style="107" customWidth="1"/>
    <col min="13844" max="13844" width="12.77734375" style="107" customWidth="1"/>
    <col min="13845" max="13845" width="8.88671875" style="107"/>
    <col min="13846" max="13846" width="9.109375" style="107" bestFit="1" customWidth="1"/>
    <col min="13847" max="14087" width="8.88671875" style="107"/>
    <col min="14088" max="14088" width="23.21875" style="107" customWidth="1"/>
    <col min="14089" max="14090" width="6.77734375" style="107" customWidth="1"/>
    <col min="14091" max="14091" width="9.109375" style="107" customWidth="1"/>
    <col min="14092" max="14099" width="6.77734375" style="107" customWidth="1"/>
    <col min="14100" max="14100" width="12.77734375" style="107" customWidth="1"/>
    <col min="14101" max="14101" width="8.88671875" style="107"/>
    <col min="14102" max="14102" width="9.109375" style="107" bestFit="1" customWidth="1"/>
    <col min="14103" max="14343" width="8.88671875" style="107"/>
    <col min="14344" max="14344" width="23.21875" style="107" customWidth="1"/>
    <col min="14345" max="14346" width="6.77734375" style="107" customWidth="1"/>
    <col min="14347" max="14347" width="9.109375" style="107" customWidth="1"/>
    <col min="14348" max="14355" width="6.77734375" style="107" customWidth="1"/>
    <col min="14356" max="14356" width="12.77734375" style="107" customWidth="1"/>
    <col min="14357" max="14357" width="8.88671875" style="107"/>
    <col min="14358" max="14358" width="9.109375" style="107" bestFit="1" customWidth="1"/>
    <col min="14359" max="14599" width="8.88671875" style="107"/>
    <col min="14600" max="14600" width="23.21875" style="107" customWidth="1"/>
    <col min="14601" max="14602" width="6.77734375" style="107" customWidth="1"/>
    <col min="14603" max="14603" width="9.109375" style="107" customWidth="1"/>
    <col min="14604" max="14611" width="6.77734375" style="107" customWidth="1"/>
    <col min="14612" max="14612" width="12.77734375" style="107" customWidth="1"/>
    <col min="14613" max="14613" width="8.88671875" style="107"/>
    <col min="14614" max="14614" width="9.109375" style="107" bestFit="1" customWidth="1"/>
    <col min="14615" max="14855" width="8.88671875" style="107"/>
    <col min="14856" max="14856" width="23.21875" style="107" customWidth="1"/>
    <col min="14857" max="14858" width="6.77734375" style="107" customWidth="1"/>
    <col min="14859" max="14859" width="9.109375" style="107" customWidth="1"/>
    <col min="14860" max="14867" width="6.77734375" style="107" customWidth="1"/>
    <col min="14868" max="14868" width="12.77734375" style="107" customWidth="1"/>
    <col min="14869" max="14869" width="8.88671875" style="107"/>
    <col min="14870" max="14870" width="9.109375" style="107" bestFit="1" customWidth="1"/>
    <col min="14871" max="15111" width="8.88671875" style="107"/>
    <col min="15112" max="15112" width="23.21875" style="107" customWidth="1"/>
    <col min="15113" max="15114" width="6.77734375" style="107" customWidth="1"/>
    <col min="15115" max="15115" width="9.109375" style="107" customWidth="1"/>
    <col min="15116" max="15123" width="6.77734375" style="107" customWidth="1"/>
    <col min="15124" max="15124" width="12.77734375" style="107" customWidth="1"/>
    <col min="15125" max="15125" width="8.88671875" style="107"/>
    <col min="15126" max="15126" width="9.109375" style="107" bestFit="1" customWidth="1"/>
    <col min="15127" max="15367" width="8.88671875" style="107"/>
    <col min="15368" max="15368" width="23.21875" style="107" customWidth="1"/>
    <col min="15369" max="15370" width="6.77734375" style="107" customWidth="1"/>
    <col min="15371" max="15371" width="9.109375" style="107" customWidth="1"/>
    <col min="15372" max="15379" width="6.77734375" style="107" customWidth="1"/>
    <col min="15380" max="15380" width="12.77734375" style="107" customWidth="1"/>
    <col min="15381" max="15381" width="8.88671875" style="107"/>
    <col min="15382" max="15382" width="9.109375" style="107" bestFit="1" customWidth="1"/>
    <col min="15383" max="15623" width="8.88671875" style="107"/>
    <col min="15624" max="15624" width="23.21875" style="107" customWidth="1"/>
    <col min="15625" max="15626" width="6.77734375" style="107" customWidth="1"/>
    <col min="15627" max="15627" width="9.109375" style="107" customWidth="1"/>
    <col min="15628" max="15635" width="6.77734375" style="107" customWidth="1"/>
    <col min="15636" max="15636" width="12.77734375" style="107" customWidth="1"/>
    <col min="15637" max="15637" width="8.88671875" style="107"/>
    <col min="15638" max="15638" width="9.109375" style="107" bestFit="1" customWidth="1"/>
    <col min="15639" max="15879" width="8.88671875" style="107"/>
    <col min="15880" max="15880" width="23.21875" style="107" customWidth="1"/>
    <col min="15881" max="15882" width="6.77734375" style="107" customWidth="1"/>
    <col min="15883" max="15883" width="9.109375" style="107" customWidth="1"/>
    <col min="15884" max="15891" width="6.77734375" style="107" customWidth="1"/>
    <col min="15892" max="15892" width="12.77734375" style="107" customWidth="1"/>
    <col min="15893" max="15893" width="8.88671875" style="107"/>
    <col min="15894" max="15894" width="9.109375" style="107" bestFit="1" customWidth="1"/>
    <col min="15895" max="16135" width="8.88671875" style="107"/>
    <col min="16136" max="16136" width="23.21875" style="107" customWidth="1"/>
    <col min="16137" max="16138" width="6.77734375" style="107" customWidth="1"/>
    <col min="16139" max="16139" width="9.109375" style="107" customWidth="1"/>
    <col min="16140" max="16147" width="6.77734375" style="107" customWidth="1"/>
    <col min="16148" max="16148" width="12.77734375" style="107" customWidth="1"/>
    <col min="16149" max="16149" width="8.88671875" style="107"/>
    <col min="16150" max="16150" width="9.109375" style="107" bestFit="1" customWidth="1"/>
    <col min="16151" max="16384" width="8.88671875" style="107"/>
  </cols>
  <sheetData>
    <row r="1" spans="1:23" s="106" customFormat="1" ht="30" customHeight="1">
      <c r="A1" s="309" t="s">
        <v>208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</row>
    <row r="2" spans="1:23" ht="22.15" customHeight="1">
      <c r="A2" s="47" t="s">
        <v>152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3" ht="22.15" customHeight="1">
      <c r="A3" s="47" t="s">
        <v>223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3" ht="22.15" customHeight="1">
      <c r="A4" s="36" t="s">
        <v>26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W4" s="108"/>
    </row>
    <row r="5" spans="1:23" ht="22.15" customHeight="1">
      <c r="A5" s="36" t="s">
        <v>233</v>
      </c>
      <c r="B5" s="1724">
        <v>7.1</v>
      </c>
      <c r="C5" s="1724"/>
      <c r="D5" s="311" t="s">
        <v>36</v>
      </c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</row>
    <row r="6" spans="1:23" ht="22.15" customHeight="1">
      <c r="A6" s="36" t="s">
        <v>234</v>
      </c>
      <c r="B6" s="36" t="s">
        <v>205</v>
      </c>
      <c r="C6" s="36"/>
      <c r="D6" s="36"/>
      <c r="E6" s="312">
        <f>IF(B5=0,0,IF(B5&lt;1,1,(1+(0.7-(0.003*B5))*(B5-1))/1))</f>
        <v>5.1400699999999997</v>
      </c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</row>
    <row r="7" spans="1:23" ht="22.15" customHeight="1">
      <c r="A7" s="36" t="s">
        <v>2</v>
      </c>
      <c r="B7" s="36"/>
      <c r="C7" s="36"/>
      <c r="D7" s="36"/>
      <c r="E7" s="313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3" ht="22.15" customHeight="1">
      <c r="A8" s="36"/>
      <c r="B8" s="36"/>
      <c r="C8" s="36"/>
      <c r="D8" s="36"/>
      <c r="E8" s="313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</row>
    <row r="9" spans="1:23" ht="22.15" customHeight="1">
      <c r="A9" s="47" t="s">
        <v>207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</row>
    <row r="10" spans="1:23" ht="22.15" customHeight="1">
      <c r="A10" s="47" t="s">
        <v>243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3" ht="22.15" customHeight="1">
      <c r="A11" s="36" t="s">
        <v>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</row>
    <row r="12" spans="1:23" ht="22.15" customHeight="1">
      <c r="A12" s="36" t="s">
        <v>126</v>
      </c>
      <c r="B12" s="1724">
        <v>39.33</v>
      </c>
      <c r="C12" s="1724"/>
      <c r="D12" s="311" t="s">
        <v>59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3" ht="22.15" customHeight="1">
      <c r="A13" s="36" t="s">
        <v>11</v>
      </c>
      <c r="B13" s="36" t="s">
        <v>5</v>
      </c>
      <c r="C13" s="36"/>
      <c r="D13" s="36"/>
      <c r="E13" s="312">
        <f>IF(B12=0,10,IF(B12&lt;=10,10,B12^0.3))/10</f>
        <v>0.30089653313599107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</row>
    <row r="14" spans="1:23" ht="22.15" customHeight="1">
      <c r="A14" s="36" t="s">
        <v>242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</row>
    <row r="15" spans="1:23" ht="22.15" customHeigh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</row>
    <row r="16" spans="1:23" ht="22.15" customHeight="1">
      <c r="A16" s="47" t="s">
        <v>241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</row>
    <row r="17" spans="1:21" ht="22.15" customHeight="1">
      <c r="A17" s="36" t="s">
        <v>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</row>
    <row r="18" spans="1:21" ht="22.15" customHeight="1">
      <c r="A18" s="36" t="s">
        <v>126</v>
      </c>
      <c r="B18" s="1724">
        <v>9.3800000000000008</v>
      </c>
      <c r="C18" s="1724"/>
      <c r="D18" s="311" t="s">
        <v>59</v>
      </c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</row>
    <row r="19" spans="1:21" ht="22.15" customHeight="1">
      <c r="A19" s="36" t="s">
        <v>11</v>
      </c>
      <c r="B19" s="36" t="s">
        <v>2027</v>
      </c>
      <c r="C19" s="36"/>
      <c r="D19" s="36"/>
      <c r="E19" s="312">
        <f>IF(B18=0,0,IF(B18&lt;=1,1,B18^0.3))</f>
        <v>1.9573155730827629</v>
      </c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</row>
    <row r="20" spans="1:21" ht="22.15" customHeight="1">
      <c r="A20" s="36" t="s">
        <v>4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</row>
    <row r="21" spans="1:21" ht="22.15" customHeight="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</row>
    <row r="22" spans="1:21" ht="22.15" customHeight="1">
      <c r="A22" s="47" t="s">
        <v>132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</row>
    <row r="23" spans="1:21" ht="22.15" customHeight="1">
      <c r="A23" s="47" t="s">
        <v>217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</row>
    <row r="24" spans="1:21" ht="22.15" customHeight="1">
      <c r="A24" s="36" t="s">
        <v>105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</row>
    <row r="25" spans="1:21" ht="22.15" customHeight="1">
      <c r="A25" s="36" t="s">
        <v>10</v>
      </c>
      <c r="B25" s="1724">
        <v>0</v>
      </c>
      <c r="C25" s="1724"/>
      <c r="D25" s="311" t="s">
        <v>36</v>
      </c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</row>
    <row r="26" spans="1:21" ht="22.15" customHeight="1">
      <c r="A26" s="36" t="s">
        <v>18</v>
      </c>
      <c r="B26" s="36" t="s">
        <v>136</v>
      </c>
      <c r="C26" s="36"/>
      <c r="D26" s="36"/>
      <c r="F26" s="312">
        <f>ROUNDDOWN(IF(B25=0,0,IF(B25&lt;=1,1,1+(0.7-(0.005*B25))*(B25-1))),2)</f>
        <v>0</v>
      </c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</row>
    <row r="27" spans="1:21" ht="22.15" customHeight="1">
      <c r="A27" s="36" t="s">
        <v>29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</row>
    <row r="28" spans="1:21" ht="22.15" customHeight="1">
      <c r="A28" s="47" t="s">
        <v>22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</row>
    <row r="29" spans="1:21" ht="22.15" customHeight="1">
      <c r="A29" s="36" t="s">
        <v>134</v>
      </c>
      <c r="C29" s="36"/>
      <c r="D29" s="36" t="s">
        <v>192</v>
      </c>
      <c r="E29" s="77">
        <v>1</v>
      </c>
      <c r="F29" s="36" t="s">
        <v>202</v>
      </c>
      <c r="G29" s="314">
        <f>[1]입력DATA1!E23</f>
        <v>0</v>
      </c>
      <c r="H29" s="36" t="s">
        <v>36</v>
      </c>
      <c r="I29" s="36"/>
      <c r="M29" s="36"/>
      <c r="N29" s="36"/>
      <c r="O29" s="36"/>
      <c r="P29" s="36"/>
      <c r="Q29" s="36"/>
      <c r="R29" s="36"/>
      <c r="S29" s="36"/>
      <c r="T29" s="36"/>
      <c r="U29" s="36"/>
    </row>
    <row r="30" spans="1:21" ht="22.15" customHeight="1">
      <c r="A30" s="36" t="s">
        <v>31</v>
      </c>
      <c r="C30" s="36"/>
      <c r="D30" s="36" t="s">
        <v>193</v>
      </c>
      <c r="E30" s="77">
        <v>1.25</v>
      </c>
      <c r="F30" s="36" t="s">
        <v>194</v>
      </c>
      <c r="G30" s="314">
        <f>[1]입력DATA1!E24</f>
        <v>0</v>
      </c>
      <c r="H30" s="36" t="s">
        <v>36</v>
      </c>
      <c r="I30" s="36"/>
      <c r="M30" s="36"/>
      <c r="N30" s="36"/>
      <c r="O30" s="36"/>
      <c r="P30" s="36"/>
      <c r="Q30" s="36"/>
      <c r="R30" s="36"/>
      <c r="S30" s="36"/>
      <c r="T30" s="36"/>
      <c r="U30" s="36"/>
    </row>
    <row r="31" spans="1:21" ht="22.15" customHeight="1">
      <c r="A31" s="36" t="s">
        <v>135</v>
      </c>
      <c r="C31" s="36"/>
      <c r="D31" s="36" t="s">
        <v>197</v>
      </c>
      <c r="E31" s="77">
        <v>1.6</v>
      </c>
      <c r="F31" s="36" t="s">
        <v>196</v>
      </c>
      <c r="G31" s="314">
        <v>0</v>
      </c>
      <c r="H31" s="36" t="s">
        <v>36</v>
      </c>
      <c r="I31" s="36"/>
      <c r="M31" s="36"/>
      <c r="N31" s="36"/>
      <c r="O31" s="36"/>
      <c r="P31" s="36"/>
      <c r="Q31" s="36"/>
      <c r="R31" s="36"/>
      <c r="S31" s="36"/>
      <c r="T31" s="36"/>
      <c r="U31" s="36"/>
    </row>
    <row r="32" spans="1:21" ht="22.15" customHeight="1">
      <c r="A32" s="36" t="s">
        <v>128</v>
      </c>
      <c r="C32" s="36"/>
      <c r="D32" s="36" t="s">
        <v>199</v>
      </c>
      <c r="E32" s="77">
        <v>2.2000000000000002</v>
      </c>
      <c r="F32" s="36" t="s">
        <v>195</v>
      </c>
      <c r="G32" s="314">
        <v>0</v>
      </c>
      <c r="H32" s="36" t="s">
        <v>36</v>
      </c>
      <c r="I32" s="36"/>
      <c r="M32" s="36"/>
      <c r="N32" s="36"/>
      <c r="O32" s="36"/>
      <c r="P32" s="36"/>
      <c r="Q32" s="36"/>
      <c r="R32" s="36"/>
      <c r="S32" s="36"/>
      <c r="T32" s="36"/>
      <c r="U32" s="36"/>
    </row>
    <row r="33" spans="1:21" ht="22.15" customHeight="1">
      <c r="A33" s="36" t="s">
        <v>13</v>
      </c>
      <c r="C33" s="36"/>
      <c r="D33" s="36"/>
      <c r="E33" s="315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</row>
    <row r="34" spans="1:21" ht="22.15" customHeight="1">
      <c r="A34" s="36" t="s">
        <v>107</v>
      </c>
      <c r="B34" s="36"/>
      <c r="C34" s="36"/>
      <c r="D34" s="36"/>
      <c r="E34" s="315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</row>
    <row r="35" spans="1:21" ht="22.15" customHeight="1">
      <c r="A35" s="36" t="s">
        <v>17</v>
      </c>
      <c r="B35" s="36" t="s">
        <v>30</v>
      </c>
      <c r="C35" s="36"/>
      <c r="D35" s="36"/>
      <c r="F35" s="36"/>
      <c r="G35" s="312">
        <f>IF(B25=0,0,(E29*G29+E30*G30+E31*G31+E32*G32)/(G29+G30+G31+G32))</f>
        <v>0</v>
      </c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</row>
    <row r="36" spans="1:21" ht="22.15" customHeight="1">
      <c r="A36" s="47" t="s">
        <v>216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</row>
    <row r="37" spans="1:21" ht="22.15" customHeight="1">
      <c r="A37" s="36" t="s">
        <v>19</v>
      </c>
      <c r="B37" s="36" t="s">
        <v>15</v>
      </c>
      <c r="C37" s="36"/>
      <c r="D37" s="36"/>
      <c r="E37" s="312">
        <f>F26*G35</f>
        <v>0</v>
      </c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</row>
    <row r="38" spans="1:21" ht="22.15" customHeigh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</row>
    <row r="39" spans="1:21" ht="22.15" customHeight="1">
      <c r="A39" s="47" t="s">
        <v>2002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</row>
    <row r="40" spans="1:21" ht="22.15" customHeight="1">
      <c r="A40" s="47" t="s">
        <v>25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</row>
    <row r="41" spans="1:21" ht="22.15" customHeight="1">
      <c r="A41" s="36" t="s">
        <v>106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</row>
    <row r="42" spans="1:21" ht="22.15" customHeight="1">
      <c r="A42" s="36" t="s">
        <v>16</v>
      </c>
      <c r="B42" s="1724">
        <v>0</v>
      </c>
      <c r="C42" s="1724"/>
      <c r="D42" s="311" t="s">
        <v>176</v>
      </c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</row>
    <row r="43" spans="1:21" ht="22.15" customHeight="1">
      <c r="A43" s="36" t="s">
        <v>21</v>
      </c>
      <c r="B43" s="36" t="s">
        <v>129</v>
      </c>
      <c r="C43" s="36"/>
      <c r="D43" s="36"/>
      <c r="E43" s="312">
        <f>IF(B42&lt;=1,1^0.45,IF(B42&gt;=100,100^0.45,B42^0.45))</f>
        <v>1</v>
      </c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</row>
    <row r="44" spans="1:21" ht="22.15" customHeight="1">
      <c r="A44" s="36" t="s">
        <v>0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</row>
    <row r="45" spans="1:21" ht="22.15" customHeight="1">
      <c r="A45" s="47" t="s">
        <v>23</v>
      </c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</row>
    <row r="46" spans="1:21" ht="22.15" customHeight="1">
      <c r="A46" s="36" t="s">
        <v>28</v>
      </c>
      <c r="B46" s="77"/>
      <c r="C46" s="77"/>
      <c r="D46" s="111"/>
      <c r="E46" s="111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</row>
    <row r="47" spans="1:21" ht="22.15" customHeight="1">
      <c r="A47" s="36" t="s">
        <v>131</v>
      </c>
      <c r="B47" s="1726">
        <v>0</v>
      </c>
      <c r="C47" s="1726"/>
      <c r="D47" s="311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</row>
    <row r="48" spans="1:21" ht="22.15" customHeight="1">
      <c r="A48" s="36" t="s">
        <v>24</v>
      </c>
      <c r="B48" s="36" t="s">
        <v>211</v>
      </c>
      <c r="C48" s="36"/>
      <c r="D48" s="36"/>
      <c r="F48" s="312">
        <f>IF(B47&gt;6,5,1+(B47-1)*0.8)</f>
        <v>0.19999999999999996</v>
      </c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</row>
    <row r="49" spans="1:23" ht="22.15" customHeight="1">
      <c r="A49" s="47" t="s">
        <v>133</v>
      </c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</row>
    <row r="50" spans="1:23" ht="22.15" customHeight="1">
      <c r="A50" s="36" t="s">
        <v>20</v>
      </c>
      <c r="B50" s="36" t="s">
        <v>14</v>
      </c>
      <c r="C50" s="36"/>
      <c r="D50" s="36"/>
      <c r="E50" s="312">
        <f>E43*F48</f>
        <v>0.19999999999999996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</row>
    <row r="51" spans="1:23" ht="22.15" customHeigh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</row>
    <row r="52" spans="1:23" ht="22.15" customHeight="1">
      <c r="A52" s="47" t="s">
        <v>2003</v>
      </c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</row>
    <row r="53" spans="1:23" ht="22.15" customHeight="1">
      <c r="A53" s="36" t="s">
        <v>3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</row>
    <row r="54" spans="1:23" ht="22.15" customHeight="1">
      <c r="A54" s="36" t="s">
        <v>27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</row>
    <row r="55" spans="1:23" ht="22.15" customHeight="1">
      <c r="A55" s="1725" t="s">
        <v>119</v>
      </c>
      <c r="B55" s="1725"/>
      <c r="C55" s="1725"/>
      <c r="D55" s="1725"/>
      <c r="E55" s="1725"/>
      <c r="F55" s="1725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</row>
    <row r="56" spans="1:23" ht="22.15" customHeight="1">
      <c r="A56" s="1720" t="s">
        <v>156</v>
      </c>
      <c r="B56" s="1720"/>
      <c r="C56" s="1720"/>
      <c r="D56" s="1720" t="s">
        <v>79</v>
      </c>
      <c r="E56" s="1720"/>
      <c r="F56" s="307" t="s">
        <v>42</v>
      </c>
      <c r="G56" s="36"/>
      <c r="H56" s="36" t="s">
        <v>209</v>
      </c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</row>
    <row r="57" spans="1:23" ht="22.15" customHeight="1">
      <c r="A57" s="1720" t="s">
        <v>170</v>
      </c>
      <c r="B57" s="1720"/>
      <c r="C57" s="1720"/>
      <c r="D57" s="1729">
        <v>0.6</v>
      </c>
      <c r="E57" s="1729"/>
      <c r="F57" s="109"/>
      <c r="G57" s="36"/>
      <c r="H57" s="316">
        <v>1.3</v>
      </c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</row>
    <row r="58" spans="1:23" ht="22.15" customHeight="1">
      <c r="A58" s="1720" t="s">
        <v>96</v>
      </c>
      <c r="B58" s="1720"/>
      <c r="C58" s="1720"/>
      <c r="D58" s="1730">
        <v>0.7</v>
      </c>
      <c r="E58" s="1730"/>
      <c r="F58" s="109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</row>
    <row r="59" spans="1:23" ht="22.15" customHeight="1">
      <c r="A59" s="1720" t="s">
        <v>86</v>
      </c>
      <c r="B59" s="1720"/>
      <c r="C59" s="1720"/>
      <c r="D59" s="1731">
        <v>0.8</v>
      </c>
      <c r="E59" s="1731"/>
      <c r="F59" s="109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</row>
    <row r="60" spans="1:23" ht="22.15" customHeight="1">
      <c r="A60" s="1720" t="s">
        <v>117</v>
      </c>
      <c r="B60" s="1720"/>
      <c r="C60" s="1720"/>
      <c r="D60" s="1721">
        <v>0.9</v>
      </c>
      <c r="E60" s="1721"/>
      <c r="F60" s="109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W60" s="110"/>
    </row>
    <row r="61" spans="1:23" ht="22.15" customHeight="1">
      <c r="A61" s="1720" t="s">
        <v>120</v>
      </c>
      <c r="B61" s="1720"/>
      <c r="C61" s="1720"/>
      <c r="D61" s="1721">
        <v>1</v>
      </c>
      <c r="E61" s="1721"/>
      <c r="F61" s="109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</row>
    <row r="62" spans="1:23" ht="22.15" customHeight="1">
      <c r="A62" s="1720" t="s">
        <v>114</v>
      </c>
      <c r="B62" s="1720"/>
      <c r="C62" s="1720"/>
      <c r="D62" s="1721">
        <v>1.1000000000000001</v>
      </c>
      <c r="E62" s="1721"/>
      <c r="F62" s="109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</row>
    <row r="63" spans="1:23" ht="22.15" customHeight="1">
      <c r="A63" s="1720" t="s">
        <v>125</v>
      </c>
      <c r="B63" s="1720"/>
      <c r="C63" s="1720"/>
      <c r="D63" s="1721">
        <v>1.2</v>
      </c>
      <c r="E63" s="1721"/>
      <c r="F63" s="109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</row>
    <row r="64" spans="1:23" ht="22.15" customHeight="1">
      <c r="A64" s="1720" t="s">
        <v>177</v>
      </c>
      <c r="B64" s="1720"/>
      <c r="C64" s="1720"/>
      <c r="D64" s="1721">
        <v>1.3</v>
      </c>
      <c r="E64" s="1721"/>
      <c r="F64" s="109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</row>
    <row r="65" spans="1:28" ht="22.15" customHeight="1">
      <c r="A65" s="1720" t="s">
        <v>210</v>
      </c>
      <c r="B65" s="1720"/>
      <c r="C65" s="1720"/>
      <c r="D65" s="1728">
        <f>IF(H57&lt;0.03,D57,IF(H57&lt;0.05,D58,IF(H57&lt;0.07,D59,IF(H57&lt;0.1,D60,IF(H57&lt;0.2,D61,IF(H57&lt;0.3,D62,IF(H57&lt;0.5,D63,D64)))))))</f>
        <v>1.3</v>
      </c>
      <c r="E65" s="1728"/>
      <c r="F65" s="109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</row>
    <row r="66" spans="1:28" ht="22.15" customHeight="1">
      <c r="A66" s="36" t="s">
        <v>254</v>
      </c>
      <c r="B66" s="77"/>
      <c r="C66" s="77"/>
      <c r="D66" s="111"/>
      <c r="E66" s="111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</row>
    <row r="67" spans="1:28" ht="22.15" customHeight="1">
      <c r="A67" s="36"/>
      <c r="B67" s="77"/>
      <c r="C67" s="77"/>
      <c r="D67" s="111"/>
      <c r="E67" s="111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</row>
    <row r="68" spans="1:28" ht="22.15" customHeight="1">
      <c r="A68" s="47" t="s">
        <v>2000</v>
      </c>
      <c r="B68" s="77"/>
      <c r="C68" s="77"/>
      <c r="D68" s="111"/>
      <c r="E68" s="111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</row>
    <row r="69" spans="1:28" ht="22.15" customHeight="1">
      <c r="A69" s="36" t="s">
        <v>130</v>
      </c>
      <c r="B69" s="311" t="s">
        <v>206</v>
      </c>
      <c r="C69" s="77"/>
      <c r="D69" s="111"/>
      <c r="E69" s="317">
        <v>1.3</v>
      </c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</row>
    <row r="70" spans="1:28" ht="23.1" customHeight="1">
      <c r="A70" s="36"/>
      <c r="B70" s="36"/>
      <c r="C70" s="36"/>
      <c r="D70" s="36"/>
      <c r="E70" s="313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</row>
    <row r="71" spans="1:28" ht="22.15" customHeight="1">
      <c r="A71" s="47" t="s">
        <v>87</v>
      </c>
      <c r="B71" s="36"/>
      <c r="C71" s="36"/>
      <c r="D71" s="36"/>
      <c r="E71" s="36"/>
      <c r="F71" s="36"/>
      <c r="G71" s="36"/>
      <c r="H71" s="36"/>
      <c r="I71" s="77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</row>
    <row r="72" spans="1:28" ht="19.899999999999999" customHeight="1">
      <c r="A72" s="1720" t="s">
        <v>178</v>
      </c>
      <c r="B72" s="1720"/>
      <c r="C72" s="1720" t="s">
        <v>49</v>
      </c>
      <c r="D72" s="1720" t="s">
        <v>183</v>
      </c>
      <c r="E72" s="1720"/>
      <c r="F72" s="1720"/>
      <c r="G72" s="1720"/>
      <c r="H72" s="1720"/>
      <c r="I72" s="1720"/>
      <c r="J72" s="1720"/>
      <c r="K72" s="1720"/>
      <c r="L72" s="1720"/>
      <c r="M72" s="1720"/>
      <c r="N72" s="1720"/>
      <c r="O72" s="1720"/>
      <c r="P72" s="1720"/>
      <c r="Q72" s="1720"/>
      <c r="R72" s="1720"/>
      <c r="S72" s="1720"/>
      <c r="T72" s="1720"/>
      <c r="U72" s="1720"/>
      <c r="V72" s="1720"/>
      <c r="W72" s="1720"/>
      <c r="X72" s="1720"/>
      <c r="Y72" s="1720"/>
      <c r="Z72" s="1720"/>
      <c r="AA72" s="1720"/>
      <c r="AB72" s="1720"/>
    </row>
    <row r="73" spans="1:28" ht="19.899999999999999" customHeight="1">
      <c r="A73" s="1720"/>
      <c r="B73" s="1720"/>
      <c r="C73" s="1720"/>
      <c r="D73" s="169" t="s">
        <v>240</v>
      </c>
      <c r="E73" s="307" t="s">
        <v>58</v>
      </c>
      <c r="F73" s="307" t="s">
        <v>52</v>
      </c>
      <c r="G73" s="307" t="s">
        <v>63</v>
      </c>
      <c r="H73" s="307" t="s">
        <v>51</v>
      </c>
      <c r="I73" s="307" t="s">
        <v>50</v>
      </c>
      <c r="J73" s="217" t="s">
        <v>77</v>
      </c>
      <c r="K73" s="154" t="s">
        <v>76</v>
      </c>
      <c r="L73" s="154" t="s">
        <v>225</v>
      </c>
      <c r="M73" s="154" t="s">
        <v>226</v>
      </c>
      <c r="N73" s="154" t="s">
        <v>227</v>
      </c>
      <c r="O73" s="154" t="s">
        <v>229</v>
      </c>
      <c r="P73" s="154" t="s">
        <v>228</v>
      </c>
      <c r="Q73" s="154" t="s">
        <v>232</v>
      </c>
      <c r="R73" s="154" t="s">
        <v>230</v>
      </c>
      <c r="S73" s="154" t="s">
        <v>231</v>
      </c>
      <c r="T73" s="154" t="s">
        <v>57</v>
      </c>
      <c r="U73" s="307" t="s">
        <v>67</v>
      </c>
      <c r="V73" s="307" t="s">
        <v>53</v>
      </c>
      <c r="W73" s="307" t="s">
        <v>78</v>
      </c>
      <c r="X73" s="307" t="s">
        <v>73</v>
      </c>
      <c r="Y73" s="307" t="s">
        <v>74</v>
      </c>
      <c r="Z73" s="307" t="s">
        <v>70</v>
      </c>
      <c r="AA73" s="307" t="s">
        <v>72</v>
      </c>
      <c r="AB73" s="307" t="s">
        <v>68</v>
      </c>
    </row>
    <row r="74" spans="1:28" ht="19.899999999999999" customHeight="1">
      <c r="A74" s="1723" t="str">
        <f>적용수량!A5</f>
        <v xml:space="preserve"> 가. 작업계획 수립</v>
      </c>
      <c r="B74" s="1723"/>
      <c r="C74" s="183" t="s">
        <v>56</v>
      </c>
      <c r="D74" s="184"/>
      <c r="E74" s="185"/>
      <c r="F74" s="185"/>
      <c r="G74" s="185"/>
      <c r="H74" s="185"/>
      <c r="I74" s="185"/>
      <c r="J74" s="185"/>
      <c r="K74" s="185"/>
      <c r="L74" s="185"/>
      <c r="M74" s="185"/>
      <c r="N74" s="185"/>
      <c r="O74" s="185"/>
      <c r="P74" s="185"/>
      <c r="Q74" s="185"/>
      <c r="R74" s="185"/>
      <c r="S74" s="185"/>
      <c r="T74" s="185"/>
      <c r="U74" s="185"/>
      <c r="V74" s="185"/>
      <c r="W74" s="185"/>
      <c r="X74" s="185"/>
      <c r="Y74" s="185"/>
      <c r="Z74" s="185"/>
      <c r="AA74" s="185"/>
      <c r="AB74" s="185"/>
    </row>
    <row r="75" spans="1:28" ht="19.899999999999999" customHeight="1">
      <c r="A75" s="1722" t="str">
        <f>적용수량!A6</f>
        <v xml:space="preserve">  1) 작업계획 수립</v>
      </c>
      <c r="B75" s="1722"/>
      <c r="C75" s="307"/>
      <c r="D75" s="170">
        <v>1</v>
      </c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</row>
    <row r="76" spans="1:28" ht="19.899999999999999" customHeight="1">
      <c r="A76" s="1723" t="str">
        <f>적용수량!A7</f>
        <v xml:space="preserve"> 나. 관련자료 조사 및 검토</v>
      </c>
      <c r="B76" s="1723"/>
      <c r="C76" s="183"/>
      <c r="D76" s="184"/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  <c r="Q76" s="185"/>
      <c r="R76" s="185"/>
      <c r="S76" s="185"/>
      <c r="T76" s="185"/>
      <c r="U76" s="185"/>
      <c r="V76" s="185"/>
      <c r="W76" s="185"/>
      <c r="X76" s="185"/>
      <c r="Y76" s="185"/>
      <c r="Z76" s="185"/>
      <c r="AA76" s="185"/>
      <c r="AB76" s="185"/>
    </row>
    <row r="77" spans="1:28" ht="19.899999999999999" customHeight="1">
      <c r="A77" s="1722" t="str">
        <f>적용수량!A8</f>
        <v xml:space="preserve">  1) 관련자료 조사</v>
      </c>
      <c r="B77" s="1722"/>
      <c r="C77" s="307" t="s">
        <v>56</v>
      </c>
      <c r="D77" s="170">
        <v>1</v>
      </c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</row>
    <row r="78" spans="1:28" ht="19.899999999999999" customHeight="1">
      <c r="A78" s="1722" t="str">
        <f>적용수량!A9</f>
        <v xml:space="preserve">  2) 관련계획 검토</v>
      </c>
      <c r="B78" s="1722"/>
      <c r="C78" s="307" t="s">
        <v>56</v>
      </c>
      <c r="D78" s="170">
        <v>1</v>
      </c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  <c r="AA78" s="112"/>
      <c r="AB78" s="112"/>
    </row>
    <row r="79" spans="1:28" ht="19.899999999999999" customHeight="1">
      <c r="A79" s="1723" t="str">
        <f>적용수량!A10</f>
        <v xml:space="preserve"> 다. 피해현황 및 원인분석</v>
      </c>
      <c r="B79" s="1723"/>
      <c r="C79" s="183"/>
      <c r="D79" s="184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185"/>
      <c r="R79" s="185"/>
      <c r="S79" s="185"/>
      <c r="T79" s="185"/>
      <c r="U79" s="185"/>
      <c r="V79" s="185"/>
      <c r="W79" s="185"/>
      <c r="X79" s="185"/>
      <c r="Y79" s="185"/>
      <c r="Z79" s="185"/>
      <c r="AA79" s="185"/>
      <c r="AB79" s="185"/>
    </row>
    <row r="80" spans="1:28" ht="19.899999999999999" customHeight="1">
      <c r="A80" s="1719" t="str">
        <f>적용수량!A11</f>
        <v xml:space="preserve">  1) 피해현황 조사</v>
      </c>
      <c r="B80" s="1719"/>
      <c r="C80" s="307" t="str">
        <f>적용수량!B11</f>
        <v>1식</v>
      </c>
      <c r="D80" s="170">
        <v>1</v>
      </c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2"/>
    </row>
    <row r="81" spans="1:28" ht="19.899999999999999" customHeight="1">
      <c r="A81" s="1719" t="str">
        <f>적용수량!A12</f>
        <v xml:space="preserve">  2) 피해원인 분석</v>
      </c>
      <c r="B81" s="1719"/>
      <c r="C81" s="307"/>
      <c r="D81" s="170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</row>
    <row r="82" spans="1:28" ht="19.899999999999999" customHeight="1">
      <c r="A82" s="1722" t="str">
        <f>적용수량!A13</f>
        <v xml:space="preserve">   가) 수리․수문조사</v>
      </c>
      <c r="B82" s="1722"/>
      <c r="C82" s="307" t="str">
        <f>적용수량!B13</f>
        <v>10km2</v>
      </c>
      <c r="D82" s="170">
        <v>1</v>
      </c>
      <c r="E82" s="112"/>
      <c r="F82" s="112">
        <f>ROUNDDOWN($E$13,2)</f>
        <v>0.3</v>
      </c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</row>
    <row r="83" spans="1:28" ht="19.899999999999999" customHeight="1">
      <c r="A83" s="1722" t="str">
        <f>적용수량!A14</f>
        <v xml:space="preserve">   나) 강우분석</v>
      </c>
      <c r="B83" s="1722"/>
      <c r="C83" s="307" t="str">
        <f>적용수량!B14</f>
        <v>10km2</v>
      </c>
      <c r="D83" s="170">
        <v>1</v>
      </c>
      <c r="E83" s="112"/>
      <c r="F83" s="112">
        <f>ROUNDDOWN($E$13,2)</f>
        <v>0.3</v>
      </c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</row>
    <row r="84" spans="1:28" ht="19.899999999999999" customHeight="1">
      <c r="A84" s="1722" t="str">
        <f>적용수량!A15</f>
        <v xml:space="preserve">   다) 유출분석</v>
      </c>
      <c r="B84" s="1722"/>
      <c r="C84" s="307" t="str">
        <f>적용수량!B15</f>
        <v>10km2</v>
      </c>
      <c r="D84" s="170">
        <v>1</v>
      </c>
      <c r="E84" s="112"/>
      <c r="F84" s="112">
        <f>ROUNDDOWN($E$13,2)</f>
        <v>0.3</v>
      </c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</row>
    <row r="85" spans="1:28" ht="19.899999999999999" customHeight="1">
      <c r="A85" s="1722" t="str">
        <f>적용수량!A16</f>
        <v xml:space="preserve">   라) 홍수위산정</v>
      </c>
      <c r="B85" s="1722"/>
      <c r="C85" s="307" t="str">
        <f>적용수량!B16</f>
        <v>1㎞</v>
      </c>
      <c r="D85" s="170">
        <v>1</v>
      </c>
      <c r="E85" s="112">
        <f>ROUNDDOWN($E$6,3)</f>
        <v>5.14</v>
      </c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  <c r="AA85" s="112"/>
      <c r="AB85" s="112"/>
    </row>
    <row r="86" spans="1:28" ht="19.899999999999999" customHeight="1">
      <c r="A86" s="1722" t="str">
        <f>적용수량!A17</f>
        <v xml:space="preserve">   마) 범람해석(2차원 시뮬레이션)</v>
      </c>
      <c r="B86" s="1722"/>
      <c r="C86" s="307" t="str">
        <f>적용수량!B17</f>
        <v>1km2</v>
      </c>
      <c r="D86" s="170">
        <v>1</v>
      </c>
      <c r="E86" s="112"/>
      <c r="F86" s="112">
        <f>ROUNDDOWN($E$19,2)</f>
        <v>1.95</v>
      </c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  <c r="AA86" s="112"/>
      <c r="AB86" s="112"/>
    </row>
    <row r="87" spans="1:28" ht="19.899999999999999" customHeight="1">
      <c r="A87" s="1722" t="str">
        <f>적용수량!A18</f>
        <v xml:space="preserve">   바) 피해원인분석</v>
      </c>
      <c r="B87" s="1722"/>
      <c r="C87" s="307" t="str">
        <f>적용수량!B18</f>
        <v>1㎞</v>
      </c>
      <c r="D87" s="170">
        <v>1</v>
      </c>
      <c r="E87" s="112">
        <f>ROUNDDOWN($E$6,3)</f>
        <v>5.14</v>
      </c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  <c r="AA87" s="112"/>
      <c r="AB87" s="112"/>
    </row>
    <row r="88" spans="1:28" ht="19.899999999999999" customHeight="1">
      <c r="A88" s="1723" t="str">
        <f>적용수량!A19</f>
        <v xml:space="preserve"> 라. 정비계획수립</v>
      </c>
      <c r="B88" s="1723"/>
      <c r="C88" s="183"/>
      <c r="D88" s="184"/>
      <c r="E88" s="185"/>
      <c r="F88" s="185"/>
      <c r="G88" s="185"/>
      <c r="H88" s="185"/>
      <c r="I88" s="185"/>
      <c r="J88" s="185"/>
      <c r="K88" s="185"/>
      <c r="L88" s="185"/>
      <c r="M88" s="185"/>
      <c r="N88" s="185"/>
      <c r="O88" s="185"/>
      <c r="P88" s="185"/>
      <c r="Q88" s="185"/>
      <c r="R88" s="185"/>
      <c r="S88" s="185"/>
      <c r="T88" s="185"/>
      <c r="U88" s="185"/>
      <c r="V88" s="185"/>
      <c r="W88" s="185"/>
      <c r="X88" s="185"/>
      <c r="Y88" s="185"/>
      <c r="Z88" s="185"/>
      <c r="AA88" s="185"/>
      <c r="AB88" s="185"/>
    </row>
    <row r="89" spans="1:28" ht="19.899999999999999" customHeight="1">
      <c r="A89" s="1719" t="str">
        <f>적용수량!A20</f>
        <v xml:space="preserve">  1) 재해유형별 정비기본방향</v>
      </c>
      <c r="B89" s="1719"/>
      <c r="C89" s="307"/>
      <c r="D89" s="170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  <c r="AA89" s="112"/>
      <c r="AB89" s="112"/>
    </row>
    <row r="90" spans="1:28" ht="19.899999999999999" customHeight="1">
      <c r="A90" s="1722" t="str">
        <f>적용수량!A21</f>
        <v xml:space="preserve">   가) 침수위험지구(하천재해)</v>
      </c>
      <c r="B90" s="1722"/>
      <c r="C90" s="307" t="str">
        <f>적용수량!B21</f>
        <v>1㎞</v>
      </c>
      <c r="D90" s="170">
        <v>1</v>
      </c>
      <c r="E90" s="112">
        <f>ROUNDDOWN($E$6,3)</f>
        <v>5.14</v>
      </c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  <c r="AA90" s="112"/>
      <c r="AB90" s="112"/>
    </row>
    <row r="91" spans="1:28" ht="19.899999999999999" customHeight="1">
      <c r="A91" s="1722" t="str">
        <f>적용수량!A22</f>
        <v xml:space="preserve">   나) 침수위험지구(내수재해)</v>
      </c>
      <c r="B91" s="1722"/>
      <c r="C91" s="307" t="str">
        <f>적용수량!B22</f>
        <v>1㎞2</v>
      </c>
      <c r="D91" s="170">
        <v>1</v>
      </c>
      <c r="E91" s="112"/>
      <c r="F91" s="112">
        <f>ROUNDDOWN($E$19,2)</f>
        <v>1.95</v>
      </c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</row>
    <row r="92" spans="1:28" ht="19.899999999999999" customHeight="1">
      <c r="A92" s="1722" t="str">
        <f>적용수량!A23</f>
        <v xml:space="preserve">   다) 유실위험지구</v>
      </c>
      <c r="B92" s="1722"/>
      <c r="C92" s="307" t="str">
        <f>적용수량!B23</f>
        <v>1식</v>
      </c>
      <c r="D92" s="170">
        <v>0</v>
      </c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</row>
    <row r="93" spans="1:28" ht="19.899999999999999" customHeight="1">
      <c r="A93" s="1722" t="str">
        <f>적용수량!A24</f>
        <v xml:space="preserve">   라) 고립위험지구</v>
      </c>
      <c r="B93" s="1722"/>
      <c r="C93" s="307" t="str">
        <f>적용수량!B24</f>
        <v>1식</v>
      </c>
      <c r="D93" s="170">
        <v>0</v>
      </c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</row>
    <row r="94" spans="1:28" ht="19.899999999999999" customHeight="1">
      <c r="A94" s="1719" t="str">
        <f>적용수량!A25</f>
        <v xml:space="preserve">  2) 주요시설물 정비계획</v>
      </c>
      <c r="B94" s="1719"/>
      <c r="C94" s="307"/>
      <c r="D94" s="170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</row>
    <row r="95" spans="1:28" s="168" customFormat="1" ht="19.899999999999999" customHeight="1">
      <c r="A95" s="1727" t="str">
        <f>적용수량!A26</f>
        <v xml:space="preserve">   가) 하천. 소하천시설물</v>
      </c>
      <c r="B95" s="1727"/>
      <c r="C95" s="214" t="s">
        <v>185</v>
      </c>
      <c r="D95" s="215">
        <v>1</v>
      </c>
      <c r="E95" s="216">
        <f>ROUNDDOWN($E$6,3)</f>
        <v>5.14</v>
      </c>
      <c r="F95" s="216"/>
      <c r="G95" s="216"/>
      <c r="H95" s="216"/>
      <c r="I95" s="216"/>
      <c r="J95" s="216"/>
      <c r="K95" s="216">
        <f>ROUNDDOWN($D$65,2)</f>
        <v>1.3</v>
      </c>
      <c r="L95" s="216"/>
      <c r="M95" s="216"/>
      <c r="N95" s="216"/>
      <c r="O95" s="216"/>
      <c r="P95" s="216"/>
      <c r="Q95" s="216"/>
      <c r="R95" s="216"/>
      <c r="S95" s="216"/>
      <c r="T95" s="216"/>
      <c r="U95" s="216"/>
      <c r="V95" s="216"/>
      <c r="W95" s="216"/>
      <c r="X95" s="216"/>
      <c r="Y95" s="216"/>
      <c r="Z95" s="216"/>
      <c r="AA95" s="216"/>
      <c r="AB95" s="216"/>
    </row>
    <row r="96" spans="1:28" s="168" customFormat="1" ht="19.899999999999999" customHeight="1">
      <c r="A96" s="1727" t="str">
        <f>적용수량!A27</f>
        <v xml:space="preserve">   나) 배수펌프장 및 유수지</v>
      </c>
      <c r="B96" s="1727"/>
      <c r="C96" s="214" t="s">
        <v>212</v>
      </c>
      <c r="D96" s="215">
        <v>1</v>
      </c>
      <c r="E96" s="216"/>
      <c r="F96" s="216"/>
      <c r="G96" s="216"/>
      <c r="H96" s="216"/>
      <c r="I96" s="216">
        <f>ROUNDDOWN($E$50,2)</f>
        <v>0.2</v>
      </c>
      <c r="J96" s="216"/>
      <c r="K96" s="216">
        <f>ROUNDDOWN($D$65,2)</f>
        <v>1.3</v>
      </c>
      <c r="L96" s="216"/>
      <c r="M96" s="216"/>
      <c r="N96" s="216"/>
      <c r="O96" s="216"/>
      <c r="P96" s="216"/>
      <c r="Q96" s="216"/>
      <c r="R96" s="216"/>
      <c r="S96" s="216"/>
      <c r="T96" s="216"/>
      <c r="U96" s="216"/>
      <c r="V96" s="216"/>
      <c r="W96" s="216"/>
      <c r="X96" s="216"/>
      <c r="Y96" s="216"/>
      <c r="Z96" s="216"/>
      <c r="AA96" s="216"/>
      <c r="AB96" s="216"/>
    </row>
    <row r="97" spans="1:28" s="168" customFormat="1" ht="19.899999999999999" customHeight="1">
      <c r="A97" s="1727" t="str">
        <f>적용수량!A28</f>
        <v xml:space="preserve">   다) 우수관로</v>
      </c>
      <c r="B97" s="1727"/>
      <c r="C97" s="214" t="s">
        <v>245</v>
      </c>
      <c r="D97" s="215">
        <v>1</v>
      </c>
      <c r="E97" s="216"/>
      <c r="F97" s="216"/>
      <c r="G97" s="216">
        <f>ROUNDDOWN($E$37,2)</f>
        <v>0</v>
      </c>
      <c r="H97" s="216"/>
      <c r="I97" s="216"/>
      <c r="J97" s="216"/>
      <c r="K97" s="216">
        <f>ROUNDDOWN($D$65,2)</f>
        <v>1.3</v>
      </c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6"/>
      <c r="AB97" s="216"/>
    </row>
    <row r="98" spans="1:28" s="168" customFormat="1" ht="19.899999999999999" customHeight="1">
      <c r="A98" s="1727" t="str">
        <f>적용수량!A29</f>
        <v xml:space="preserve">   라) 우수유출저감시설</v>
      </c>
      <c r="B98" s="1727"/>
      <c r="C98" s="214" t="s">
        <v>246</v>
      </c>
      <c r="D98" s="215">
        <v>1</v>
      </c>
      <c r="E98" s="216"/>
      <c r="F98" s="216"/>
      <c r="G98" s="216"/>
      <c r="H98" s="216">
        <v>0</v>
      </c>
      <c r="I98" s="216"/>
      <c r="J98" s="216"/>
      <c r="K98" s="216">
        <f>ROUNDDOWN($D$65,2)</f>
        <v>1.3</v>
      </c>
      <c r="L98" s="216"/>
      <c r="M98" s="216"/>
      <c r="N98" s="216"/>
      <c r="O98" s="216"/>
      <c r="P98" s="216"/>
      <c r="Q98" s="216"/>
      <c r="R98" s="216"/>
      <c r="S98" s="216"/>
      <c r="T98" s="216"/>
      <c r="U98" s="216"/>
      <c r="V98" s="216"/>
      <c r="W98" s="216"/>
      <c r="X98" s="216"/>
      <c r="Y98" s="216"/>
      <c r="Z98" s="216"/>
      <c r="AA98" s="216"/>
      <c r="AB98" s="216"/>
    </row>
    <row r="99" spans="1:28" ht="19.899999999999999" customHeight="1">
      <c r="A99" s="1723" t="str">
        <f>적용수량!A30</f>
        <v xml:space="preserve"> 마. 성과품 작성</v>
      </c>
      <c r="B99" s="1723"/>
      <c r="C99" s="183"/>
      <c r="D99" s="184"/>
      <c r="E99" s="185"/>
      <c r="F99" s="185"/>
      <c r="G99" s="185"/>
      <c r="H99" s="185"/>
      <c r="I99" s="185"/>
      <c r="J99" s="185"/>
      <c r="K99" s="185"/>
      <c r="L99" s="185"/>
      <c r="M99" s="185"/>
      <c r="N99" s="185"/>
      <c r="O99" s="185"/>
      <c r="P99" s="185"/>
      <c r="Q99" s="185"/>
      <c r="R99" s="185"/>
      <c r="S99" s="185"/>
      <c r="T99" s="185"/>
      <c r="U99" s="185"/>
      <c r="V99" s="185"/>
      <c r="W99" s="185"/>
      <c r="X99" s="185"/>
      <c r="Y99" s="185"/>
      <c r="Z99" s="185"/>
      <c r="AA99" s="185"/>
      <c r="AB99" s="185"/>
    </row>
    <row r="100" spans="1:28" ht="19.899999999999999" customHeight="1">
      <c r="A100" s="1722" t="str">
        <f>적용수량!A31</f>
        <v xml:space="preserve">  1) 기본계획 보고서</v>
      </c>
      <c r="B100" s="1722"/>
      <c r="C100" s="307" t="str">
        <f>적용수량!B31</f>
        <v>식</v>
      </c>
      <c r="D100" s="170">
        <v>1</v>
      </c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</row>
    <row r="101" spans="1:28" ht="19.899999999999999" customHeight="1">
      <c r="A101" s="1722" t="str">
        <f>적용수량!A32</f>
        <v xml:space="preserve">  2) 중간 및 최종 보고자료 작성 (PPT)</v>
      </c>
      <c r="B101" s="1722"/>
      <c r="C101" s="307" t="str">
        <f>적용수량!B32</f>
        <v>식</v>
      </c>
      <c r="D101" s="170">
        <v>1</v>
      </c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  <c r="AA101" s="112"/>
      <c r="AB101" s="112">
        <f>$E$69</f>
        <v>1.3</v>
      </c>
    </row>
  </sheetData>
  <mergeCells count="58">
    <mergeCell ref="D65:E65"/>
    <mergeCell ref="A57:C57"/>
    <mergeCell ref="D57:E57"/>
    <mergeCell ref="A58:C58"/>
    <mergeCell ref="D58:E58"/>
    <mergeCell ref="D61:E61"/>
    <mergeCell ref="D59:E59"/>
    <mergeCell ref="A59:C59"/>
    <mergeCell ref="A60:C60"/>
    <mergeCell ref="D60:E60"/>
    <mergeCell ref="A61:C61"/>
    <mergeCell ref="A62:C62"/>
    <mergeCell ref="D62:E62"/>
    <mergeCell ref="A63:C63"/>
    <mergeCell ref="D63:E63"/>
    <mergeCell ref="A82:B82"/>
    <mergeCell ref="A99:B99"/>
    <mergeCell ref="A100:B100"/>
    <mergeCell ref="A101:B101"/>
    <mergeCell ref="A88:B88"/>
    <mergeCell ref="A94:B94"/>
    <mergeCell ref="A95:B95"/>
    <mergeCell ref="A96:B96"/>
    <mergeCell ref="A97:B97"/>
    <mergeCell ref="A98:B98"/>
    <mergeCell ref="A91:B91"/>
    <mergeCell ref="A92:B92"/>
    <mergeCell ref="A93:B93"/>
    <mergeCell ref="A90:B90"/>
    <mergeCell ref="A89:B89"/>
    <mergeCell ref="D56:E56"/>
    <mergeCell ref="A55:F55"/>
    <mergeCell ref="B47:C47"/>
    <mergeCell ref="B42:C42"/>
    <mergeCell ref="B25:C25"/>
    <mergeCell ref="A78:B78"/>
    <mergeCell ref="A79:B79"/>
    <mergeCell ref="B5:C5"/>
    <mergeCell ref="B12:C12"/>
    <mergeCell ref="B18:C18"/>
    <mergeCell ref="A56:C56"/>
    <mergeCell ref="A65:C65"/>
    <mergeCell ref="A80:B80"/>
    <mergeCell ref="A81:B81"/>
    <mergeCell ref="A64:C64"/>
    <mergeCell ref="D64:E64"/>
    <mergeCell ref="A87:B87"/>
    <mergeCell ref="A83:B83"/>
    <mergeCell ref="A84:B84"/>
    <mergeCell ref="D72:AB72"/>
    <mergeCell ref="A75:B75"/>
    <mergeCell ref="A72:B73"/>
    <mergeCell ref="C72:C73"/>
    <mergeCell ref="A85:B85"/>
    <mergeCell ref="A86:B86"/>
    <mergeCell ref="A74:B74"/>
    <mergeCell ref="A76:B76"/>
    <mergeCell ref="A77:B77"/>
  </mergeCells>
  <phoneticPr fontId="181" type="noConversion"/>
  <printOptions horizontalCentered="1"/>
  <pageMargins left="0.47244094488188981" right="0.47244094488188981" top="0.78740157480314965" bottom="0.59055118110236227" header="0.39370078740157483" footer="0.39370078740157483"/>
  <pageSetup paperSize="9" scale="35" fitToHeight="0" orientation="portrait" r:id="rId1"/>
  <rowBreaks count="1" manualBreakCount="1">
    <brk id="7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적용수량">
    <tabColor rgb="FF92D050"/>
    <pageSetUpPr fitToPage="1"/>
  </sheetPr>
  <dimension ref="A1:AO32"/>
  <sheetViews>
    <sheetView view="pageBreakPreview" zoomScale="70" zoomScaleNormal="100" zoomScaleSheetLayoutView="70" workbookViewId="0">
      <pane xSplit="4" ySplit="3" topLeftCell="E28" activePane="bottomRight" state="frozen"/>
      <selection pane="topRight"/>
      <selection pane="bottomLeft"/>
      <selection pane="bottomRight" activeCell="E26" sqref="E26"/>
    </sheetView>
  </sheetViews>
  <sheetFormatPr defaultColWidth="8.77734375" defaultRowHeight="30" customHeight="1"/>
  <cols>
    <col min="1" max="1" width="55.44140625" style="36" bestFit="1" customWidth="1"/>
    <col min="2" max="2" width="14.21875" style="77" bestFit="1" customWidth="1"/>
    <col min="3" max="3" width="22.6640625" style="151" bestFit="1" customWidth="1"/>
    <col min="4" max="4" width="9.109375" style="125" customWidth="1"/>
    <col min="5" max="5" width="9.21875" style="125" bestFit="1" customWidth="1"/>
    <col min="6" max="29" width="6.77734375" style="125" customWidth="1"/>
    <col min="30" max="30" width="12.21875" style="125" customWidth="1"/>
    <col min="31" max="275" width="8.88671875" style="36"/>
    <col min="276" max="276" width="30.77734375" style="36" customWidth="1"/>
    <col min="277" max="277" width="9.77734375" style="36" customWidth="1"/>
    <col min="278" max="278" width="15.77734375" style="36" customWidth="1"/>
    <col min="279" max="284" width="13.77734375" style="36" customWidth="1"/>
    <col min="285" max="285" width="20.77734375" style="36" customWidth="1"/>
    <col min="286" max="286" width="5.77734375" style="36" customWidth="1"/>
    <col min="287" max="531" width="8.88671875" style="36"/>
    <col min="532" max="532" width="30.77734375" style="36" customWidth="1"/>
    <col min="533" max="533" width="9.77734375" style="36" customWidth="1"/>
    <col min="534" max="534" width="15.77734375" style="36" customWidth="1"/>
    <col min="535" max="540" width="13.77734375" style="36" customWidth="1"/>
    <col min="541" max="541" width="20.77734375" style="36" customWidth="1"/>
    <col min="542" max="542" width="5.77734375" style="36" customWidth="1"/>
    <col min="543" max="787" width="8.88671875" style="36"/>
    <col min="788" max="788" width="30.77734375" style="36" customWidth="1"/>
    <col min="789" max="789" width="9.77734375" style="36" customWidth="1"/>
    <col min="790" max="790" width="15.77734375" style="36" customWidth="1"/>
    <col min="791" max="796" width="13.77734375" style="36" customWidth="1"/>
    <col min="797" max="797" width="20.77734375" style="36" customWidth="1"/>
    <col min="798" max="798" width="5.77734375" style="36" customWidth="1"/>
    <col min="799" max="1043" width="8.88671875" style="36"/>
    <col min="1044" max="1044" width="30.77734375" style="36" customWidth="1"/>
    <col min="1045" max="1045" width="9.77734375" style="36" customWidth="1"/>
    <col min="1046" max="1046" width="15.77734375" style="36" customWidth="1"/>
    <col min="1047" max="1052" width="13.77734375" style="36" customWidth="1"/>
    <col min="1053" max="1053" width="20.77734375" style="36" customWidth="1"/>
    <col min="1054" max="1054" width="5.77734375" style="36" customWidth="1"/>
    <col min="1055" max="1299" width="8.88671875" style="36"/>
    <col min="1300" max="1300" width="30.77734375" style="36" customWidth="1"/>
    <col min="1301" max="1301" width="9.77734375" style="36" customWidth="1"/>
    <col min="1302" max="1302" width="15.77734375" style="36" customWidth="1"/>
    <col min="1303" max="1308" width="13.77734375" style="36" customWidth="1"/>
    <col min="1309" max="1309" width="20.77734375" style="36" customWidth="1"/>
    <col min="1310" max="1310" width="5.77734375" style="36" customWidth="1"/>
    <col min="1311" max="1555" width="8.88671875" style="36"/>
    <col min="1556" max="1556" width="30.77734375" style="36" customWidth="1"/>
    <col min="1557" max="1557" width="9.77734375" style="36" customWidth="1"/>
    <col min="1558" max="1558" width="15.77734375" style="36" customWidth="1"/>
    <col min="1559" max="1564" width="13.77734375" style="36" customWidth="1"/>
    <col min="1565" max="1565" width="20.77734375" style="36" customWidth="1"/>
    <col min="1566" max="1566" width="5.77734375" style="36" customWidth="1"/>
    <col min="1567" max="1811" width="8.88671875" style="36"/>
    <col min="1812" max="1812" width="30.77734375" style="36" customWidth="1"/>
    <col min="1813" max="1813" width="9.77734375" style="36" customWidth="1"/>
    <col min="1814" max="1814" width="15.77734375" style="36" customWidth="1"/>
    <col min="1815" max="1820" width="13.77734375" style="36" customWidth="1"/>
    <col min="1821" max="1821" width="20.77734375" style="36" customWidth="1"/>
    <col min="1822" max="1822" width="5.77734375" style="36" customWidth="1"/>
    <col min="1823" max="2067" width="8.88671875" style="36"/>
    <col min="2068" max="2068" width="30.77734375" style="36" customWidth="1"/>
    <col min="2069" max="2069" width="9.77734375" style="36" customWidth="1"/>
    <col min="2070" max="2070" width="15.77734375" style="36" customWidth="1"/>
    <col min="2071" max="2076" width="13.77734375" style="36" customWidth="1"/>
    <col min="2077" max="2077" width="20.77734375" style="36" customWidth="1"/>
    <col min="2078" max="2078" width="5.77734375" style="36" customWidth="1"/>
    <col min="2079" max="2323" width="8.88671875" style="36"/>
    <col min="2324" max="2324" width="30.77734375" style="36" customWidth="1"/>
    <col min="2325" max="2325" width="9.77734375" style="36" customWidth="1"/>
    <col min="2326" max="2326" width="15.77734375" style="36" customWidth="1"/>
    <col min="2327" max="2332" width="13.77734375" style="36" customWidth="1"/>
    <col min="2333" max="2333" width="20.77734375" style="36" customWidth="1"/>
    <col min="2334" max="2334" width="5.77734375" style="36" customWidth="1"/>
    <col min="2335" max="2579" width="8.88671875" style="36"/>
    <col min="2580" max="2580" width="30.77734375" style="36" customWidth="1"/>
    <col min="2581" max="2581" width="9.77734375" style="36" customWidth="1"/>
    <col min="2582" max="2582" width="15.77734375" style="36" customWidth="1"/>
    <col min="2583" max="2588" width="13.77734375" style="36" customWidth="1"/>
    <col min="2589" max="2589" width="20.77734375" style="36" customWidth="1"/>
    <col min="2590" max="2590" width="5.77734375" style="36" customWidth="1"/>
    <col min="2591" max="2835" width="8.88671875" style="36"/>
    <col min="2836" max="2836" width="30.77734375" style="36" customWidth="1"/>
    <col min="2837" max="2837" width="9.77734375" style="36" customWidth="1"/>
    <col min="2838" max="2838" width="15.77734375" style="36" customWidth="1"/>
    <col min="2839" max="2844" width="13.77734375" style="36" customWidth="1"/>
    <col min="2845" max="2845" width="20.77734375" style="36" customWidth="1"/>
    <col min="2846" max="2846" width="5.77734375" style="36" customWidth="1"/>
    <col min="2847" max="3091" width="8.88671875" style="36"/>
    <col min="3092" max="3092" width="30.77734375" style="36" customWidth="1"/>
    <col min="3093" max="3093" width="9.77734375" style="36" customWidth="1"/>
    <col min="3094" max="3094" width="15.77734375" style="36" customWidth="1"/>
    <col min="3095" max="3100" width="13.77734375" style="36" customWidth="1"/>
    <col min="3101" max="3101" width="20.77734375" style="36" customWidth="1"/>
    <col min="3102" max="3102" width="5.77734375" style="36" customWidth="1"/>
    <col min="3103" max="3347" width="8.88671875" style="36"/>
    <col min="3348" max="3348" width="30.77734375" style="36" customWidth="1"/>
    <col min="3349" max="3349" width="9.77734375" style="36" customWidth="1"/>
    <col min="3350" max="3350" width="15.77734375" style="36" customWidth="1"/>
    <col min="3351" max="3356" width="13.77734375" style="36" customWidth="1"/>
    <col min="3357" max="3357" width="20.77734375" style="36" customWidth="1"/>
    <col min="3358" max="3358" width="5.77734375" style="36" customWidth="1"/>
    <col min="3359" max="3603" width="8.88671875" style="36"/>
    <col min="3604" max="3604" width="30.77734375" style="36" customWidth="1"/>
    <col min="3605" max="3605" width="9.77734375" style="36" customWidth="1"/>
    <col min="3606" max="3606" width="15.77734375" style="36" customWidth="1"/>
    <col min="3607" max="3612" width="13.77734375" style="36" customWidth="1"/>
    <col min="3613" max="3613" width="20.77734375" style="36" customWidth="1"/>
    <col min="3614" max="3614" width="5.77734375" style="36" customWidth="1"/>
    <col min="3615" max="3859" width="8.88671875" style="36"/>
    <col min="3860" max="3860" width="30.77734375" style="36" customWidth="1"/>
    <col min="3861" max="3861" width="9.77734375" style="36" customWidth="1"/>
    <col min="3862" max="3862" width="15.77734375" style="36" customWidth="1"/>
    <col min="3863" max="3868" width="13.77734375" style="36" customWidth="1"/>
    <col min="3869" max="3869" width="20.77734375" style="36" customWidth="1"/>
    <col min="3870" max="3870" width="5.77734375" style="36" customWidth="1"/>
    <col min="3871" max="4115" width="8.88671875" style="36"/>
    <col min="4116" max="4116" width="30.77734375" style="36" customWidth="1"/>
    <col min="4117" max="4117" width="9.77734375" style="36" customWidth="1"/>
    <col min="4118" max="4118" width="15.77734375" style="36" customWidth="1"/>
    <col min="4119" max="4124" width="13.77734375" style="36" customWidth="1"/>
    <col min="4125" max="4125" width="20.77734375" style="36" customWidth="1"/>
    <col min="4126" max="4126" width="5.77734375" style="36" customWidth="1"/>
    <col min="4127" max="4371" width="8.88671875" style="36"/>
    <col min="4372" max="4372" width="30.77734375" style="36" customWidth="1"/>
    <col min="4373" max="4373" width="9.77734375" style="36" customWidth="1"/>
    <col min="4374" max="4374" width="15.77734375" style="36" customWidth="1"/>
    <col min="4375" max="4380" width="13.77734375" style="36" customWidth="1"/>
    <col min="4381" max="4381" width="20.77734375" style="36" customWidth="1"/>
    <col min="4382" max="4382" width="5.77734375" style="36" customWidth="1"/>
    <col min="4383" max="4627" width="8.88671875" style="36"/>
    <col min="4628" max="4628" width="30.77734375" style="36" customWidth="1"/>
    <col min="4629" max="4629" width="9.77734375" style="36" customWidth="1"/>
    <col min="4630" max="4630" width="15.77734375" style="36" customWidth="1"/>
    <col min="4631" max="4636" width="13.77734375" style="36" customWidth="1"/>
    <col min="4637" max="4637" width="20.77734375" style="36" customWidth="1"/>
    <col min="4638" max="4638" width="5.77734375" style="36" customWidth="1"/>
    <col min="4639" max="4883" width="8.88671875" style="36"/>
    <col min="4884" max="4884" width="30.77734375" style="36" customWidth="1"/>
    <col min="4885" max="4885" width="9.77734375" style="36" customWidth="1"/>
    <col min="4886" max="4886" width="15.77734375" style="36" customWidth="1"/>
    <col min="4887" max="4892" width="13.77734375" style="36" customWidth="1"/>
    <col min="4893" max="4893" width="20.77734375" style="36" customWidth="1"/>
    <col min="4894" max="4894" width="5.77734375" style="36" customWidth="1"/>
    <col min="4895" max="5139" width="8.88671875" style="36"/>
    <col min="5140" max="5140" width="30.77734375" style="36" customWidth="1"/>
    <col min="5141" max="5141" width="9.77734375" style="36" customWidth="1"/>
    <col min="5142" max="5142" width="15.77734375" style="36" customWidth="1"/>
    <col min="5143" max="5148" width="13.77734375" style="36" customWidth="1"/>
    <col min="5149" max="5149" width="20.77734375" style="36" customWidth="1"/>
    <col min="5150" max="5150" width="5.77734375" style="36" customWidth="1"/>
    <col min="5151" max="5395" width="8.88671875" style="36"/>
    <col min="5396" max="5396" width="30.77734375" style="36" customWidth="1"/>
    <col min="5397" max="5397" width="9.77734375" style="36" customWidth="1"/>
    <col min="5398" max="5398" width="15.77734375" style="36" customWidth="1"/>
    <col min="5399" max="5404" width="13.77734375" style="36" customWidth="1"/>
    <col min="5405" max="5405" width="20.77734375" style="36" customWidth="1"/>
    <col min="5406" max="5406" width="5.77734375" style="36" customWidth="1"/>
    <col min="5407" max="5651" width="8.88671875" style="36"/>
    <col min="5652" max="5652" width="30.77734375" style="36" customWidth="1"/>
    <col min="5653" max="5653" width="9.77734375" style="36" customWidth="1"/>
    <col min="5654" max="5654" width="15.77734375" style="36" customWidth="1"/>
    <col min="5655" max="5660" width="13.77734375" style="36" customWidth="1"/>
    <col min="5661" max="5661" width="20.77734375" style="36" customWidth="1"/>
    <col min="5662" max="5662" width="5.77734375" style="36" customWidth="1"/>
    <col min="5663" max="5907" width="8.88671875" style="36"/>
    <col min="5908" max="5908" width="30.77734375" style="36" customWidth="1"/>
    <col min="5909" max="5909" width="9.77734375" style="36" customWidth="1"/>
    <col min="5910" max="5910" width="15.77734375" style="36" customWidth="1"/>
    <col min="5911" max="5916" width="13.77734375" style="36" customWidth="1"/>
    <col min="5917" max="5917" width="20.77734375" style="36" customWidth="1"/>
    <col min="5918" max="5918" width="5.77734375" style="36" customWidth="1"/>
    <col min="5919" max="6163" width="8.88671875" style="36"/>
    <col min="6164" max="6164" width="30.77734375" style="36" customWidth="1"/>
    <col min="6165" max="6165" width="9.77734375" style="36" customWidth="1"/>
    <col min="6166" max="6166" width="15.77734375" style="36" customWidth="1"/>
    <col min="6167" max="6172" width="13.77734375" style="36" customWidth="1"/>
    <col min="6173" max="6173" width="20.77734375" style="36" customWidth="1"/>
    <col min="6174" max="6174" width="5.77734375" style="36" customWidth="1"/>
    <col min="6175" max="6419" width="8.88671875" style="36"/>
    <col min="6420" max="6420" width="30.77734375" style="36" customWidth="1"/>
    <col min="6421" max="6421" width="9.77734375" style="36" customWidth="1"/>
    <col min="6422" max="6422" width="15.77734375" style="36" customWidth="1"/>
    <col min="6423" max="6428" width="13.77734375" style="36" customWidth="1"/>
    <col min="6429" max="6429" width="20.77734375" style="36" customWidth="1"/>
    <col min="6430" max="6430" width="5.77734375" style="36" customWidth="1"/>
    <col min="6431" max="6675" width="8.88671875" style="36"/>
    <col min="6676" max="6676" width="30.77734375" style="36" customWidth="1"/>
    <col min="6677" max="6677" width="9.77734375" style="36" customWidth="1"/>
    <col min="6678" max="6678" width="15.77734375" style="36" customWidth="1"/>
    <col min="6679" max="6684" width="13.77734375" style="36" customWidth="1"/>
    <col min="6685" max="6685" width="20.77734375" style="36" customWidth="1"/>
    <col min="6686" max="6686" width="5.77734375" style="36" customWidth="1"/>
    <col min="6687" max="6931" width="8.88671875" style="36"/>
    <col min="6932" max="6932" width="30.77734375" style="36" customWidth="1"/>
    <col min="6933" max="6933" width="9.77734375" style="36" customWidth="1"/>
    <col min="6934" max="6934" width="15.77734375" style="36" customWidth="1"/>
    <col min="6935" max="6940" width="13.77734375" style="36" customWidth="1"/>
    <col min="6941" max="6941" width="20.77734375" style="36" customWidth="1"/>
    <col min="6942" max="6942" width="5.77734375" style="36" customWidth="1"/>
    <col min="6943" max="7187" width="8.88671875" style="36"/>
    <col min="7188" max="7188" width="30.77734375" style="36" customWidth="1"/>
    <col min="7189" max="7189" width="9.77734375" style="36" customWidth="1"/>
    <col min="7190" max="7190" width="15.77734375" style="36" customWidth="1"/>
    <col min="7191" max="7196" width="13.77734375" style="36" customWidth="1"/>
    <col min="7197" max="7197" width="20.77734375" style="36" customWidth="1"/>
    <col min="7198" max="7198" width="5.77734375" style="36" customWidth="1"/>
    <col min="7199" max="7443" width="8.88671875" style="36"/>
    <col min="7444" max="7444" width="30.77734375" style="36" customWidth="1"/>
    <col min="7445" max="7445" width="9.77734375" style="36" customWidth="1"/>
    <col min="7446" max="7446" width="15.77734375" style="36" customWidth="1"/>
    <col min="7447" max="7452" width="13.77734375" style="36" customWidth="1"/>
    <col min="7453" max="7453" width="20.77734375" style="36" customWidth="1"/>
    <col min="7454" max="7454" width="5.77734375" style="36" customWidth="1"/>
    <col min="7455" max="7699" width="8.88671875" style="36"/>
    <col min="7700" max="7700" width="30.77734375" style="36" customWidth="1"/>
    <col min="7701" max="7701" width="9.77734375" style="36" customWidth="1"/>
    <col min="7702" max="7702" width="15.77734375" style="36" customWidth="1"/>
    <col min="7703" max="7708" width="13.77734375" style="36" customWidth="1"/>
    <col min="7709" max="7709" width="20.77734375" style="36" customWidth="1"/>
    <col min="7710" max="7710" width="5.77734375" style="36" customWidth="1"/>
    <col min="7711" max="7955" width="8.88671875" style="36"/>
    <col min="7956" max="7956" width="30.77734375" style="36" customWidth="1"/>
    <col min="7957" max="7957" width="9.77734375" style="36" customWidth="1"/>
    <col min="7958" max="7958" width="15.77734375" style="36" customWidth="1"/>
    <col min="7959" max="7964" width="13.77734375" style="36" customWidth="1"/>
    <col min="7965" max="7965" width="20.77734375" style="36" customWidth="1"/>
    <col min="7966" max="7966" width="5.77734375" style="36" customWidth="1"/>
    <col min="7967" max="8211" width="8.88671875" style="36"/>
    <col min="8212" max="8212" width="30.77734375" style="36" customWidth="1"/>
    <col min="8213" max="8213" width="9.77734375" style="36" customWidth="1"/>
    <col min="8214" max="8214" width="15.77734375" style="36" customWidth="1"/>
    <col min="8215" max="8220" width="13.77734375" style="36" customWidth="1"/>
    <col min="8221" max="8221" width="20.77734375" style="36" customWidth="1"/>
    <col min="8222" max="8222" width="5.77734375" style="36" customWidth="1"/>
    <col min="8223" max="8467" width="8.88671875" style="36"/>
    <col min="8468" max="8468" width="30.77734375" style="36" customWidth="1"/>
    <col min="8469" max="8469" width="9.77734375" style="36" customWidth="1"/>
    <col min="8470" max="8470" width="15.77734375" style="36" customWidth="1"/>
    <col min="8471" max="8476" width="13.77734375" style="36" customWidth="1"/>
    <col min="8477" max="8477" width="20.77734375" style="36" customWidth="1"/>
    <col min="8478" max="8478" width="5.77734375" style="36" customWidth="1"/>
    <col min="8479" max="8723" width="8.88671875" style="36"/>
    <col min="8724" max="8724" width="30.77734375" style="36" customWidth="1"/>
    <col min="8725" max="8725" width="9.77734375" style="36" customWidth="1"/>
    <col min="8726" max="8726" width="15.77734375" style="36" customWidth="1"/>
    <col min="8727" max="8732" width="13.77734375" style="36" customWidth="1"/>
    <col min="8733" max="8733" width="20.77734375" style="36" customWidth="1"/>
    <col min="8734" max="8734" width="5.77734375" style="36" customWidth="1"/>
    <col min="8735" max="8979" width="8.88671875" style="36"/>
    <col min="8980" max="8980" width="30.77734375" style="36" customWidth="1"/>
    <col min="8981" max="8981" width="9.77734375" style="36" customWidth="1"/>
    <col min="8982" max="8982" width="15.77734375" style="36" customWidth="1"/>
    <col min="8983" max="8988" width="13.77734375" style="36" customWidth="1"/>
    <col min="8989" max="8989" width="20.77734375" style="36" customWidth="1"/>
    <col min="8990" max="8990" width="5.77734375" style="36" customWidth="1"/>
    <col min="8991" max="9235" width="8.88671875" style="36"/>
    <col min="9236" max="9236" width="30.77734375" style="36" customWidth="1"/>
    <col min="9237" max="9237" width="9.77734375" style="36" customWidth="1"/>
    <col min="9238" max="9238" width="15.77734375" style="36" customWidth="1"/>
    <col min="9239" max="9244" width="13.77734375" style="36" customWidth="1"/>
    <col min="9245" max="9245" width="20.77734375" style="36" customWidth="1"/>
    <col min="9246" max="9246" width="5.77734375" style="36" customWidth="1"/>
    <col min="9247" max="9491" width="8.88671875" style="36"/>
    <col min="9492" max="9492" width="30.77734375" style="36" customWidth="1"/>
    <col min="9493" max="9493" width="9.77734375" style="36" customWidth="1"/>
    <col min="9494" max="9494" width="15.77734375" style="36" customWidth="1"/>
    <col min="9495" max="9500" width="13.77734375" style="36" customWidth="1"/>
    <col min="9501" max="9501" width="20.77734375" style="36" customWidth="1"/>
    <col min="9502" max="9502" width="5.77734375" style="36" customWidth="1"/>
    <col min="9503" max="9747" width="8.88671875" style="36"/>
    <col min="9748" max="9748" width="30.77734375" style="36" customWidth="1"/>
    <col min="9749" max="9749" width="9.77734375" style="36" customWidth="1"/>
    <col min="9750" max="9750" width="15.77734375" style="36" customWidth="1"/>
    <col min="9751" max="9756" width="13.77734375" style="36" customWidth="1"/>
    <col min="9757" max="9757" width="20.77734375" style="36" customWidth="1"/>
    <col min="9758" max="9758" width="5.77734375" style="36" customWidth="1"/>
    <col min="9759" max="10003" width="8.88671875" style="36"/>
    <col min="10004" max="10004" width="30.77734375" style="36" customWidth="1"/>
    <col min="10005" max="10005" width="9.77734375" style="36" customWidth="1"/>
    <col min="10006" max="10006" width="15.77734375" style="36" customWidth="1"/>
    <col min="10007" max="10012" width="13.77734375" style="36" customWidth="1"/>
    <col min="10013" max="10013" width="20.77734375" style="36" customWidth="1"/>
    <col min="10014" max="10014" width="5.77734375" style="36" customWidth="1"/>
    <col min="10015" max="10259" width="8.88671875" style="36"/>
    <col min="10260" max="10260" width="30.77734375" style="36" customWidth="1"/>
    <col min="10261" max="10261" width="9.77734375" style="36" customWidth="1"/>
    <col min="10262" max="10262" width="15.77734375" style="36" customWidth="1"/>
    <col min="10263" max="10268" width="13.77734375" style="36" customWidth="1"/>
    <col min="10269" max="10269" width="20.77734375" style="36" customWidth="1"/>
    <col min="10270" max="10270" width="5.77734375" style="36" customWidth="1"/>
    <col min="10271" max="10515" width="8.88671875" style="36"/>
    <col min="10516" max="10516" width="30.77734375" style="36" customWidth="1"/>
    <col min="10517" max="10517" width="9.77734375" style="36" customWidth="1"/>
    <col min="10518" max="10518" width="15.77734375" style="36" customWidth="1"/>
    <col min="10519" max="10524" width="13.77734375" style="36" customWidth="1"/>
    <col min="10525" max="10525" width="20.77734375" style="36" customWidth="1"/>
    <col min="10526" max="10526" width="5.77734375" style="36" customWidth="1"/>
    <col min="10527" max="10771" width="8.88671875" style="36"/>
    <col min="10772" max="10772" width="30.77734375" style="36" customWidth="1"/>
    <col min="10773" max="10773" width="9.77734375" style="36" customWidth="1"/>
    <col min="10774" max="10774" width="15.77734375" style="36" customWidth="1"/>
    <col min="10775" max="10780" width="13.77734375" style="36" customWidth="1"/>
    <col min="10781" max="10781" width="20.77734375" style="36" customWidth="1"/>
    <col min="10782" max="10782" width="5.77734375" style="36" customWidth="1"/>
    <col min="10783" max="11027" width="8.88671875" style="36"/>
    <col min="11028" max="11028" width="30.77734375" style="36" customWidth="1"/>
    <col min="11029" max="11029" width="9.77734375" style="36" customWidth="1"/>
    <col min="11030" max="11030" width="15.77734375" style="36" customWidth="1"/>
    <col min="11031" max="11036" width="13.77734375" style="36" customWidth="1"/>
    <col min="11037" max="11037" width="20.77734375" style="36" customWidth="1"/>
    <col min="11038" max="11038" width="5.77734375" style="36" customWidth="1"/>
    <col min="11039" max="11283" width="8.88671875" style="36"/>
    <col min="11284" max="11284" width="30.77734375" style="36" customWidth="1"/>
    <col min="11285" max="11285" width="9.77734375" style="36" customWidth="1"/>
    <col min="11286" max="11286" width="15.77734375" style="36" customWidth="1"/>
    <col min="11287" max="11292" width="13.77734375" style="36" customWidth="1"/>
    <col min="11293" max="11293" width="20.77734375" style="36" customWidth="1"/>
    <col min="11294" max="11294" width="5.77734375" style="36" customWidth="1"/>
    <col min="11295" max="11539" width="8.88671875" style="36"/>
    <col min="11540" max="11540" width="30.77734375" style="36" customWidth="1"/>
    <col min="11541" max="11541" width="9.77734375" style="36" customWidth="1"/>
    <col min="11542" max="11542" width="15.77734375" style="36" customWidth="1"/>
    <col min="11543" max="11548" width="13.77734375" style="36" customWidth="1"/>
    <col min="11549" max="11549" width="20.77734375" style="36" customWidth="1"/>
    <col min="11550" max="11550" width="5.77734375" style="36" customWidth="1"/>
    <col min="11551" max="11795" width="8.88671875" style="36"/>
    <col min="11796" max="11796" width="30.77734375" style="36" customWidth="1"/>
    <col min="11797" max="11797" width="9.77734375" style="36" customWidth="1"/>
    <col min="11798" max="11798" width="15.77734375" style="36" customWidth="1"/>
    <col min="11799" max="11804" width="13.77734375" style="36" customWidth="1"/>
    <col min="11805" max="11805" width="20.77734375" style="36" customWidth="1"/>
    <col min="11806" max="11806" width="5.77734375" style="36" customWidth="1"/>
    <col min="11807" max="12051" width="8.88671875" style="36"/>
    <col min="12052" max="12052" width="30.77734375" style="36" customWidth="1"/>
    <col min="12053" max="12053" width="9.77734375" style="36" customWidth="1"/>
    <col min="12054" max="12054" width="15.77734375" style="36" customWidth="1"/>
    <col min="12055" max="12060" width="13.77734375" style="36" customWidth="1"/>
    <col min="12061" max="12061" width="20.77734375" style="36" customWidth="1"/>
    <col min="12062" max="12062" width="5.77734375" style="36" customWidth="1"/>
    <col min="12063" max="12307" width="8.88671875" style="36"/>
    <col min="12308" max="12308" width="30.77734375" style="36" customWidth="1"/>
    <col min="12309" max="12309" width="9.77734375" style="36" customWidth="1"/>
    <col min="12310" max="12310" width="15.77734375" style="36" customWidth="1"/>
    <col min="12311" max="12316" width="13.77734375" style="36" customWidth="1"/>
    <col min="12317" max="12317" width="20.77734375" style="36" customWidth="1"/>
    <col min="12318" max="12318" width="5.77734375" style="36" customWidth="1"/>
    <col min="12319" max="12563" width="8.88671875" style="36"/>
    <col min="12564" max="12564" width="30.77734375" style="36" customWidth="1"/>
    <col min="12565" max="12565" width="9.77734375" style="36" customWidth="1"/>
    <col min="12566" max="12566" width="15.77734375" style="36" customWidth="1"/>
    <col min="12567" max="12572" width="13.77734375" style="36" customWidth="1"/>
    <col min="12573" max="12573" width="20.77734375" style="36" customWidth="1"/>
    <col min="12574" max="12574" width="5.77734375" style="36" customWidth="1"/>
    <col min="12575" max="12819" width="8.88671875" style="36"/>
    <col min="12820" max="12820" width="30.77734375" style="36" customWidth="1"/>
    <col min="12821" max="12821" width="9.77734375" style="36" customWidth="1"/>
    <col min="12822" max="12822" width="15.77734375" style="36" customWidth="1"/>
    <col min="12823" max="12828" width="13.77734375" style="36" customWidth="1"/>
    <col min="12829" max="12829" width="20.77734375" style="36" customWidth="1"/>
    <col min="12830" max="12830" width="5.77734375" style="36" customWidth="1"/>
    <col min="12831" max="13075" width="8.88671875" style="36"/>
    <col min="13076" max="13076" width="30.77734375" style="36" customWidth="1"/>
    <col min="13077" max="13077" width="9.77734375" style="36" customWidth="1"/>
    <col min="13078" max="13078" width="15.77734375" style="36" customWidth="1"/>
    <col min="13079" max="13084" width="13.77734375" style="36" customWidth="1"/>
    <col min="13085" max="13085" width="20.77734375" style="36" customWidth="1"/>
    <col min="13086" max="13086" width="5.77734375" style="36" customWidth="1"/>
    <col min="13087" max="13331" width="8.88671875" style="36"/>
    <col min="13332" max="13332" width="30.77734375" style="36" customWidth="1"/>
    <col min="13333" max="13333" width="9.77734375" style="36" customWidth="1"/>
    <col min="13334" max="13334" width="15.77734375" style="36" customWidth="1"/>
    <col min="13335" max="13340" width="13.77734375" style="36" customWidth="1"/>
    <col min="13341" max="13341" width="20.77734375" style="36" customWidth="1"/>
    <col min="13342" max="13342" width="5.77734375" style="36" customWidth="1"/>
    <col min="13343" max="13587" width="8.88671875" style="36"/>
    <col min="13588" max="13588" width="30.77734375" style="36" customWidth="1"/>
    <col min="13589" max="13589" width="9.77734375" style="36" customWidth="1"/>
    <col min="13590" max="13590" width="15.77734375" style="36" customWidth="1"/>
    <col min="13591" max="13596" width="13.77734375" style="36" customWidth="1"/>
    <col min="13597" max="13597" width="20.77734375" style="36" customWidth="1"/>
    <col min="13598" max="13598" width="5.77734375" style="36" customWidth="1"/>
    <col min="13599" max="13843" width="8.88671875" style="36"/>
    <col min="13844" max="13844" width="30.77734375" style="36" customWidth="1"/>
    <col min="13845" max="13845" width="9.77734375" style="36" customWidth="1"/>
    <col min="13846" max="13846" width="15.77734375" style="36" customWidth="1"/>
    <col min="13847" max="13852" width="13.77734375" style="36" customWidth="1"/>
    <col min="13853" max="13853" width="20.77734375" style="36" customWidth="1"/>
    <col min="13854" max="13854" width="5.77734375" style="36" customWidth="1"/>
    <col min="13855" max="14099" width="8.88671875" style="36"/>
    <col min="14100" max="14100" width="30.77734375" style="36" customWidth="1"/>
    <col min="14101" max="14101" width="9.77734375" style="36" customWidth="1"/>
    <col min="14102" max="14102" width="15.77734375" style="36" customWidth="1"/>
    <col min="14103" max="14108" width="13.77734375" style="36" customWidth="1"/>
    <col min="14109" max="14109" width="20.77734375" style="36" customWidth="1"/>
    <col min="14110" max="14110" width="5.77734375" style="36" customWidth="1"/>
    <col min="14111" max="14355" width="8.88671875" style="36"/>
    <col min="14356" max="14356" width="30.77734375" style="36" customWidth="1"/>
    <col min="14357" max="14357" width="9.77734375" style="36" customWidth="1"/>
    <col min="14358" max="14358" width="15.77734375" style="36" customWidth="1"/>
    <col min="14359" max="14364" width="13.77734375" style="36" customWidth="1"/>
    <col min="14365" max="14365" width="20.77734375" style="36" customWidth="1"/>
    <col min="14366" max="14366" width="5.77734375" style="36" customWidth="1"/>
    <col min="14367" max="14611" width="8.88671875" style="36"/>
    <col min="14612" max="14612" width="30.77734375" style="36" customWidth="1"/>
    <col min="14613" max="14613" width="9.77734375" style="36" customWidth="1"/>
    <col min="14614" max="14614" width="15.77734375" style="36" customWidth="1"/>
    <col min="14615" max="14620" width="13.77734375" style="36" customWidth="1"/>
    <col min="14621" max="14621" width="20.77734375" style="36" customWidth="1"/>
    <col min="14622" max="14622" width="5.77734375" style="36" customWidth="1"/>
    <col min="14623" max="14867" width="8.88671875" style="36"/>
    <col min="14868" max="14868" width="30.77734375" style="36" customWidth="1"/>
    <col min="14869" max="14869" width="9.77734375" style="36" customWidth="1"/>
    <col min="14870" max="14870" width="15.77734375" style="36" customWidth="1"/>
    <col min="14871" max="14876" width="13.77734375" style="36" customWidth="1"/>
    <col min="14877" max="14877" width="20.77734375" style="36" customWidth="1"/>
    <col min="14878" max="14878" width="5.77734375" style="36" customWidth="1"/>
    <col min="14879" max="15123" width="8.88671875" style="36"/>
    <col min="15124" max="15124" width="30.77734375" style="36" customWidth="1"/>
    <col min="15125" max="15125" width="9.77734375" style="36" customWidth="1"/>
    <col min="15126" max="15126" width="15.77734375" style="36" customWidth="1"/>
    <col min="15127" max="15132" width="13.77734375" style="36" customWidth="1"/>
    <col min="15133" max="15133" width="20.77734375" style="36" customWidth="1"/>
    <col min="15134" max="15134" width="5.77734375" style="36" customWidth="1"/>
    <col min="15135" max="15379" width="8.88671875" style="36"/>
    <col min="15380" max="15380" width="30.77734375" style="36" customWidth="1"/>
    <col min="15381" max="15381" width="9.77734375" style="36" customWidth="1"/>
    <col min="15382" max="15382" width="15.77734375" style="36" customWidth="1"/>
    <col min="15383" max="15388" width="13.77734375" style="36" customWidth="1"/>
    <col min="15389" max="15389" width="20.77734375" style="36" customWidth="1"/>
    <col min="15390" max="15390" width="5.77734375" style="36" customWidth="1"/>
    <col min="15391" max="15635" width="8.88671875" style="36"/>
    <col min="15636" max="15636" width="30.77734375" style="36" customWidth="1"/>
    <col min="15637" max="15637" width="9.77734375" style="36" customWidth="1"/>
    <col min="15638" max="15638" width="15.77734375" style="36" customWidth="1"/>
    <col min="15639" max="15644" width="13.77734375" style="36" customWidth="1"/>
    <col min="15645" max="15645" width="20.77734375" style="36" customWidth="1"/>
    <col min="15646" max="15646" width="5.77734375" style="36" customWidth="1"/>
    <col min="15647" max="15891" width="8.88671875" style="36"/>
    <col min="15892" max="15892" width="30.77734375" style="36" customWidth="1"/>
    <col min="15893" max="15893" width="9.77734375" style="36" customWidth="1"/>
    <col min="15894" max="15894" width="15.77734375" style="36" customWidth="1"/>
    <col min="15895" max="15900" width="13.77734375" style="36" customWidth="1"/>
    <col min="15901" max="15901" width="20.77734375" style="36" customWidth="1"/>
    <col min="15902" max="15902" width="5.77734375" style="36" customWidth="1"/>
    <col min="15903" max="16147" width="8.88671875" style="36"/>
    <col min="16148" max="16148" width="30.77734375" style="36" customWidth="1"/>
    <col min="16149" max="16149" width="9.77734375" style="36" customWidth="1"/>
    <col min="16150" max="16150" width="15.77734375" style="36" customWidth="1"/>
    <col min="16151" max="16156" width="13.77734375" style="36" customWidth="1"/>
    <col min="16157" max="16157" width="20.77734375" style="36" customWidth="1"/>
    <col min="16158" max="16158" width="5.77734375" style="36" customWidth="1"/>
    <col min="16159" max="16381" width="8.88671875" style="36"/>
    <col min="16382" max="16384" width="8.88671875" style="36" customWidth="1"/>
  </cols>
  <sheetData>
    <row r="1" spans="1:41" ht="30" customHeight="1">
      <c r="A1" s="113" t="s">
        <v>1998</v>
      </c>
      <c r="B1" s="144"/>
      <c r="C1" s="115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</row>
    <row r="2" spans="1:41" s="116" customFormat="1" ht="28.9" customHeight="1">
      <c r="A2" s="1732" t="s">
        <v>93</v>
      </c>
      <c r="B2" s="1734" t="s">
        <v>184</v>
      </c>
      <c r="C2" s="1736" t="s">
        <v>172</v>
      </c>
      <c r="D2" s="1738" t="s">
        <v>181</v>
      </c>
      <c r="E2" s="1739" t="s">
        <v>181</v>
      </c>
      <c r="F2" s="1740"/>
      <c r="G2" s="1740"/>
      <c r="H2" s="1740"/>
      <c r="I2" s="1740"/>
      <c r="J2" s="1740"/>
      <c r="K2" s="1740"/>
      <c r="L2" s="1740"/>
      <c r="M2" s="1740"/>
      <c r="N2" s="1740"/>
      <c r="O2" s="1740"/>
      <c r="P2" s="1740"/>
      <c r="Q2" s="1740"/>
      <c r="R2" s="1740"/>
      <c r="S2" s="1740"/>
      <c r="T2" s="1740"/>
      <c r="U2" s="1740"/>
      <c r="V2" s="1740"/>
      <c r="W2" s="1740"/>
      <c r="X2" s="1740"/>
      <c r="Y2" s="1740"/>
      <c r="Z2" s="1740"/>
      <c r="AA2" s="1740"/>
      <c r="AB2" s="1740"/>
      <c r="AC2" s="1740"/>
      <c r="AD2" s="153"/>
      <c r="AF2" s="1716" t="s">
        <v>6</v>
      </c>
      <c r="AG2" s="1716"/>
      <c r="AH2" s="69">
        <v>100</v>
      </c>
      <c r="AI2" s="70" t="s">
        <v>124</v>
      </c>
      <c r="AJ2" s="71"/>
    </row>
    <row r="3" spans="1:41" s="116" customFormat="1" ht="28.9" customHeight="1">
      <c r="A3" s="1733"/>
      <c r="B3" s="1735"/>
      <c r="C3" s="1737"/>
      <c r="D3" s="1737"/>
      <c r="E3" s="180" t="str">
        <f>'보정계수 산출'!D73</f>
        <v>해당유무</v>
      </c>
      <c r="F3" s="181" t="str">
        <f>'보정계수 산출'!E73</f>
        <v>α1</v>
      </c>
      <c r="G3" s="181" t="str">
        <f>'보정계수 산출'!F73</f>
        <v>α2</v>
      </c>
      <c r="H3" s="181" t="str">
        <f>'보정계수 산출'!G73</f>
        <v>α3</v>
      </c>
      <c r="I3" s="181" t="str">
        <f>'보정계수 산출'!H73</f>
        <v>α4</v>
      </c>
      <c r="J3" s="181" t="str">
        <f>'보정계수 산출'!I73</f>
        <v>α5</v>
      </c>
      <c r="K3" s="181" t="str">
        <f>'보정계수 산출'!J73</f>
        <v>α6</v>
      </c>
      <c r="L3" s="181" t="str">
        <f>'보정계수 산출'!K73</f>
        <v>α7</v>
      </c>
      <c r="M3" s="181" t="str">
        <f>'보정계수 산출'!L73</f>
        <v>α8-1</v>
      </c>
      <c r="N3" s="181" t="str">
        <f>'보정계수 산출'!M73</f>
        <v>α8-2</v>
      </c>
      <c r="O3" s="181" t="str">
        <f>'보정계수 산출'!N73</f>
        <v>α8-3</v>
      </c>
      <c r="P3" s="181" t="str">
        <f>'보정계수 산출'!O73</f>
        <v>α8-4</v>
      </c>
      <c r="Q3" s="181" t="str">
        <f>'보정계수 산출'!P73</f>
        <v>α8-5</v>
      </c>
      <c r="R3" s="181" t="str">
        <f>'보정계수 산출'!Q73</f>
        <v>α8-6</v>
      </c>
      <c r="S3" s="181" t="str">
        <f>'보정계수 산출'!R73</f>
        <v>α9-1</v>
      </c>
      <c r="T3" s="181" t="str">
        <f>'보정계수 산출'!S73</f>
        <v>α9-2</v>
      </c>
      <c r="U3" s="181" t="str">
        <f>'보정계수 산출'!T73</f>
        <v>α10</v>
      </c>
      <c r="V3" s="181" t="str">
        <f>'보정계수 산출'!U73</f>
        <v>α11</v>
      </c>
      <c r="W3" s="181" t="str">
        <f>'보정계수 산출'!V73</f>
        <v>α12</v>
      </c>
      <c r="X3" s="181" t="str">
        <f>'보정계수 산출'!W73</f>
        <v>α13</v>
      </c>
      <c r="Y3" s="181" t="str">
        <f>'보정계수 산출'!X73</f>
        <v>α14</v>
      </c>
      <c r="Z3" s="181" t="str">
        <f>'보정계수 산출'!Y73</f>
        <v>α15</v>
      </c>
      <c r="AA3" s="181" t="str">
        <f>'보정계수 산출'!Z73</f>
        <v>α16</v>
      </c>
      <c r="AB3" s="181" t="str">
        <f>'보정계수 산출'!AA73</f>
        <v>α17</v>
      </c>
      <c r="AC3" s="181" t="str">
        <f>'보정계수 산출'!AB73</f>
        <v>α18</v>
      </c>
      <c r="AD3" s="182" t="s">
        <v>45</v>
      </c>
      <c r="AF3" s="1716"/>
      <c r="AG3" s="1716"/>
      <c r="AH3" s="117">
        <f>AH2/100</f>
        <v>1</v>
      </c>
      <c r="AI3" s="77"/>
      <c r="AJ3" s="77"/>
    </row>
    <row r="4" spans="1:41" s="116" customFormat="1" ht="40.15" customHeight="1">
      <c r="A4" s="1649" t="s">
        <v>1951</v>
      </c>
      <c r="B4" s="175"/>
      <c r="C4" s="176"/>
      <c r="D4" s="177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9"/>
      <c r="AF4" s="36"/>
      <c r="AG4" s="36"/>
      <c r="AH4" s="36"/>
      <c r="AI4" s="36"/>
      <c r="AJ4" s="36"/>
    </row>
    <row r="5" spans="1:41" s="135" customFormat="1" ht="28.9" customHeight="1">
      <c r="A5" s="171" t="str">
        <f>적용소요인력!A5</f>
        <v xml:space="preserve"> 가. 작업계획 수립</v>
      </c>
      <c r="B5" s="172"/>
      <c r="C5" s="172"/>
      <c r="D5" s="172"/>
      <c r="E5" s="173" t="str">
        <f>IF('보정계수 산출'!D74=0,"",'보정계수 산출'!D74)</f>
        <v/>
      </c>
      <c r="F5" s="173" t="str">
        <f>IF('보정계수 산출'!E74=0,"",'보정계수 산출'!E74)</f>
        <v/>
      </c>
      <c r="G5" s="173" t="str">
        <f>IF('보정계수 산출'!F74=0,"",'보정계수 산출'!F74)</f>
        <v/>
      </c>
      <c r="H5" s="173" t="str">
        <f>IF('보정계수 산출'!G74=0,"",'보정계수 산출'!G74)</f>
        <v/>
      </c>
      <c r="I5" s="173" t="str">
        <f>IF('보정계수 산출'!H74=0,"",'보정계수 산출'!H74)</f>
        <v/>
      </c>
      <c r="J5" s="173" t="str">
        <f>IF('보정계수 산출'!I74=0,"",'보정계수 산출'!I74)</f>
        <v/>
      </c>
      <c r="K5" s="173" t="str">
        <f>IF('보정계수 산출'!J74=0,"",'보정계수 산출'!J74)</f>
        <v/>
      </c>
      <c r="L5" s="173" t="str">
        <f>IF('보정계수 산출'!K74=0,"",'보정계수 산출'!K74)</f>
        <v/>
      </c>
      <c r="M5" s="173" t="str">
        <f>IF('보정계수 산출'!L74=0,"",'보정계수 산출'!L74)</f>
        <v/>
      </c>
      <c r="N5" s="173" t="str">
        <f>IF('보정계수 산출'!M74=0,"",'보정계수 산출'!M74)</f>
        <v/>
      </c>
      <c r="O5" s="173" t="str">
        <f>IF('보정계수 산출'!N74=0,"",'보정계수 산출'!N74)</f>
        <v/>
      </c>
      <c r="P5" s="173" t="str">
        <f>IF('보정계수 산출'!O74=0,"",'보정계수 산출'!O74)</f>
        <v/>
      </c>
      <c r="Q5" s="173" t="str">
        <f>IF('보정계수 산출'!P74=0,"",'보정계수 산출'!P74)</f>
        <v/>
      </c>
      <c r="R5" s="173" t="str">
        <f>IF('보정계수 산출'!Q74=0,"",'보정계수 산출'!Q74)</f>
        <v/>
      </c>
      <c r="S5" s="173" t="str">
        <f>IF('보정계수 산출'!R74=0,"",'보정계수 산출'!R74)</f>
        <v/>
      </c>
      <c r="T5" s="173" t="str">
        <f>IF('보정계수 산출'!S74=0,"",'보정계수 산출'!S74)</f>
        <v/>
      </c>
      <c r="U5" s="173" t="str">
        <f>IF('보정계수 산출'!T74=0,"",'보정계수 산출'!T74)</f>
        <v/>
      </c>
      <c r="V5" s="173" t="str">
        <f>IF('보정계수 산출'!U74=0,"",'보정계수 산출'!U74)</f>
        <v/>
      </c>
      <c r="W5" s="173" t="str">
        <f>IF('보정계수 산출'!V74=0,"",'보정계수 산출'!V74)</f>
        <v/>
      </c>
      <c r="X5" s="173" t="str">
        <f>IF('보정계수 산출'!W74=0,"",'보정계수 산출'!W74)</f>
        <v/>
      </c>
      <c r="Y5" s="173" t="str">
        <f>IF('보정계수 산출'!X74=0,"",'보정계수 산출'!X74)</f>
        <v/>
      </c>
      <c r="Z5" s="173" t="str">
        <f>IF('보정계수 산출'!Y74=0,"",'보정계수 산출'!Y74)</f>
        <v/>
      </c>
      <c r="AA5" s="173" t="str">
        <f>IF('보정계수 산출'!Z74=0,"",'보정계수 산출'!Z74)</f>
        <v/>
      </c>
      <c r="AB5" s="173" t="str">
        <f>IF('보정계수 산출'!AA74=0,"",'보정계수 산출'!AA74)</f>
        <v/>
      </c>
      <c r="AC5" s="173" t="str">
        <f>IF('보정계수 산출'!AB74=0,"",'보정계수 산출'!AB74)</f>
        <v/>
      </c>
      <c r="AD5" s="174"/>
      <c r="AF5" s="47"/>
      <c r="AG5" s="47"/>
      <c r="AH5" s="145"/>
      <c r="AI5" s="47"/>
      <c r="AJ5" s="47"/>
    </row>
    <row r="6" spans="1:41" s="116" customFormat="1" ht="28.9" customHeight="1">
      <c r="A6" s="62" t="str">
        <f>적용소요인력!A6</f>
        <v xml:space="preserve">  1) 작업계획 수립</v>
      </c>
      <c r="B6" s="121" t="str">
        <f>적용소요인력!B6</f>
        <v>1식</v>
      </c>
      <c r="C6" s="121" t="str">
        <f>적용소요인력!C6</f>
        <v>재해예방사업 당</v>
      </c>
      <c r="D6" s="155"/>
      <c r="E6" s="146">
        <f>IF('보정계수 산출'!D75=0,0,'보정계수 산출'!D75)</f>
        <v>1</v>
      </c>
      <c r="F6" s="146" t="str">
        <f>IF('보정계수 산출'!E75=0,"",'보정계수 산출'!E75)</f>
        <v/>
      </c>
      <c r="G6" s="146" t="str">
        <f>IF('보정계수 산출'!F75=0,"",'보정계수 산출'!F75)</f>
        <v/>
      </c>
      <c r="H6" s="146" t="str">
        <f>IF('보정계수 산출'!G75=0,"",'보정계수 산출'!G75)</f>
        <v/>
      </c>
      <c r="I6" s="146" t="str">
        <f>IF('보정계수 산출'!H75=0,"",'보정계수 산출'!H75)</f>
        <v/>
      </c>
      <c r="J6" s="146" t="str">
        <f>IF('보정계수 산출'!I75=0,"",'보정계수 산출'!I75)</f>
        <v/>
      </c>
      <c r="K6" s="146" t="str">
        <f>IF('보정계수 산출'!J75=0,"",'보정계수 산출'!J75)</f>
        <v/>
      </c>
      <c r="L6" s="146" t="str">
        <f>IF('보정계수 산출'!K75=0,"",'보정계수 산출'!K75)</f>
        <v/>
      </c>
      <c r="M6" s="146" t="str">
        <f>IF('보정계수 산출'!L75=0,"",'보정계수 산출'!L75)</f>
        <v/>
      </c>
      <c r="N6" s="146" t="str">
        <f>IF('보정계수 산출'!M75=0,"",'보정계수 산출'!M75)</f>
        <v/>
      </c>
      <c r="O6" s="146" t="str">
        <f>IF('보정계수 산출'!N75=0,"",'보정계수 산출'!N75)</f>
        <v/>
      </c>
      <c r="P6" s="146" t="str">
        <f>IF('보정계수 산출'!O75=0,"",'보정계수 산출'!O75)</f>
        <v/>
      </c>
      <c r="Q6" s="146" t="str">
        <f>IF('보정계수 산출'!P75=0,"",'보정계수 산출'!P75)</f>
        <v/>
      </c>
      <c r="R6" s="146" t="str">
        <f>IF('보정계수 산출'!Q75=0,"",'보정계수 산출'!Q75)</f>
        <v/>
      </c>
      <c r="S6" s="146" t="str">
        <f>IF('보정계수 산출'!R75=0,"",'보정계수 산출'!R75)</f>
        <v/>
      </c>
      <c r="T6" s="146" t="str">
        <f>IF('보정계수 산출'!S75=0,"",'보정계수 산출'!S75)</f>
        <v/>
      </c>
      <c r="U6" s="146" t="str">
        <f>IF('보정계수 산출'!T75=0,"",'보정계수 산출'!T75)</f>
        <v/>
      </c>
      <c r="V6" s="146" t="str">
        <f>IF('보정계수 산출'!U75=0,"",'보정계수 산출'!U75)</f>
        <v/>
      </c>
      <c r="W6" s="146" t="str">
        <f>IF('보정계수 산출'!V75=0,"",'보정계수 산출'!V75)</f>
        <v/>
      </c>
      <c r="X6" s="146" t="str">
        <f>IF('보정계수 산출'!W75=0,"",'보정계수 산출'!W75)</f>
        <v/>
      </c>
      <c r="Y6" s="146" t="str">
        <f>IF('보정계수 산출'!X75=0,"",'보정계수 산출'!X75)</f>
        <v/>
      </c>
      <c r="Z6" s="146" t="str">
        <f>IF('보정계수 산출'!Y75=0,"",'보정계수 산출'!Y75)</f>
        <v/>
      </c>
      <c r="AA6" s="146" t="str">
        <f>IF('보정계수 산출'!Z75=0,"",'보정계수 산출'!Z75)</f>
        <v/>
      </c>
      <c r="AB6" s="146" t="str">
        <f>IF('보정계수 산출'!AA75=0,"",'보정계수 산출'!AA75)</f>
        <v/>
      </c>
      <c r="AC6" s="146" t="str">
        <f>IF('보정계수 산출'!AB75=0,"",'보정계수 산출'!AB75)</f>
        <v/>
      </c>
      <c r="AD6" s="124">
        <f>IF(PRODUCT(E6:AC6)=0,0, PRODUCT(E6:AC6))</f>
        <v>1</v>
      </c>
    </row>
    <row r="7" spans="1:41" s="135" customFormat="1" ht="28.9" customHeight="1">
      <c r="A7" s="118" t="str">
        <f>적용소요인력!A7</f>
        <v xml:space="preserve"> 나. 관련자료 조사 및 검토</v>
      </c>
      <c r="B7" s="119"/>
      <c r="C7" s="119"/>
      <c r="D7" s="119"/>
      <c r="E7" s="146" t="str">
        <f>IF('보정계수 산출'!D76=0,"",'보정계수 산출'!D76)</f>
        <v/>
      </c>
      <c r="F7" s="146" t="str">
        <f>IF('보정계수 산출'!E76=0,"",'보정계수 산출'!E76)</f>
        <v/>
      </c>
      <c r="G7" s="146" t="str">
        <f>IF('보정계수 산출'!F76=0,"",'보정계수 산출'!F76)</f>
        <v/>
      </c>
      <c r="H7" s="146" t="str">
        <f>IF('보정계수 산출'!G76=0,"",'보정계수 산출'!G76)</f>
        <v/>
      </c>
      <c r="I7" s="146" t="str">
        <f>IF('보정계수 산출'!H76=0,"",'보정계수 산출'!H76)</f>
        <v/>
      </c>
      <c r="J7" s="146" t="str">
        <f>IF('보정계수 산출'!I76=0,"",'보정계수 산출'!I76)</f>
        <v/>
      </c>
      <c r="K7" s="146" t="str">
        <f>IF('보정계수 산출'!J76=0,"",'보정계수 산출'!J76)</f>
        <v/>
      </c>
      <c r="L7" s="146" t="str">
        <f>IF('보정계수 산출'!K76=0,"",'보정계수 산출'!K76)</f>
        <v/>
      </c>
      <c r="M7" s="146" t="str">
        <f>IF('보정계수 산출'!L76=0,"",'보정계수 산출'!L76)</f>
        <v/>
      </c>
      <c r="N7" s="146" t="str">
        <f>IF('보정계수 산출'!M76=0,"",'보정계수 산출'!M76)</f>
        <v/>
      </c>
      <c r="O7" s="146" t="str">
        <f>IF('보정계수 산출'!N76=0,"",'보정계수 산출'!N76)</f>
        <v/>
      </c>
      <c r="P7" s="146" t="str">
        <f>IF('보정계수 산출'!O76=0,"",'보정계수 산출'!O76)</f>
        <v/>
      </c>
      <c r="Q7" s="146" t="str">
        <f>IF('보정계수 산출'!P76=0,"",'보정계수 산출'!P76)</f>
        <v/>
      </c>
      <c r="R7" s="146" t="str">
        <f>IF('보정계수 산출'!Q76=0,"",'보정계수 산출'!Q76)</f>
        <v/>
      </c>
      <c r="S7" s="146" t="str">
        <f>IF('보정계수 산출'!R76=0,"",'보정계수 산출'!R76)</f>
        <v/>
      </c>
      <c r="T7" s="146" t="str">
        <f>IF('보정계수 산출'!S76=0,"",'보정계수 산출'!S76)</f>
        <v/>
      </c>
      <c r="U7" s="146" t="str">
        <f>IF('보정계수 산출'!T76=0,"",'보정계수 산출'!T76)</f>
        <v/>
      </c>
      <c r="V7" s="146" t="str">
        <f>IF('보정계수 산출'!U76=0,"",'보정계수 산출'!U76)</f>
        <v/>
      </c>
      <c r="W7" s="146" t="str">
        <f>IF('보정계수 산출'!V76=0,"",'보정계수 산출'!V76)</f>
        <v/>
      </c>
      <c r="X7" s="146" t="str">
        <f>IF('보정계수 산출'!W76=0,"",'보정계수 산출'!W76)</f>
        <v/>
      </c>
      <c r="Y7" s="146" t="str">
        <f>IF('보정계수 산출'!X76=0,"",'보정계수 산출'!X76)</f>
        <v/>
      </c>
      <c r="Z7" s="146" t="str">
        <f>IF('보정계수 산출'!Y76=0,"",'보정계수 산출'!Y76)</f>
        <v/>
      </c>
      <c r="AA7" s="146" t="str">
        <f>IF('보정계수 산출'!Z76=0,"",'보정계수 산출'!Z76)</f>
        <v/>
      </c>
      <c r="AB7" s="146" t="str">
        <f>IF('보정계수 산출'!AA76=0,"",'보정계수 산출'!AA76)</f>
        <v/>
      </c>
      <c r="AC7" s="146" t="str">
        <f>IF('보정계수 산출'!AB76=0,"",'보정계수 산출'!AB76)</f>
        <v/>
      </c>
      <c r="AD7" s="120"/>
    </row>
    <row r="8" spans="1:41" s="116" customFormat="1" ht="28.9" customHeight="1">
      <c r="A8" s="62" t="str">
        <f>적용소요인력!A8</f>
        <v xml:space="preserve">  1) 관련자료 조사</v>
      </c>
      <c r="B8" s="121" t="str">
        <f>적용소요인력!B8</f>
        <v>1식</v>
      </c>
      <c r="C8" s="121" t="str">
        <f>적용소요인력!C8</f>
        <v>재해예방사업 당</v>
      </c>
      <c r="D8" s="155"/>
      <c r="E8" s="146">
        <f>IF('보정계수 산출'!D77=0,0,'보정계수 산출'!D77)</f>
        <v>1</v>
      </c>
      <c r="F8" s="146" t="str">
        <f>IF('보정계수 산출'!E77=0,"",'보정계수 산출'!E77)</f>
        <v/>
      </c>
      <c r="G8" s="146" t="str">
        <f>IF('보정계수 산출'!F77=0,"",'보정계수 산출'!F77)</f>
        <v/>
      </c>
      <c r="H8" s="146" t="str">
        <f>IF('보정계수 산출'!G77=0,"",'보정계수 산출'!G77)</f>
        <v/>
      </c>
      <c r="I8" s="146" t="str">
        <f>IF('보정계수 산출'!H77=0,"",'보정계수 산출'!H77)</f>
        <v/>
      </c>
      <c r="J8" s="146" t="str">
        <f>IF('보정계수 산출'!I77=0,"",'보정계수 산출'!I77)</f>
        <v/>
      </c>
      <c r="K8" s="146" t="str">
        <f>IF('보정계수 산출'!J77=0,"",'보정계수 산출'!J77)</f>
        <v/>
      </c>
      <c r="L8" s="146" t="str">
        <f>IF('보정계수 산출'!K77=0,"",'보정계수 산출'!K77)</f>
        <v/>
      </c>
      <c r="M8" s="146" t="str">
        <f>IF('보정계수 산출'!L77=0,"",'보정계수 산출'!L77)</f>
        <v/>
      </c>
      <c r="N8" s="146" t="str">
        <f>IF('보정계수 산출'!M77=0,"",'보정계수 산출'!M77)</f>
        <v/>
      </c>
      <c r="O8" s="146" t="str">
        <f>IF('보정계수 산출'!N77=0,"",'보정계수 산출'!N77)</f>
        <v/>
      </c>
      <c r="P8" s="146" t="str">
        <f>IF('보정계수 산출'!O77=0,"",'보정계수 산출'!O77)</f>
        <v/>
      </c>
      <c r="Q8" s="146" t="str">
        <f>IF('보정계수 산출'!P77=0,"",'보정계수 산출'!P77)</f>
        <v/>
      </c>
      <c r="R8" s="146" t="str">
        <f>IF('보정계수 산출'!Q77=0,"",'보정계수 산출'!Q77)</f>
        <v/>
      </c>
      <c r="S8" s="146" t="str">
        <f>IF('보정계수 산출'!R77=0,"",'보정계수 산출'!R77)</f>
        <v/>
      </c>
      <c r="T8" s="146" t="str">
        <f>IF('보정계수 산출'!S77=0,"",'보정계수 산출'!S77)</f>
        <v/>
      </c>
      <c r="U8" s="146" t="str">
        <f>IF('보정계수 산출'!T77=0,"",'보정계수 산출'!T77)</f>
        <v/>
      </c>
      <c r="V8" s="146" t="str">
        <f>IF('보정계수 산출'!U77=0,"",'보정계수 산출'!U77)</f>
        <v/>
      </c>
      <c r="W8" s="146" t="str">
        <f>IF('보정계수 산출'!V77=0,"",'보정계수 산출'!V77)</f>
        <v/>
      </c>
      <c r="X8" s="146" t="str">
        <f>IF('보정계수 산출'!W77=0,"",'보정계수 산출'!W77)</f>
        <v/>
      </c>
      <c r="Y8" s="146" t="str">
        <f>IF('보정계수 산출'!X77=0,"",'보정계수 산출'!X77)</f>
        <v/>
      </c>
      <c r="Z8" s="146" t="str">
        <f>IF('보정계수 산출'!Y77=0,"",'보정계수 산출'!Y77)</f>
        <v/>
      </c>
      <c r="AA8" s="146" t="str">
        <f>IF('보정계수 산출'!Z77=0,"",'보정계수 산출'!Z77)</f>
        <v/>
      </c>
      <c r="AB8" s="146" t="str">
        <f>IF('보정계수 산출'!AA77=0,"",'보정계수 산출'!AA77)</f>
        <v/>
      </c>
      <c r="AC8" s="146" t="str">
        <f>IF('보정계수 산출'!AB77=0,"",'보정계수 산출'!AB77)</f>
        <v/>
      </c>
      <c r="AD8" s="124">
        <f>IF(PRODUCT(E8:AC8)=0,0, PRODUCT(E8:AC8))</f>
        <v>1</v>
      </c>
    </row>
    <row r="9" spans="1:41" s="116" customFormat="1" ht="28.9" customHeight="1">
      <c r="A9" s="62" t="str">
        <f>적용소요인력!A9</f>
        <v xml:space="preserve">  2) 관련계획 검토</v>
      </c>
      <c r="B9" s="121" t="str">
        <f>적용소요인력!B9</f>
        <v>1식</v>
      </c>
      <c r="C9" s="121" t="str">
        <f>적용소요인력!C9</f>
        <v>재해예방사업 당</v>
      </c>
      <c r="D9" s="155"/>
      <c r="E9" s="146">
        <f>IF('보정계수 산출'!D78=0,0,'보정계수 산출'!D78)</f>
        <v>1</v>
      </c>
      <c r="F9" s="146" t="str">
        <f>IF('보정계수 산출'!E78=0,"",'보정계수 산출'!E78)</f>
        <v/>
      </c>
      <c r="G9" s="146" t="str">
        <f>IF('보정계수 산출'!F78=0,"",'보정계수 산출'!F78)</f>
        <v/>
      </c>
      <c r="H9" s="146" t="str">
        <f>IF('보정계수 산출'!G78=0,"",'보정계수 산출'!G78)</f>
        <v/>
      </c>
      <c r="I9" s="146" t="str">
        <f>IF('보정계수 산출'!H78=0,"",'보정계수 산출'!H78)</f>
        <v/>
      </c>
      <c r="J9" s="146" t="str">
        <f>IF('보정계수 산출'!I78=0,"",'보정계수 산출'!I78)</f>
        <v/>
      </c>
      <c r="K9" s="146" t="str">
        <f>IF('보정계수 산출'!J78=0,"",'보정계수 산출'!J78)</f>
        <v/>
      </c>
      <c r="L9" s="146" t="str">
        <f>IF('보정계수 산출'!K78=0,"",'보정계수 산출'!K78)</f>
        <v/>
      </c>
      <c r="M9" s="146" t="str">
        <f>IF('보정계수 산출'!L78=0,"",'보정계수 산출'!L78)</f>
        <v/>
      </c>
      <c r="N9" s="146" t="str">
        <f>IF('보정계수 산출'!M78=0,"",'보정계수 산출'!M78)</f>
        <v/>
      </c>
      <c r="O9" s="146" t="str">
        <f>IF('보정계수 산출'!N78=0,"",'보정계수 산출'!N78)</f>
        <v/>
      </c>
      <c r="P9" s="146" t="str">
        <f>IF('보정계수 산출'!O78=0,"",'보정계수 산출'!O78)</f>
        <v/>
      </c>
      <c r="Q9" s="146" t="str">
        <f>IF('보정계수 산출'!P78=0,"",'보정계수 산출'!P78)</f>
        <v/>
      </c>
      <c r="R9" s="146" t="str">
        <f>IF('보정계수 산출'!Q78=0,"",'보정계수 산출'!Q78)</f>
        <v/>
      </c>
      <c r="S9" s="146" t="str">
        <f>IF('보정계수 산출'!R78=0,"",'보정계수 산출'!R78)</f>
        <v/>
      </c>
      <c r="T9" s="146" t="str">
        <f>IF('보정계수 산출'!S78=0,"",'보정계수 산출'!S78)</f>
        <v/>
      </c>
      <c r="U9" s="146" t="str">
        <f>IF('보정계수 산출'!T78=0,"",'보정계수 산출'!T78)</f>
        <v/>
      </c>
      <c r="V9" s="146" t="str">
        <f>IF('보정계수 산출'!U78=0,"",'보정계수 산출'!U78)</f>
        <v/>
      </c>
      <c r="W9" s="146" t="str">
        <f>IF('보정계수 산출'!V78=0,"",'보정계수 산출'!V78)</f>
        <v/>
      </c>
      <c r="X9" s="146" t="str">
        <f>IF('보정계수 산출'!W78=0,"",'보정계수 산출'!W78)</f>
        <v/>
      </c>
      <c r="Y9" s="146" t="str">
        <f>IF('보정계수 산출'!X78=0,"",'보정계수 산출'!X78)</f>
        <v/>
      </c>
      <c r="Z9" s="146" t="str">
        <f>IF('보정계수 산출'!Y78=0,"",'보정계수 산출'!Y78)</f>
        <v/>
      </c>
      <c r="AA9" s="146" t="str">
        <f>IF('보정계수 산출'!Z78=0,"",'보정계수 산출'!Z78)</f>
        <v/>
      </c>
      <c r="AB9" s="146" t="str">
        <f>IF('보정계수 산출'!AA78=0,"",'보정계수 산출'!AA78)</f>
        <v/>
      </c>
      <c r="AC9" s="146" t="str">
        <f>IF('보정계수 산출'!AB78=0,"",'보정계수 산출'!AB78)</f>
        <v/>
      </c>
      <c r="AD9" s="124">
        <f>IF(PRODUCT(E9:AC9)=0,0, PRODUCT(E9:AC9))</f>
        <v>1</v>
      </c>
    </row>
    <row r="10" spans="1:41" s="135" customFormat="1" ht="28.9" customHeight="1">
      <c r="A10" s="118" t="str">
        <f>적용소요인력!A10</f>
        <v xml:space="preserve"> 다. 피해현황 및 원인분석</v>
      </c>
      <c r="B10" s="119"/>
      <c r="C10" s="119"/>
      <c r="D10" s="119"/>
      <c r="E10" s="146" t="str">
        <f>IF('보정계수 산출'!D79=0,"",'보정계수 산출'!D79)</f>
        <v/>
      </c>
      <c r="F10" s="146" t="str">
        <f>IF('보정계수 산출'!E79=0,"",'보정계수 산출'!E79)</f>
        <v/>
      </c>
      <c r="G10" s="146" t="str">
        <f>IF('보정계수 산출'!F79=0,"",'보정계수 산출'!F79)</f>
        <v/>
      </c>
      <c r="H10" s="146" t="str">
        <f>IF('보정계수 산출'!G79=0,"",'보정계수 산출'!G79)</f>
        <v/>
      </c>
      <c r="I10" s="146" t="str">
        <f>IF('보정계수 산출'!H79=0,"",'보정계수 산출'!H79)</f>
        <v/>
      </c>
      <c r="J10" s="146" t="str">
        <f>IF('보정계수 산출'!I79=0,"",'보정계수 산출'!I79)</f>
        <v/>
      </c>
      <c r="K10" s="146" t="str">
        <f>IF('보정계수 산출'!J79=0,"",'보정계수 산출'!J79)</f>
        <v/>
      </c>
      <c r="L10" s="146" t="str">
        <f>IF('보정계수 산출'!K79=0,"",'보정계수 산출'!K79)</f>
        <v/>
      </c>
      <c r="M10" s="146" t="str">
        <f>IF('보정계수 산출'!L79=0,"",'보정계수 산출'!L79)</f>
        <v/>
      </c>
      <c r="N10" s="146" t="str">
        <f>IF('보정계수 산출'!M79=0,"",'보정계수 산출'!M79)</f>
        <v/>
      </c>
      <c r="O10" s="146" t="str">
        <f>IF('보정계수 산출'!N79=0,"",'보정계수 산출'!N79)</f>
        <v/>
      </c>
      <c r="P10" s="146" t="str">
        <f>IF('보정계수 산출'!O79=0,"",'보정계수 산출'!O79)</f>
        <v/>
      </c>
      <c r="Q10" s="146" t="str">
        <f>IF('보정계수 산출'!P79=0,"",'보정계수 산출'!P79)</f>
        <v/>
      </c>
      <c r="R10" s="146" t="str">
        <f>IF('보정계수 산출'!Q79=0,"",'보정계수 산출'!Q79)</f>
        <v/>
      </c>
      <c r="S10" s="146" t="str">
        <f>IF('보정계수 산출'!R79=0,"",'보정계수 산출'!R79)</f>
        <v/>
      </c>
      <c r="T10" s="146" t="str">
        <f>IF('보정계수 산출'!S79=0,"",'보정계수 산출'!S79)</f>
        <v/>
      </c>
      <c r="U10" s="146" t="str">
        <f>IF('보정계수 산출'!T79=0,"",'보정계수 산출'!T79)</f>
        <v/>
      </c>
      <c r="V10" s="146" t="str">
        <f>IF('보정계수 산출'!U79=0,"",'보정계수 산출'!U79)</f>
        <v/>
      </c>
      <c r="W10" s="146" t="str">
        <f>IF('보정계수 산출'!V79=0,"",'보정계수 산출'!V79)</f>
        <v/>
      </c>
      <c r="X10" s="146" t="str">
        <f>IF('보정계수 산출'!W79=0,"",'보정계수 산출'!W79)</f>
        <v/>
      </c>
      <c r="Y10" s="146" t="str">
        <f>IF('보정계수 산출'!X79=0,"",'보정계수 산출'!X79)</f>
        <v/>
      </c>
      <c r="Z10" s="146" t="str">
        <f>IF('보정계수 산출'!Y79=0,"",'보정계수 산출'!Y79)</f>
        <v/>
      </c>
      <c r="AA10" s="146" t="str">
        <f>IF('보정계수 산출'!Z79=0,"",'보정계수 산출'!Z79)</f>
        <v/>
      </c>
      <c r="AB10" s="146" t="str">
        <f>IF('보정계수 산출'!AA79=0,"",'보정계수 산출'!AA79)</f>
        <v/>
      </c>
      <c r="AC10" s="146" t="str">
        <f>IF('보정계수 산출'!AB79=0,"",'보정계수 산출'!AB79)</f>
        <v/>
      </c>
      <c r="AD10" s="120"/>
    </row>
    <row r="11" spans="1:41" s="116" customFormat="1" ht="28.9" customHeight="1">
      <c r="A11" s="62" t="str">
        <f>적용소요인력!A11</f>
        <v xml:space="preserve">  1) 피해현황 조사</v>
      </c>
      <c r="B11" s="121" t="str">
        <f>적용소요인력!B11</f>
        <v>1식</v>
      </c>
      <c r="C11" s="121" t="str">
        <f>적용소요인력!C11</f>
        <v>재해예방사업 당</v>
      </c>
      <c r="D11" s="155"/>
      <c r="E11" s="146">
        <f>IF('보정계수 산출'!D80=0,0,'보정계수 산출'!D80)</f>
        <v>1</v>
      </c>
      <c r="F11" s="146" t="str">
        <f>IF('보정계수 산출'!E80=0,"",'보정계수 산출'!E80)</f>
        <v/>
      </c>
      <c r="G11" s="146" t="str">
        <f>IF('보정계수 산출'!F80=0,"",'보정계수 산출'!F80)</f>
        <v/>
      </c>
      <c r="H11" s="146" t="str">
        <f>IF('보정계수 산출'!G80=0,"",'보정계수 산출'!G80)</f>
        <v/>
      </c>
      <c r="I11" s="146" t="str">
        <f>IF('보정계수 산출'!H80=0,"",'보정계수 산출'!H80)</f>
        <v/>
      </c>
      <c r="J11" s="146" t="str">
        <f>IF('보정계수 산출'!I80=0,"",'보정계수 산출'!I80)</f>
        <v/>
      </c>
      <c r="K11" s="146" t="str">
        <f>IF('보정계수 산출'!J80=0,"",'보정계수 산출'!J80)</f>
        <v/>
      </c>
      <c r="L11" s="146" t="str">
        <f>IF('보정계수 산출'!K80=0,"",'보정계수 산출'!K80)</f>
        <v/>
      </c>
      <c r="M11" s="146" t="str">
        <f>IF('보정계수 산출'!L80=0,"",'보정계수 산출'!L80)</f>
        <v/>
      </c>
      <c r="N11" s="146" t="str">
        <f>IF('보정계수 산출'!M80=0,"",'보정계수 산출'!M80)</f>
        <v/>
      </c>
      <c r="O11" s="146" t="str">
        <f>IF('보정계수 산출'!N80=0,"",'보정계수 산출'!N80)</f>
        <v/>
      </c>
      <c r="P11" s="146" t="str">
        <f>IF('보정계수 산출'!O80=0,"",'보정계수 산출'!O80)</f>
        <v/>
      </c>
      <c r="Q11" s="146" t="str">
        <f>IF('보정계수 산출'!P80=0,"",'보정계수 산출'!P80)</f>
        <v/>
      </c>
      <c r="R11" s="146" t="str">
        <f>IF('보정계수 산출'!Q80=0,"",'보정계수 산출'!Q80)</f>
        <v/>
      </c>
      <c r="S11" s="146" t="str">
        <f>IF('보정계수 산출'!R80=0,"",'보정계수 산출'!R80)</f>
        <v/>
      </c>
      <c r="T11" s="146" t="str">
        <f>IF('보정계수 산출'!S80=0,"",'보정계수 산출'!S80)</f>
        <v/>
      </c>
      <c r="U11" s="146" t="str">
        <f>IF('보정계수 산출'!T80=0,"",'보정계수 산출'!T80)</f>
        <v/>
      </c>
      <c r="V11" s="146" t="str">
        <f>IF('보정계수 산출'!U80=0,"",'보정계수 산출'!U80)</f>
        <v/>
      </c>
      <c r="W11" s="146" t="str">
        <f>IF('보정계수 산출'!V80=0,"",'보정계수 산출'!V80)</f>
        <v/>
      </c>
      <c r="X11" s="146" t="str">
        <f>IF('보정계수 산출'!W80=0,"",'보정계수 산출'!W80)</f>
        <v/>
      </c>
      <c r="Y11" s="146" t="str">
        <f>IF('보정계수 산출'!X80=0,"",'보정계수 산출'!X80)</f>
        <v/>
      </c>
      <c r="Z11" s="146" t="str">
        <f>IF('보정계수 산출'!Y80=0,"",'보정계수 산출'!Y80)</f>
        <v/>
      </c>
      <c r="AA11" s="146" t="str">
        <f>IF('보정계수 산출'!Z80=0,"",'보정계수 산출'!Z80)</f>
        <v/>
      </c>
      <c r="AB11" s="146" t="str">
        <f>IF('보정계수 산출'!AA80=0,"",'보정계수 산출'!AA80)</f>
        <v/>
      </c>
      <c r="AC11" s="146" t="str">
        <f>IF('보정계수 산출'!AB80=0,"",'보정계수 산출'!AB80)</f>
        <v/>
      </c>
      <c r="AD11" s="124">
        <f>IF(PRODUCT(E11:AC11)=0,0, PRODUCT(E11:AC11))</f>
        <v>1</v>
      </c>
    </row>
    <row r="12" spans="1:41" s="116" customFormat="1" ht="28.9" customHeight="1">
      <c r="A12" s="62" t="str">
        <f>적용소요인력!A12</f>
        <v xml:space="preserve">  2) 피해원인 분석</v>
      </c>
      <c r="B12" s="121"/>
      <c r="C12" s="121"/>
      <c r="D12" s="121"/>
      <c r="E12" s="146" t="str">
        <f>IF('보정계수 산출'!D81=0,"",'보정계수 산출'!D81)</f>
        <v/>
      </c>
      <c r="F12" s="146" t="str">
        <f>IF('보정계수 산출'!E81=0,"",'보정계수 산출'!E81)</f>
        <v/>
      </c>
      <c r="G12" s="146" t="str">
        <f>IF('보정계수 산출'!F81=0,"",'보정계수 산출'!F81)</f>
        <v/>
      </c>
      <c r="H12" s="146" t="str">
        <f>IF('보정계수 산출'!G81=0,"",'보정계수 산출'!G81)</f>
        <v/>
      </c>
      <c r="I12" s="146" t="str">
        <f>IF('보정계수 산출'!H81=0,"",'보정계수 산출'!H81)</f>
        <v/>
      </c>
      <c r="J12" s="146" t="str">
        <f>IF('보정계수 산출'!I81=0,"",'보정계수 산출'!I81)</f>
        <v/>
      </c>
      <c r="K12" s="146" t="str">
        <f>IF('보정계수 산출'!J81=0,"",'보정계수 산출'!J81)</f>
        <v/>
      </c>
      <c r="L12" s="146" t="str">
        <f>IF('보정계수 산출'!K81=0,"",'보정계수 산출'!K81)</f>
        <v/>
      </c>
      <c r="M12" s="146" t="str">
        <f>IF('보정계수 산출'!L81=0,"",'보정계수 산출'!L81)</f>
        <v/>
      </c>
      <c r="N12" s="146" t="str">
        <f>IF('보정계수 산출'!M81=0,"",'보정계수 산출'!M81)</f>
        <v/>
      </c>
      <c r="O12" s="146" t="str">
        <f>IF('보정계수 산출'!N81=0,"",'보정계수 산출'!N81)</f>
        <v/>
      </c>
      <c r="P12" s="146" t="str">
        <f>IF('보정계수 산출'!O81=0,"",'보정계수 산출'!O81)</f>
        <v/>
      </c>
      <c r="Q12" s="146" t="str">
        <f>IF('보정계수 산출'!P81=0,"",'보정계수 산출'!P81)</f>
        <v/>
      </c>
      <c r="R12" s="146" t="str">
        <f>IF('보정계수 산출'!Q81=0,"",'보정계수 산출'!Q81)</f>
        <v/>
      </c>
      <c r="S12" s="146" t="str">
        <f>IF('보정계수 산출'!R81=0,"",'보정계수 산출'!R81)</f>
        <v/>
      </c>
      <c r="T12" s="146" t="str">
        <f>IF('보정계수 산출'!S81=0,"",'보정계수 산출'!S81)</f>
        <v/>
      </c>
      <c r="U12" s="146" t="str">
        <f>IF('보정계수 산출'!T81=0,"",'보정계수 산출'!T81)</f>
        <v/>
      </c>
      <c r="V12" s="146" t="str">
        <f>IF('보정계수 산출'!U81=0,"",'보정계수 산출'!U81)</f>
        <v/>
      </c>
      <c r="W12" s="146" t="str">
        <f>IF('보정계수 산출'!V81=0,"",'보정계수 산출'!V81)</f>
        <v/>
      </c>
      <c r="X12" s="146" t="str">
        <f>IF('보정계수 산출'!W81=0,"",'보정계수 산출'!W81)</f>
        <v/>
      </c>
      <c r="Y12" s="146" t="str">
        <f>IF('보정계수 산출'!X81=0,"",'보정계수 산출'!X81)</f>
        <v/>
      </c>
      <c r="Z12" s="146" t="str">
        <f>IF('보정계수 산출'!Y81=0,"",'보정계수 산출'!Y81)</f>
        <v/>
      </c>
      <c r="AA12" s="146" t="str">
        <f>IF('보정계수 산출'!Z81=0,"",'보정계수 산출'!Z81)</f>
        <v/>
      </c>
      <c r="AB12" s="146" t="str">
        <f>IF('보정계수 산출'!AA81=0,"",'보정계수 산출'!AA81)</f>
        <v/>
      </c>
      <c r="AC12" s="146" t="str">
        <f>IF('보정계수 산출'!AB81=0,"",'보정계수 산출'!AB81)</f>
        <v/>
      </c>
      <c r="AD12" s="124"/>
    </row>
    <row r="13" spans="1:41" s="116" customFormat="1" ht="28.9" customHeight="1">
      <c r="A13" s="62" t="str">
        <f>적용소요인력!A13</f>
        <v xml:space="preserve">   가) 수리․수문조사</v>
      </c>
      <c r="B13" s="121" t="str">
        <f>적용소요인력!B13</f>
        <v>10km2</v>
      </c>
      <c r="C13" s="121" t="str">
        <f>적용소요인력!C13</f>
        <v>유역면적당</v>
      </c>
      <c r="D13" s="237" t="s">
        <v>250</v>
      </c>
      <c r="E13" s="146">
        <f>IF('보정계수 산출'!D82=0,0,'보정계수 산출'!D82)</f>
        <v>1</v>
      </c>
      <c r="F13" s="146" t="str">
        <f>IF('보정계수 산출'!E82=0,"",'보정계수 산출'!E82)</f>
        <v/>
      </c>
      <c r="G13" s="146">
        <f>IF('보정계수 산출'!F82=0,"",'보정계수 산출'!F82)</f>
        <v>0.3</v>
      </c>
      <c r="H13" s="146" t="str">
        <f>IF('보정계수 산출'!G82=0,"",'보정계수 산출'!G82)</f>
        <v/>
      </c>
      <c r="I13" s="146" t="str">
        <f>IF('보정계수 산출'!H82=0,"",'보정계수 산출'!H82)</f>
        <v/>
      </c>
      <c r="J13" s="146" t="str">
        <f>IF('보정계수 산출'!I82=0,"",'보정계수 산출'!I82)</f>
        <v/>
      </c>
      <c r="K13" s="146" t="str">
        <f>IF('보정계수 산출'!J82=0,"",'보정계수 산출'!J82)</f>
        <v/>
      </c>
      <c r="L13" s="146" t="str">
        <f>IF('보정계수 산출'!K82=0,"",'보정계수 산출'!K82)</f>
        <v/>
      </c>
      <c r="M13" s="146" t="str">
        <f>IF('보정계수 산출'!L82=0,"",'보정계수 산출'!L82)</f>
        <v/>
      </c>
      <c r="N13" s="146" t="str">
        <f>IF('보정계수 산출'!M82=0,"",'보정계수 산출'!M82)</f>
        <v/>
      </c>
      <c r="O13" s="146" t="str">
        <f>IF('보정계수 산출'!N82=0,"",'보정계수 산출'!N82)</f>
        <v/>
      </c>
      <c r="P13" s="146" t="str">
        <f>IF('보정계수 산출'!O82=0,"",'보정계수 산출'!O82)</f>
        <v/>
      </c>
      <c r="Q13" s="146" t="str">
        <f>IF('보정계수 산출'!P82=0,"",'보정계수 산출'!P82)</f>
        <v/>
      </c>
      <c r="R13" s="146" t="str">
        <f>IF('보정계수 산출'!Q82=0,"",'보정계수 산출'!Q82)</f>
        <v/>
      </c>
      <c r="S13" s="146" t="str">
        <f>IF('보정계수 산출'!R82=0,"",'보정계수 산출'!R82)</f>
        <v/>
      </c>
      <c r="T13" s="146" t="str">
        <f>IF('보정계수 산출'!S82=0,"",'보정계수 산출'!S82)</f>
        <v/>
      </c>
      <c r="U13" s="146" t="str">
        <f>IF('보정계수 산출'!T82=0,"",'보정계수 산출'!T82)</f>
        <v/>
      </c>
      <c r="V13" s="146" t="str">
        <f>IF('보정계수 산출'!U82=0,"",'보정계수 산출'!U82)</f>
        <v/>
      </c>
      <c r="W13" s="146" t="str">
        <f>IF('보정계수 산출'!V82=0,"",'보정계수 산출'!V82)</f>
        <v/>
      </c>
      <c r="X13" s="146" t="str">
        <f>IF('보정계수 산출'!W82=0,"",'보정계수 산출'!W82)</f>
        <v/>
      </c>
      <c r="Y13" s="146" t="str">
        <f>IF('보정계수 산출'!X82=0,"",'보정계수 산출'!X82)</f>
        <v/>
      </c>
      <c r="Z13" s="146" t="str">
        <f>IF('보정계수 산출'!Y82=0,"",'보정계수 산출'!Y82)</f>
        <v/>
      </c>
      <c r="AA13" s="146" t="str">
        <f>IF('보정계수 산출'!Z82=0,"",'보정계수 산출'!Z82)</f>
        <v/>
      </c>
      <c r="AB13" s="146" t="str">
        <f>IF('보정계수 산출'!AA82=0,"",'보정계수 산출'!AA82)</f>
        <v/>
      </c>
      <c r="AC13" s="146" t="str">
        <f>IF('보정계수 산출'!AB82=0,"",'보정계수 산출'!AB82)</f>
        <v/>
      </c>
      <c r="AD13" s="124">
        <f t="shared" ref="AD13:AD18" si="0">IF(PRODUCT(E13:AC13)=0,0, PRODUCT(E13:AC13))</f>
        <v>0.3</v>
      </c>
    </row>
    <row r="14" spans="1:41" s="116" customFormat="1" ht="28.9" customHeight="1">
      <c r="A14" s="62" t="str">
        <f>적용소요인력!A14</f>
        <v xml:space="preserve">   나) 강우분석</v>
      </c>
      <c r="B14" s="121" t="str">
        <f>적용소요인력!B14</f>
        <v>10km2</v>
      </c>
      <c r="C14" s="121" t="str">
        <f>적용소요인력!C14</f>
        <v>유역면적당</v>
      </c>
      <c r="D14" s="161" t="s">
        <v>251</v>
      </c>
      <c r="E14" s="146">
        <f>IF('보정계수 산출'!D83=0,0,'보정계수 산출'!D83)</f>
        <v>1</v>
      </c>
      <c r="F14" s="146" t="str">
        <f>IF('보정계수 산출'!E83=0,"",'보정계수 산출'!E83)</f>
        <v/>
      </c>
      <c r="G14" s="146">
        <f>IF('보정계수 산출'!F83=0,"",'보정계수 산출'!F83)</f>
        <v>0.3</v>
      </c>
      <c r="H14" s="146" t="str">
        <f>IF('보정계수 산출'!G83=0,"",'보정계수 산출'!G83)</f>
        <v/>
      </c>
      <c r="I14" s="146" t="str">
        <f>IF('보정계수 산출'!H83=0,"",'보정계수 산출'!H83)</f>
        <v/>
      </c>
      <c r="J14" s="146" t="str">
        <f>IF('보정계수 산출'!I83=0,"",'보정계수 산출'!I83)</f>
        <v/>
      </c>
      <c r="K14" s="146" t="str">
        <f>IF('보정계수 산출'!J83=0,"",'보정계수 산출'!J83)</f>
        <v/>
      </c>
      <c r="L14" s="146" t="str">
        <f>IF('보정계수 산출'!K83=0,"",'보정계수 산출'!K83)</f>
        <v/>
      </c>
      <c r="M14" s="146" t="str">
        <f>IF('보정계수 산출'!L83=0,"",'보정계수 산출'!L83)</f>
        <v/>
      </c>
      <c r="N14" s="146" t="str">
        <f>IF('보정계수 산출'!M83=0,"",'보정계수 산출'!M83)</f>
        <v/>
      </c>
      <c r="O14" s="146" t="str">
        <f>IF('보정계수 산출'!N83=0,"",'보정계수 산출'!N83)</f>
        <v/>
      </c>
      <c r="P14" s="146" t="str">
        <f>IF('보정계수 산출'!O83=0,"",'보정계수 산출'!O83)</f>
        <v/>
      </c>
      <c r="Q14" s="146" t="str">
        <f>IF('보정계수 산출'!P83=0,"",'보정계수 산출'!P83)</f>
        <v/>
      </c>
      <c r="R14" s="146" t="str">
        <f>IF('보정계수 산출'!Q83=0,"",'보정계수 산출'!Q83)</f>
        <v/>
      </c>
      <c r="S14" s="146" t="str">
        <f>IF('보정계수 산출'!R83=0,"",'보정계수 산출'!R83)</f>
        <v/>
      </c>
      <c r="T14" s="146" t="str">
        <f>IF('보정계수 산출'!S83=0,"",'보정계수 산출'!S83)</f>
        <v/>
      </c>
      <c r="U14" s="146" t="str">
        <f>IF('보정계수 산출'!T83=0,"",'보정계수 산출'!T83)</f>
        <v/>
      </c>
      <c r="V14" s="146" t="str">
        <f>IF('보정계수 산출'!U83=0,"",'보정계수 산출'!U83)</f>
        <v/>
      </c>
      <c r="W14" s="146" t="str">
        <f>IF('보정계수 산출'!V83=0,"",'보정계수 산출'!V83)</f>
        <v/>
      </c>
      <c r="X14" s="146" t="str">
        <f>IF('보정계수 산출'!W83=0,"",'보정계수 산출'!W83)</f>
        <v/>
      </c>
      <c r="Y14" s="146" t="str">
        <f>IF('보정계수 산출'!X83=0,"",'보정계수 산출'!X83)</f>
        <v/>
      </c>
      <c r="Z14" s="146" t="str">
        <f>IF('보정계수 산출'!Y83=0,"",'보정계수 산출'!Y83)</f>
        <v/>
      </c>
      <c r="AA14" s="146" t="str">
        <f>IF('보정계수 산출'!Z83=0,"",'보정계수 산출'!Z83)</f>
        <v/>
      </c>
      <c r="AB14" s="146" t="str">
        <f>IF('보정계수 산출'!AA83=0,"",'보정계수 산출'!AA83)</f>
        <v/>
      </c>
      <c r="AC14" s="146" t="str">
        <f>IF('보정계수 산출'!AB83=0,"",'보정계수 산출'!AB83)</f>
        <v/>
      </c>
      <c r="AD14" s="124">
        <f t="shared" si="0"/>
        <v>0.3</v>
      </c>
      <c r="AH14" s="122"/>
      <c r="AI14" s="122"/>
      <c r="AJ14" s="123"/>
      <c r="AK14" s="123"/>
      <c r="AL14" s="123"/>
      <c r="AM14" s="123"/>
      <c r="AN14" s="123"/>
      <c r="AO14" s="123"/>
    </row>
    <row r="15" spans="1:41" s="116" customFormat="1" ht="28.9" customHeight="1">
      <c r="A15" s="62" t="str">
        <f>적용소요인력!A15</f>
        <v xml:space="preserve">   다) 유출분석</v>
      </c>
      <c r="B15" s="121" t="str">
        <f>적용소요인력!B15</f>
        <v>10km2</v>
      </c>
      <c r="C15" s="121" t="str">
        <f>적용소요인력!C15</f>
        <v>유역면적당</v>
      </c>
      <c r="D15" s="161" t="s">
        <v>251</v>
      </c>
      <c r="E15" s="146">
        <f>IF('보정계수 산출'!D84=0,0,'보정계수 산출'!D84)</f>
        <v>1</v>
      </c>
      <c r="F15" s="146" t="str">
        <f>IF('보정계수 산출'!E84=0,"",'보정계수 산출'!E84)</f>
        <v/>
      </c>
      <c r="G15" s="146">
        <f>IF('보정계수 산출'!F84=0,"",'보정계수 산출'!F84)</f>
        <v>0.3</v>
      </c>
      <c r="H15" s="146" t="str">
        <f>IF('보정계수 산출'!G84=0,"",'보정계수 산출'!G84)</f>
        <v/>
      </c>
      <c r="I15" s="146" t="str">
        <f>IF('보정계수 산출'!H84=0,"",'보정계수 산출'!H84)</f>
        <v/>
      </c>
      <c r="J15" s="146" t="str">
        <f>IF('보정계수 산출'!I84=0,"",'보정계수 산출'!I84)</f>
        <v/>
      </c>
      <c r="K15" s="146" t="str">
        <f>IF('보정계수 산출'!J84=0,"",'보정계수 산출'!J84)</f>
        <v/>
      </c>
      <c r="L15" s="146" t="str">
        <f>IF('보정계수 산출'!K84=0,"",'보정계수 산출'!K84)</f>
        <v/>
      </c>
      <c r="M15" s="146" t="str">
        <f>IF('보정계수 산출'!L84=0,"",'보정계수 산출'!L84)</f>
        <v/>
      </c>
      <c r="N15" s="146" t="str">
        <f>IF('보정계수 산출'!M84=0,"",'보정계수 산출'!M84)</f>
        <v/>
      </c>
      <c r="O15" s="146" t="str">
        <f>IF('보정계수 산출'!N84=0,"",'보정계수 산출'!N84)</f>
        <v/>
      </c>
      <c r="P15" s="146" t="str">
        <f>IF('보정계수 산출'!O84=0,"",'보정계수 산출'!O84)</f>
        <v/>
      </c>
      <c r="Q15" s="146" t="str">
        <f>IF('보정계수 산출'!P84=0,"",'보정계수 산출'!P84)</f>
        <v/>
      </c>
      <c r="R15" s="146" t="str">
        <f>IF('보정계수 산출'!Q84=0,"",'보정계수 산출'!Q84)</f>
        <v/>
      </c>
      <c r="S15" s="146" t="str">
        <f>IF('보정계수 산출'!R84=0,"",'보정계수 산출'!R84)</f>
        <v/>
      </c>
      <c r="T15" s="146" t="str">
        <f>IF('보정계수 산출'!S84=0,"",'보정계수 산출'!S84)</f>
        <v/>
      </c>
      <c r="U15" s="146" t="str">
        <f>IF('보정계수 산출'!T84=0,"",'보정계수 산출'!T84)</f>
        <v/>
      </c>
      <c r="V15" s="146" t="str">
        <f>IF('보정계수 산출'!U84=0,"",'보정계수 산출'!U84)</f>
        <v/>
      </c>
      <c r="W15" s="146" t="str">
        <f>IF('보정계수 산출'!V84=0,"",'보정계수 산출'!V84)</f>
        <v/>
      </c>
      <c r="X15" s="146" t="str">
        <f>IF('보정계수 산출'!W84=0,"",'보정계수 산출'!W84)</f>
        <v/>
      </c>
      <c r="Y15" s="146" t="str">
        <f>IF('보정계수 산출'!X84=0,"",'보정계수 산출'!X84)</f>
        <v/>
      </c>
      <c r="Z15" s="146" t="str">
        <f>IF('보정계수 산출'!Y84=0,"",'보정계수 산출'!Y84)</f>
        <v/>
      </c>
      <c r="AA15" s="146" t="str">
        <f>IF('보정계수 산출'!Z84=0,"",'보정계수 산출'!Z84)</f>
        <v/>
      </c>
      <c r="AB15" s="146" t="str">
        <f>IF('보정계수 산출'!AA84=0,"",'보정계수 산출'!AA84)</f>
        <v/>
      </c>
      <c r="AC15" s="146" t="str">
        <f>IF('보정계수 산출'!AB84=0,"",'보정계수 산출'!AB84)</f>
        <v/>
      </c>
      <c r="AD15" s="124">
        <f t="shared" si="0"/>
        <v>0.3</v>
      </c>
    </row>
    <row r="16" spans="1:41" s="116" customFormat="1" ht="28.9" customHeight="1">
      <c r="A16" s="62" t="str">
        <f>적용소요인력!A16</f>
        <v xml:space="preserve">   라) 홍수위산정</v>
      </c>
      <c r="B16" s="121" t="str">
        <f>적용소요인력!B16</f>
        <v>1㎞</v>
      </c>
      <c r="C16" s="121" t="str">
        <f>적용소요인력!C16</f>
        <v>연장당</v>
      </c>
      <c r="D16" s="161" t="s">
        <v>252</v>
      </c>
      <c r="E16" s="146">
        <v>0</v>
      </c>
      <c r="F16" s="146">
        <f>IF('보정계수 산출'!E85=0,"",'보정계수 산출'!E85)</f>
        <v>5.14</v>
      </c>
      <c r="G16" s="146" t="str">
        <f>IF('보정계수 산출'!F85=0,"",'보정계수 산출'!F85)</f>
        <v/>
      </c>
      <c r="H16" s="146" t="str">
        <f>IF('보정계수 산출'!G85=0,"",'보정계수 산출'!G85)</f>
        <v/>
      </c>
      <c r="I16" s="146" t="str">
        <f>IF('보정계수 산출'!H85=0,"",'보정계수 산출'!H85)</f>
        <v/>
      </c>
      <c r="J16" s="146" t="str">
        <f>IF('보정계수 산출'!I85=0,"",'보정계수 산출'!I85)</f>
        <v/>
      </c>
      <c r="K16" s="146" t="str">
        <f>IF('보정계수 산출'!J85=0,"",'보정계수 산출'!J85)</f>
        <v/>
      </c>
      <c r="L16" s="146" t="str">
        <f>IF('보정계수 산출'!K85=0,"",'보정계수 산출'!K85)</f>
        <v/>
      </c>
      <c r="M16" s="146" t="str">
        <f>IF('보정계수 산출'!L85=0,"",'보정계수 산출'!L85)</f>
        <v/>
      </c>
      <c r="N16" s="146" t="str">
        <f>IF('보정계수 산출'!M85=0,"",'보정계수 산출'!M85)</f>
        <v/>
      </c>
      <c r="O16" s="146" t="str">
        <f>IF('보정계수 산출'!N85=0,"",'보정계수 산출'!N85)</f>
        <v/>
      </c>
      <c r="P16" s="146" t="str">
        <f>IF('보정계수 산출'!O85=0,"",'보정계수 산출'!O85)</f>
        <v/>
      </c>
      <c r="Q16" s="146" t="str">
        <f>IF('보정계수 산출'!P85=0,"",'보정계수 산출'!P85)</f>
        <v/>
      </c>
      <c r="R16" s="146" t="str">
        <f>IF('보정계수 산출'!Q85=0,"",'보정계수 산출'!Q85)</f>
        <v/>
      </c>
      <c r="S16" s="146" t="str">
        <f>IF('보정계수 산출'!R85=0,"",'보정계수 산출'!R85)</f>
        <v/>
      </c>
      <c r="T16" s="146" t="str">
        <f>IF('보정계수 산출'!S85=0,"",'보정계수 산출'!S85)</f>
        <v/>
      </c>
      <c r="U16" s="146" t="str">
        <f>IF('보정계수 산출'!T85=0,"",'보정계수 산출'!T85)</f>
        <v/>
      </c>
      <c r="V16" s="146" t="str">
        <f>IF('보정계수 산출'!U85=0,"",'보정계수 산출'!U85)</f>
        <v/>
      </c>
      <c r="W16" s="146" t="str">
        <f>IF('보정계수 산출'!V85=0,"",'보정계수 산출'!V85)</f>
        <v/>
      </c>
      <c r="X16" s="146" t="str">
        <f>IF('보정계수 산출'!W85=0,"",'보정계수 산출'!W85)</f>
        <v/>
      </c>
      <c r="Y16" s="146" t="str">
        <f>IF('보정계수 산출'!X85=0,"",'보정계수 산출'!X85)</f>
        <v/>
      </c>
      <c r="Z16" s="146" t="str">
        <f>IF('보정계수 산출'!Y85=0,"",'보정계수 산출'!Y85)</f>
        <v/>
      </c>
      <c r="AA16" s="146" t="str">
        <f>IF('보정계수 산출'!Z85=0,"",'보정계수 산출'!Z85)</f>
        <v/>
      </c>
      <c r="AB16" s="146" t="str">
        <f>IF('보정계수 산출'!AA85=0,"",'보정계수 산출'!AA85)</f>
        <v/>
      </c>
      <c r="AC16" s="146" t="str">
        <f>IF('보정계수 산출'!AB85=0,"",'보정계수 산출'!AB85)</f>
        <v/>
      </c>
      <c r="AD16" s="124">
        <f t="shared" si="0"/>
        <v>0</v>
      </c>
    </row>
    <row r="17" spans="1:30" s="116" customFormat="1" ht="28.9" customHeight="1">
      <c r="A17" s="62" t="str">
        <f>적용소요인력!A17</f>
        <v xml:space="preserve">   마) 범람해석(2차원 시뮬레이션)</v>
      </c>
      <c r="B17" s="121" t="str">
        <f>적용소요인력!B17</f>
        <v>1km2</v>
      </c>
      <c r="C17" s="121" t="str">
        <f>적용소요인력!C17</f>
        <v>유역면적당</v>
      </c>
      <c r="D17" s="237" t="s">
        <v>250</v>
      </c>
      <c r="E17" s="146">
        <f>IF('보정계수 산출'!D86=0,0,'보정계수 산출'!D86)</f>
        <v>1</v>
      </c>
      <c r="F17" s="146" t="str">
        <f>IF('보정계수 산출'!E86=0,"",'보정계수 산출'!E86)</f>
        <v/>
      </c>
      <c r="G17" s="146">
        <f>IF('보정계수 산출'!F86=0,"",'보정계수 산출'!F86)</f>
        <v>1.95</v>
      </c>
      <c r="H17" s="146" t="str">
        <f>IF('보정계수 산출'!G86=0,"",'보정계수 산출'!G86)</f>
        <v/>
      </c>
      <c r="I17" s="146" t="str">
        <f>IF('보정계수 산출'!H86=0,"",'보정계수 산출'!H86)</f>
        <v/>
      </c>
      <c r="J17" s="146" t="str">
        <f>IF('보정계수 산출'!I86=0,"",'보정계수 산출'!I86)</f>
        <v/>
      </c>
      <c r="K17" s="146" t="str">
        <f>IF('보정계수 산출'!J86=0,"",'보정계수 산출'!J86)</f>
        <v/>
      </c>
      <c r="L17" s="146" t="str">
        <f>IF('보정계수 산출'!K86=0,"",'보정계수 산출'!K86)</f>
        <v/>
      </c>
      <c r="M17" s="146" t="str">
        <f>IF('보정계수 산출'!L86=0,"",'보정계수 산출'!L86)</f>
        <v/>
      </c>
      <c r="N17" s="146" t="str">
        <f>IF('보정계수 산출'!M86=0,"",'보정계수 산출'!M86)</f>
        <v/>
      </c>
      <c r="O17" s="146" t="str">
        <f>IF('보정계수 산출'!N86=0,"",'보정계수 산출'!N86)</f>
        <v/>
      </c>
      <c r="P17" s="146" t="str">
        <f>IF('보정계수 산출'!O86=0,"",'보정계수 산출'!O86)</f>
        <v/>
      </c>
      <c r="Q17" s="146" t="str">
        <f>IF('보정계수 산출'!P86=0,"",'보정계수 산출'!P86)</f>
        <v/>
      </c>
      <c r="R17" s="146" t="str">
        <f>IF('보정계수 산출'!Q86=0,"",'보정계수 산출'!Q86)</f>
        <v/>
      </c>
      <c r="S17" s="146" t="str">
        <f>IF('보정계수 산출'!R86=0,"",'보정계수 산출'!R86)</f>
        <v/>
      </c>
      <c r="T17" s="146" t="str">
        <f>IF('보정계수 산출'!S86=0,"",'보정계수 산출'!S86)</f>
        <v/>
      </c>
      <c r="U17" s="146" t="str">
        <f>IF('보정계수 산출'!T86=0,"",'보정계수 산출'!T86)</f>
        <v/>
      </c>
      <c r="V17" s="146" t="str">
        <f>IF('보정계수 산출'!U86=0,"",'보정계수 산출'!U86)</f>
        <v/>
      </c>
      <c r="W17" s="146" t="str">
        <f>IF('보정계수 산출'!V86=0,"",'보정계수 산출'!V86)</f>
        <v/>
      </c>
      <c r="X17" s="146" t="str">
        <f>IF('보정계수 산출'!W86=0,"",'보정계수 산출'!W86)</f>
        <v/>
      </c>
      <c r="Y17" s="146" t="str">
        <f>IF('보정계수 산출'!X86=0,"",'보정계수 산출'!X86)</f>
        <v/>
      </c>
      <c r="Z17" s="146" t="str">
        <f>IF('보정계수 산출'!Y86=0,"",'보정계수 산출'!Y86)</f>
        <v/>
      </c>
      <c r="AA17" s="146" t="str">
        <f>IF('보정계수 산출'!Z86=0,"",'보정계수 산출'!Z86)</f>
        <v/>
      </c>
      <c r="AB17" s="146" t="str">
        <f>IF('보정계수 산출'!AA86=0,"",'보정계수 산출'!AA86)</f>
        <v/>
      </c>
      <c r="AC17" s="146" t="str">
        <f>IF('보정계수 산출'!AB86=0,"",'보정계수 산출'!AB86)</f>
        <v/>
      </c>
      <c r="AD17" s="124">
        <f t="shared" si="0"/>
        <v>1.95</v>
      </c>
    </row>
    <row r="18" spans="1:30" s="116" customFormat="1" ht="28.9" customHeight="1">
      <c r="A18" s="62" t="str">
        <f>적용소요인력!A18</f>
        <v xml:space="preserve">   바) 피해원인분석</v>
      </c>
      <c r="B18" s="121" t="str">
        <f>적용소요인력!B18</f>
        <v>1㎞</v>
      </c>
      <c r="C18" s="121" t="str">
        <f>적용소요인력!C18</f>
        <v>연장당</v>
      </c>
      <c r="D18" s="161" t="s">
        <v>252</v>
      </c>
      <c r="E18" s="146">
        <f>IF('보정계수 산출'!D87=0,0,'보정계수 산출'!D87)</f>
        <v>1</v>
      </c>
      <c r="F18" s="146">
        <f>IF('보정계수 산출'!E87=0,"",'보정계수 산출'!E87)</f>
        <v>5.14</v>
      </c>
      <c r="G18" s="146" t="str">
        <f>IF('보정계수 산출'!F87=0,"",'보정계수 산출'!F87)</f>
        <v/>
      </c>
      <c r="H18" s="146" t="str">
        <f>IF('보정계수 산출'!G87=0,"",'보정계수 산출'!G87)</f>
        <v/>
      </c>
      <c r="I18" s="146" t="str">
        <f>IF('보정계수 산출'!H87=0,"",'보정계수 산출'!H87)</f>
        <v/>
      </c>
      <c r="J18" s="146" t="str">
        <f>IF('보정계수 산출'!I87=0,"",'보정계수 산출'!I87)</f>
        <v/>
      </c>
      <c r="K18" s="146" t="str">
        <f>IF('보정계수 산출'!J87=0,"",'보정계수 산출'!J87)</f>
        <v/>
      </c>
      <c r="L18" s="146" t="str">
        <f>IF('보정계수 산출'!K87=0,"",'보정계수 산출'!K87)</f>
        <v/>
      </c>
      <c r="M18" s="146" t="str">
        <f>IF('보정계수 산출'!L87=0,"",'보정계수 산출'!L87)</f>
        <v/>
      </c>
      <c r="N18" s="146" t="str">
        <f>IF('보정계수 산출'!M87=0,"",'보정계수 산출'!M87)</f>
        <v/>
      </c>
      <c r="O18" s="146" t="str">
        <f>IF('보정계수 산출'!N87=0,"",'보정계수 산출'!N87)</f>
        <v/>
      </c>
      <c r="P18" s="146" t="str">
        <f>IF('보정계수 산출'!O87=0,"",'보정계수 산출'!O87)</f>
        <v/>
      </c>
      <c r="Q18" s="146" t="str">
        <f>IF('보정계수 산출'!P87=0,"",'보정계수 산출'!P87)</f>
        <v/>
      </c>
      <c r="R18" s="146" t="str">
        <f>IF('보정계수 산출'!Q87=0,"",'보정계수 산출'!Q87)</f>
        <v/>
      </c>
      <c r="S18" s="146" t="str">
        <f>IF('보정계수 산출'!R87=0,"",'보정계수 산출'!R87)</f>
        <v/>
      </c>
      <c r="T18" s="146" t="str">
        <f>IF('보정계수 산출'!S87=0,"",'보정계수 산출'!S87)</f>
        <v/>
      </c>
      <c r="U18" s="146" t="str">
        <f>IF('보정계수 산출'!T87=0,"",'보정계수 산출'!T87)</f>
        <v/>
      </c>
      <c r="V18" s="146" t="str">
        <f>IF('보정계수 산출'!U87=0,"",'보정계수 산출'!U87)</f>
        <v/>
      </c>
      <c r="W18" s="146" t="str">
        <f>IF('보정계수 산출'!V87=0,"",'보정계수 산출'!V87)</f>
        <v/>
      </c>
      <c r="X18" s="146" t="str">
        <f>IF('보정계수 산출'!W87=0,"",'보정계수 산출'!W87)</f>
        <v/>
      </c>
      <c r="Y18" s="146" t="str">
        <f>IF('보정계수 산출'!X87=0,"",'보정계수 산출'!X87)</f>
        <v/>
      </c>
      <c r="Z18" s="146" t="str">
        <f>IF('보정계수 산출'!Y87=0,"",'보정계수 산출'!Y87)</f>
        <v/>
      </c>
      <c r="AA18" s="146" t="str">
        <f>IF('보정계수 산출'!Z87=0,"",'보정계수 산출'!Z87)</f>
        <v/>
      </c>
      <c r="AB18" s="146" t="str">
        <f>IF('보정계수 산출'!AA87=0,"",'보정계수 산출'!AA87)</f>
        <v/>
      </c>
      <c r="AC18" s="146" t="str">
        <f>IF('보정계수 산출'!AB87=0,"",'보정계수 산출'!AB87)</f>
        <v/>
      </c>
      <c r="AD18" s="124">
        <f t="shared" si="0"/>
        <v>5.14</v>
      </c>
    </row>
    <row r="19" spans="1:30" s="135" customFormat="1" ht="28.9" customHeight="1">
      <c r="A19" s="118" t="str">
        <f>적용소요인력!A19</f>
        <v xml:space="preserve"> 라. 정비계획수립</v>
      </c>
      <c r="B19" s="119"/>
      <c r="C19" s="119"/>
      <c r="D19" s="119"/>
      <c r="E19" s="146" t="str">
        <f>IF('보정계수 산출'!D88=0,"",'보정계수 산출'!D88)</f>
        <v/>
      </c>
      <c r="F19" s="146" t="str">
        <f>IF('보정계수 산출'!E88=0,"",'보정계수 산출'!E88)</f>
        <v/>
      </c>
      <c r="G19" s="146" t="str">
        <f>IF('보정계수 산출'!F88=0,"",'보정계수 산출'!F88)</f>
        <v/>
      </c>
      <c r="H19" s="146" t="str">
        <f>IF('보정계수 산출'!G88=0,"",'보정계수 산출'!G88)</f>
        <v/>
      </c>
      <c r="I19" s="146" t="str">
        <f>IF('보정계수 산출'!H88=0,"",'보정계수 산출'!H88)</f>
        <v/>
      </c>
      <c r="J19" s="146" t="str">
        <f>IF('보정계수 산출'!I88=0,"",'보정계수 산출'!I88)</f>
        <v/>
      </c>
      <c r="K19" s="146" t="str">
        <f>IF('보정계수 산출'!J88=0,"",'보정계수 산출'!J88)</f>
        <v/>
      </c>
      <c r="L19" s="146" t="str">
        <f>IF('보정계수 산출'!K88=0,"",'보정계수 산출'!K88)</f>
        <v/>
      </c>
      <c r="M19" s="146" t="str">
        <f>IF('보정계수 산출'!L88=0,"",'보정계수 산출'!L88)</f>
        <v/>
      </c>
      <c r="N19" s="146" t="str">
        <f>IF('보정계수 산출'!M88=0,"",'보정계수 산출'!M88)</f>
        <v/>
      </c>
      <c r="O19" s="146" t="str">
        <f>IF('보정계수 산출'!N88=0,"",'보정계수 산출'!N88)</f>
        <v/>
      </c>
      <c r="P19" s="146" t="str">
        <f>IF('보정계수 산출'!O88=0,"",'보정계수 산출'!O88)</f>
        <v/>
      </c>
      <c r="Q19" s="146" t="str">
        <f>IF('보정계수 산출'!P88=0,"",'보정계수 산출'!P88)</f>
        <v/>
      </c>
      <c r="R19" s="146" t="str">
        <f>IF('보정계수 산출'!Q88=0,"",'보정계수 산출'!Q88)</f>
        <v/>
      </c>
      <c r="S19" s="146" t="str">
        <f>IF('보정계수 산출'!R88=0,"",'보정계수 산출'!R88)</f>
        <v/>
      </c>
      <c r="T19" s="146" t="str">
        <f>IF('보정계수 산출'!S88=0,"",'보정계수 산출'!S88)</f>
        <v/>
      </c>
      <c r="U19" s="146" t="str">
        <f>IF('보정계수 산출'!T88=0,"",'보정계수 산출'!T88)</f>
        <v/>
      </c>
      <c r="V19" s="146" t="str">
        <f>IF('보정계수 산출'!U88=0,"",'보정계수 산출'!U88)</f>
        <v/>
      </c>
      <c r="W19" s="146" t="str">
        <f>IF('보정계수 산출'!V88=0,"",'보정계수 산출'!V88)</f>
        <v/>
      </c>
      <c r="X19" s="146" t="str">
        <f>IF('보정계수 산출'!W88=0,"",'보정계수 산출'!W88)</f>
        <v/>
      </c>
      <c r="Y19" s="146" t="str">
        <f>IF('보정계수 산출'!X88=0,"",'보정계수 산출'!X88)</f>
        <v/>
      </c>
      <c r="Z19" s="146" t="str">
        <f>IF('보정계수 산출'!Y88=0,"",'보정계수 산출'!Y88)</f>
        <v/>
      </c>
      <c r="AA19" s="146" t="str">
        <f>IF('보정계수 산출'!Z88=0,"",'보정계수 산출'!Z88)</f>
        <v/>
      </c>
      <c r="AB19" s="146" t="str">
        <f>IF('보정계수 산출'!AA88=0,"",'보정계수 산출'!AA88)</f>
        <v/>
      </c>
      <c r="AC19" s="146" t="str">
        <f>IF('보정계수 산출'!AB88=0,"",'보정계수 산출'!AB88)</f>
        <v/>
      </c>
      <c r="AD19" s="120"/>
    </row>
    <row r="20" spans="1:30" s="116" customFormat="1" ht="28.9" customHeight="1">
      <c r="A20" s="118" t="str">
        <f>적용소요인력!A20</f>
        <v xml:space="preserve">  1) 재해유형별 정비기본방향</v>
      </c>
      <c r="B20" s="121"/>
      <c r="C20" s="121"/>
      <c r="D20" s="121"/>
      <c r="E20" s="146" t="str">
        <f>IF('보정계수 산출'!D89=0,"",'보정계수 산출'!D89)</f>
        <v/>
      </c>
      <c r="F20" s="146" t="str">
        <f>IF('보정계수 산출'!E89=0,"",'보정계수 산출'!E89)</f>
        <v/>
      </c>
      <c r="G20" s="146" t="str">
        <f>IF('보정계수 산출'!F89=0,"",'보정계수 산출'!F89)</f>
        <v/>
      </c>
      <c r="H20" s="146" t="str">
        <f>IF('보정계수 산출'!G89=0,"",'보정계수 산출'!G89)</f>
        <v/>
      </c>
      <c r="I20" s="146" t="str">
        <f>IF('보정계수 산출'!H89=0,"",'보정계수 산출'!H89)</f>
        <v/>
      </c>
      <c r="J20" s="146" t="str">
        <f>IF('보정계수 산출'!I89=0,"",'보정계수 산출'!I89)</f>
        <v/>
      </c>
      <c r="K20" s="146" t="str">
        <f>IF('보정계수 산출'!J89=0,"",'보정계수 산출'!J89)</f>
        <v/>
      </c>
      <c r="L20" s="146" t="str">
        <f>IF('보정계수 산출'!K89=0,"",'보정계수 산출'!K89)</f>
        <v/>
      </c>
      <c r="M20" s="146" t="str">
        <f>IF('보정계수 산출'!L89=0,"",'보정계수 산출'!L89)</f>
        <v/>
      </c>
      <c r="N20" s="146" t="str">
        <f>IF('보정계수 산출'!M89=0,"",'보정계수 산출'!M89)</f>
        <v/>
      </c>
      <c r="O20" s="146" t="str">
        <f>IF('보정계수 산출'!N89=0,"",'보정계수 산출'!N89)</f>
        <v/>
      </c>
      <c r="P20" s="146" t="str">
        <f>IF('보정계수 산출'!O89=0,"",'보정계수 산출'!O89)</f>
        <v/>
      </c>
      <c r="Q20" s="146" t="str">
        <f>IF('보정계수 산출'!P89=0,"",'보정계수 산출'!P89)</f>
        <v/>
      </c>
      <c r="R20" s="146" t="str">
        <f>IF('보정계수 산출'!Q89=0,"",'보정계수 산출'!Q89)</f>
        <v/>
      </c>
      <c r="S20" s="146" t="str">
        <f>IF('보정계수 산출'!R89=0,"",'보정계수 산출'!R89)</f>
        <v/>
      </c>
      <c r="T20" s="146" t="str">
        <f>IF('보정계수 산출'!S89=0,"",'보정계수 산출'!S89)</f>
        <v/>
      </c>
      <c r="U20" s="146" t="str">
        <f>IF('보정계수 산출'!T89=0,"",'보정계수 산출'!T89)</f>
        <v/>
      </c>
      <c r="V20" s="146" t="str">
        <f>IF('보정계수 산출'!U89=0,"",'보정계수 산출'!U89)</f>
        <v/>
      </c>
      <c r="W20" s="146" t="str">
        <f>IF('보정계수 산출'!V89=0,"",'보정계수 산출'!V89)</f>
        <v/>
      </c>
      <c r="X20" s="146" t="str">
        <f>IF('보정계수 산출'!W89=0,"",'보정계수 산출'!W89)</f>
        <v/>
      </c>
      <c r="Y20" s="146" t="str">
        <f>IF('보정계수 산출'!X89=0,"",'보정계수 산출'!X89)</f>
        <v/>
      </c>
      <c r="Z20" s="146" t="str">
        <f>IF('보정계수 산출'!Y89=0,"",'보정계수 산출'!Y89)</f>
        <v/>
      </c>
      <c r="AA20" s="146" t="str">
        <f>IF('보정계수 산출'!Z89=0,"",'보정계수 산출'!Z89)</f>
        <v/>
      </c>
      <c r="AB20" s="146" t="str">
        <f>IF('보정계수 산출'!AA89=0,"",'보정계수 산출'!AA89)</f>
        <v/>
      </c>
      <c r="AC20" s="146" t="str">
        <f>IF('보정계수 산출'!AB89=0,"",'보정계수 산출'!AB89)</f>
        <v/>
      </c>
      <c r="AD20" s="124"/>
    </row>
    <row r="21" spans="1:30" s="116" customFormat="1" ht="28.9" customHeight="1">
      <c r="A21" s="62" t="str">
        <f>적용소요인력!A21</f>
        <v xml:space="preserve">   가) 침수위험지구(하천재해)</v>
      </c>
      <c r="B21" s="121" t="str">
        <f>적용소요인력!B21</f>
        <v>1㎞</v>
      </c>
      <c r="C21" s="121" t="str">
        <f>적용소요인력!C21</f>
        <v>연장당</v>
      </c>
      <c r="D21" s="161" t="s">
        <v>252</v>
      </c>
      <c r="E21" s="146">
        <f>IF('보정계수 산출'!D90=0,0,'보정계수 산출'!D90)</f>
        <v>1</v>
      </c>
      <c r="F21" s="146">
        <f>IF('보정계수 산출'!E90=0,"",'보정계수 산출'!E90)</f>
        <v>5.14</v>
      </c>
      <c r="G21" s="146" t="str">
        <f>IF('보정계수 산출'!F90=0,"",'보정계수 산출'!F90)</f>
        <v/>
      </c>
      <c r="H21" s="146" t="str">
        <f>IF('보정계수 산출'!G90=0,"",'보정계수 산출'!G90)</f>
        <v/>
      </c>
      <c r="I21" s="146" t="str">
        <f>IF('보정계수 산출'!H90=0,"",'보정계수 산출'!H90)</f>
        <v/>
      </c>
      <c r="J21" s="146" t="str">
        <f>IF('보정계수 산출'!I90=0,"",'보정계수 산출'!I90)</f>
        <v/>
      </c>
      <c r="K21" s="146" t="str">
        <f>IF('보정계수 산출'!J90=0,"",'보정계수 산출'!J90)</f>
        <v/>
      </c>
      <c r="L21" s="146" t="str">
        <f>IF('보정계수 산출'!K90=0,"",'보정계수 산출'!K90)</f>
        <v/>
      </c>
      <c r="M21" s="146" t="str">
        <f>IF('보정계수 산출'!L90=0,"",'보정계수 산출'!L90)</f>
        <v/>
      </c>
      <c r="N21" s="146" t="str">
        <f>IF('보정계수 산출'!M90=0,"",'보정계수 산출'!M90)</f>
        <v/>
      </c>
      <c r="O21" s="146" t="str">
        <f>IF('보정계수 산출'!N90=0,"",'보정계수 산출'!N90)</f>
        <v/>
      </c>
      <c r="P21" s="146" t="str">
        <f>IF('보정계수 산출'!O90=0,"",'보정계수 산출'!O90)</f>
        <v/>
      </c>
      <c r="Q21" s="146" t="str">
        <f>IF('보정계수 산출'!P90=0,"",'보정계수 산출'!P90)</f>
        <v/>
      </c>
      <c r="R21" s="146" t="str">
        <f>IF('보정계수 산출'!Q90=0,"",'보정계수 산출'!Q90)</f>
        <v/>
      </c>
      <c r="S21" s="146" t="str">
        <f>IF('보정계수 산출'!R90=0,"",'보정계수 산출'!R90)</f>
        <v/>
      </c>
      <c r="T21" s="146" t="str">
        <f>IF('보정계수 산출'!S90=0,"",'보정계수 산출'!S90)</f>
        <v/>
      </c>
      <c r="U21" s="146" t="str">
        <f>IF('보정계수 산출'!T90=0,"",'보정계수 산출'!T90)</f>
        <v/>
      </c>
      <c r="V21" s="146" t="str">
        <f>IF('보정계수 산출'!U90=0,"",'보정계수 산출'!U90)</f>
        <v/>
      </c>
      <c r="W21" s="146" t="str">
        <f>IF('보정계수 산출'!V90=0,"",'보정계수 산출'!V90)</f>
        <v/>
      </c>
      <c r="X21" s="146" t="str">
        <f>IF('보정계수 산출'!W90=0,"",'보정계수 산출'!W90)</f>
        <v/>
      </c>
      <c r="Y21" s="146" t="str">
        <f>IF('보정계수 산출'!X90=0,"",'보정계수 산출'!X90)</f>
        <v/>
      </c>
      <c r="Z21" s="146" t="str">
        <f>IF('보정계수 산출'!Y90=0,"",'보정계수 산출'!Y90)</f>
        <v/>
      </c>
      <c r="AA21" s="146" t="str">
        <f>IF('보정계수 산출'!Z90=0,"",'보정계수 산출'!Z90)</f>
        <v/>
      </c>
      <c r="AB21" s="146" t="str">
        <f>IF('보정계수 산출'!AA90=0,"",'보정계수 산출'!AA90)</f>
        <v/>
      </c>
      <c r="AC21" s="146" t="str">
        <f>IF('보정계수 산출'!AB90=0,"",'보정계수 산출'!AB90)</f>
        <v/>
      </c>
      <c r="AD21" s="124">
        <f t="shared" ref="AD21:AD24" si="1">IF(PRODUCT(E21:AC21)=0,0, PRODUCT(E21:AC21))</f>
        <v>5.14</v>
      </c>
    </row>
    <row r="22" spans="1:30" s="116" customFormat="1" ht="28.9" customHeight="1">
      <c r="A22" s="62" t="str">
        <f>적용소요인력!A22</f>
        <v xml:space="preserve">   나) 침수위험지구(내수재해)</v>
      </c>
      <c r="B22" s="121" t="str">
        <f>적용소요인력!B22</f>
        <v>1㎞2</v>
      </c>
      <c r="C22" s="121" t="str">
        <f>적용소요인력!C22</f>
        <v>유역면적당</v>
      </c>
      <c r="D22" s="161" t="s">
        <v>251</v>
      </c>
      <c r="E22" s="146">
        <f>IF('보정계수 산출'!D91=0,0,'보정계수 산출'!D91)</f>
        <v>1</v>
      </c>
      <c r="F22" s="146" t="str">
        <f>IF('보정계수 산출'!E91=0,"",'보정계수 산출'!E91)</f>
        <v/>
      </c>
      <c r="G22" s="146">
        <f>IF('보정계수 산출'!F91=0,"",'보정계수 산출'!F91)</f>
        <v>1.95</v>
      </c>
      <c r="H22" s="146" t="str">
        <f>IF('보정계수 산출'!G91=0,"",'보정계수 산출'!G91)</f>
        <v/>
      </c>
      <c r="I22" s="146" t="str">
        <f>IF('보정계수 산출'!H91=0,"",'보정계수 산출'!H91)</f>
        <v/>
      </c>
      <c r="J22" s="146" t="str">
        <f>IF('보정계수 산출'!I91=0,"",'보정계수 산출'!I91)</f>
        <v/>
      </c>
      <c r="K22" s="146" t="str">
        <f>IF('보정계수 산출'!J91=0,"",'보정계수 산출'!J91)</f>
        <v/>
      </c>
      <c r="L22" s="146" t="str">
        <f>IF('보정계수 산출'!K91=0,"",'보정계수 산출'!K91)</f>
        <v/>
      </c>
      <c r="M22" s="146" t="str">
        <f>IF('보정계수 산출'!L91=0,"",'보정계수 산출'!L91)</f>
        <v/>
      </c>
      <c r="N22" s="146" t="str">
        <f>IF('보정계수 산출'!M91=0,"",'보정계수 산출'!M91)</f>
        <v/>
      </c>
      <c r="O22" s="146" t="str">
        <f>IF('보정계수 산출'!N91=0,"",'보정계수 산출'!N91)</f>
        <v/>
      </c>
      <c r="P22" s="146" t="str">
        <f>IF('보정계수 산출'!O91=0,"",'보정계수 산출'!O91)</f>
        <v/>
      </c>
      <c r="Q22" s="146" t="str">
        <f>IF('보정계수 산출'!P91=0,"",'보정계수 산출'!P91)</f>
        <v/>
      </c>
      <c r="R22" s="146" t="str">
        <f>IF('보정계수 산출'!Q91=0,"",'보정계수 산출'!Q91)</f>
        <v/>
      </c>
      <c r="S22" s="146" t="str">
        <f>IF('보정계수 산출'!R91=0,"",'보정계수 산출'!R91)</f>
        <v/>
      </c>
      <c r="T22" s="146" t="str">
        <f>IF('보정계수 산출'!S91=0,"",'보정계수 산출'!S91)</f>
        <v/>
      </c>
      <c r="U22" s="146" t="str">
        <f>IF('보정계수 산출'!T91=0,"",'보정계수 산출'!T91)</f>
        <v/>
      </c>
      <c r="V22" s="146" t="str">
        <f>IF('보정계수 산출'!U91=0,"",'보정계수 산출'!U91)</f>
        <v/>
      </c>
      <c r="W22" s="146" t="str">
        <f>IF('보정계수 산출'!V91=0,"",'보정계수 산출'!V91)</f>
        <v/>
      </c>
      <c r="X22" s="146" t="str">
        <f>IF('보정계수 산출'!W91=0,"",'보정계수 산출'!W91)</f>
        <v/>
      </c>
      <c r="Y22" s="146" t="str">
        <f>IF('보정계수 산출'!X91=0,"",'보정계수 산출'!X91)</f>
        <v/>
      </c>
      <c r="Z22" s="146" t="str">
        <f>IF('보정계수 산출'!Y91=0,"",'보정계수 산출'!Y91)</f>
        <v/>
      </c>
      <c r="AA22" s="146" t="str">
        <f>IF('보정계수 산출'!Z91=0,"",'보정계수 산출'!Z91)</f>
        <v/>
      </c>
      <c r="AB22" s="146" t="str">
        <f>IF('보정계수 산출'!AA91=0,"",'보정계수 산출'!AA91)</f>
        <v/>
      </c>
      <c r="AC22" s="146" t="str">
        <f>IF('보정계수 산출'!AB91=0,"",'보정계수 산출'!AB91)</f>
        <v/>
      </c>
      <c r="AD22" s="124">
        <f t="shared" si="1"/>
        <v>1.95</v>
      </c>
    </row>
    <row r="23" spans="1:30" s="116" customFormat="1" ht="28.9" customHeight="1">
      <c r="A23" s="62" t="str">
        <f>적용소요인력!A23</f>
        <v xml:space="preserve">   다) 유실위험지구</v>
      </c>
      <c r="B23" s="121" t="str">
        <f>적용소요인력!B23</f>
        <v>1식</v>
      </c>
      <c r="C23" s="121" t="str">
        <f>적용소요인력!C23</f>
        <v>재해예방사업 당</v>
      </c>
      <c r="D23" s="155"/>
      <c r="E23" s="146">
        <f>IF('보정계수 산출'!D92=0,0,'보정계수 산출'!D92)</f>
        <v>0</v>
      </c>
      <c r="F23" s="146" t="str">
        <f>IF('보정계수 산출'!E92=0,"",'보정계수 산출'!E92)</f>
        <v/>
      </c>
      <c r="G23" s="146" t="str">
        <f>IF('보정계수 산출'!F92=0,"",'보정계수 산출'!F92)</f>
        <v/>
      </c>
      <c r="H23" s="146" t="str">
        <f>IF('보정계수 산출'!G92=0,"",'보정계수 산출'!G92)</f>
        <v/>
      </c>
      <c r="I23" s="146" t="str">
        <f>IF('보정계수 산출'!H92=0,"",'보정계수 산출'!H92)</f>
        <v/>
      </c>
      <c r="J23" s="146" t="str">
        <f>IF('보정계수 산출'!I92=0,"",'보정계수 산출'!I92)</f>
        <v/>
      </c>
      <c r="K23" s="146" t="str">
        <f>IF('보정계수 산출'!J92=0,"",'보정계수 산출'!J92)</f>
        <v/>
      </c>
      <c r="L23" s="146" t="str">
        <f>IF('보정계수 산출'!K92=0,"",'보정계수 산출'!K92)</f>
        <v/>
      </c>
      <c r="M23" s="146" t="str">
        <f>IF('보정계수 산출'!L92=0,"",'보정계수 산출'!L92)</f>
        <v/>
      </c>
      <c r="N23" s="146" t="str">
        <f>IF('보정계수 산출'!M92=0,"",'보정계수 산출'!M92)</f>
        <v/>
      </c>
      <c r="O23" s="146" t="str">
        <f>IF('보정계수 산출'!N92=0,"",'보정계수 산출'!N92)</f>
        <v/>
      </c>
      <c r="P23" s="146" t="str">
        <f>IF('보정계수 산출'!O92=0,"",'보정계수 산출'!O92)</f>
        <v/>
      </c>
      <c r="Q23" s="146" t="str">
        <f>IF('보정계수 산출'!P92=0,"",'보정계수 산출'!P92)</f>
        <v/>
      </c>
      <c r="R23" s="146" t="str">
        <f>IF('보정계수 산출'!Q92=0,"",'보정계수 산출'!Q92)</f>
        <v/>
      </c>
      <c r="S23" s="146" t="str">
        <f>IF('보정계수 산출'!R92=0,"",'보정계수 산출'!R92)</f>
        <v/>
      </c>
      <c r="T23" s="146" t="str">
        <f>IF('보정계수 산출'!S92=0,"",'보정계수 산출'!S92)</f>
        <v/>
      </c>
      <c r="U23" s="146" t="str">
        <f>IF('보정계수 산출'!T92=0,"",'보정계수 산출'!T92)</f>
        <v/>
      </c>
      <c r="V23" s="146" t="str">
        <f>IF('보정계수 산출'!U92=0,"",'보정계수 산출'!U92)</f>
        <v/>
      </c>
      <c r="W23" s="146" t="str">
        <f>IF('보정계수 산출'!V92=0,"",'보정계수 산출'!V92)</f>
        <v/>
      </c>
      <c r="X23" s="146" t="str">
        <f>IF('보정계수 산출'!W92=0,"",'보정계수 산출'!W92)</f>
        <v/>
      </c>
      <c r="Y23" s="146" t="str">
        <f>IF('보정계수 산출'!X92=0,"",'보정계수 산출'!X92)</f>
        <v/>
      </c>
      <c r="Z23" s="146" t="str">
        <f>IF('보정계수 산출'!Y92=0,"",'보정계수 산출'!Y92)</f>
        <v/>
      </c>
      <c r="AA23" s="146" t="str">
        <f>IF('보정계수 산출'!Z92=0,"",'보정계수 산출'!Z92)</f>
        <v/>
      </c>
      <c r="AB23" s="146" t="str">
        <f>IF('보정계수 산출'!AA92=0,"",'보정계수 산출'!AA92)</f>
        <v/>
      </c>
      <c r="AC23" s="146" t="str">
        <f>IF('보정계수 산출'!AB92=0,"",'보정계수 산출'!AB92)</f>
        <v/>
      </c>
      <c r="AD23" s="124">
        <f t="shared" si="1"/>
        <v>0</v>
      </c>
    </row>
    <row r="24" spans="1:30" s="116" customFormat="1" ht="28.9" customHeight="1">
      <c r="A24" s="62" t="str">
        <f>적용소요인력!A24</f>
        <v xml:space="preserve">   라) 고립위험지구</v>
      </c>
      <c r="B24" s="121" t="str">
        <f>적용소요인력!B24</f>
        <v>1식</v>
      </c>
      <c r="C24" s="121" t="str">
        <f>적용소요인력!C24</f>
        <v>재해예방사업 당</v>
      </c>
      <c r="D24" s="155"/>
      <c r="E24" s="146">
        <f>IF('보정계수 산출'!D93=0,0,'보정계수 산출'!D93)</f>
        <v>0</v>
      </c>
      <c r="F24" s="146" t="str">
        <f>IF('보정계수 산출'!E93=0,"",'보정계수 산출'!E93)</f>
        <v/>
      </c>
      <c r="G24" s="146" t="str">
        <f>IF('보정계수 산출'!F93=0,"",'보정계수 산출'!F93)</f>
        <v/>
      </c>
      <c r="H24" s="146" t="str">
        <f>IF('보정계수 산출'!G93=0,"",'보정계수 산출'!G93)</f>
        <v/>
      </c>
      <c r="I24" s="146" t="str">
        <f>IF('보정계수 산출'!H93=0,"",'보정계수 산출'!H93)</f>
        <v/>
      </c>
      <c r="J24" s="146" t="str">
        <f>IF('보정계수 산출'!I93=0,"",'보정계수 산출'!I93)</f>
        <v/>
      </c>
      <c r="K24" s="146" t="str">
        <f>IF('보정계수 산출'!J93=0,"",'보정계수 산출'!J93)</f>
        <v/>
      </c>
      <c r="L24" s="146" t="str">
        <f>IF('보정계수 산출'!K93=0,"",'보정계수 산출'!K93)</f>
        <v/>
      </c>
      <c r="M24" s="146" t="str">
        <f>IF('보정계수 산출'!L93=0,"",'보정계수 산출'!L93)</f>
        <v/>
      </c>
      <c r="N24" s="146" t="str">
        <f>IF('보정계수 산출'!M93=0,"",'보정계수 산출'!M93)</f>
        <v/>
      </c>
      <c r="O24" s="146" t="str">
        <f>IF('보정계수 산출'!N93=0,"",'보정계수 산출'!N93)</f>
        <v/>
      </c>
      <c r="P24" s="146" t="str">
        <f>IF('보정계수 산출'!O93=0,"",'보정계수 산출'!O93)</f>
        <v/>
      </c>
      <c r="Q24" s="146" t="str">
        <f>IF('보정계수 산출'!P93=0,"",'보정계수 산출'!P93)</f>
        <v/>
      </c>
      <c r="R24" s="146" t="str">
        <f>IF('보정계수 산출'!Q93=0,"",'보정계수 산출'!Q93)</f>
        <v/>
      </c>
      <c r="S24" s="146" t="str">
        <f>IF('보정계수 산출'!R93=0,"",'보정계수 산출'!R93)</f>
        <v/>
      </c>
      <c r="T24" s="146" t="str">
        <f>IF('보정계수 산출'!S93=0,"",'보정계수 산출'!S93)</f>
        <v/>
      </c>
      <c r="U24" s="146" t="str">
        <f>IF('보정계수 산출'!T93=0,"",'보정계수 산출'!T93)</f>
        <v/>
      </c>
      <c r="V24" s="146" t="str">
        <f>IF('보정계수 산출'!U93=0,"",'보정계수 산출'!U93)</f>
        <v/>
      </c>
      <c r="W24" s="146" t="str">
        <f>IF('보정계수 산출'!V93=0,"",'보정계수 산출'!V93)</f>
        <v/>
      </c>
      <c r="X24" s="146" t="str">
        <f>IF('보정계수 산출'!W93=0,"",'보정계수 산출'!W93)</f>
        <v/>
      </c>
      <c r="Y24" s="146" t="str">
        <f>IF('보정계수 산출'!X93=0,"",'보정계수 산출'!X93)</f>
        <v/>
      </c>
      <c r="Z24" s="146" t="str">
        <f>IF('보정계수 산출'!Y93=0,"",'보정계수 산출'!Y93)</f>
        <v/>
      </c>
      <c r="AA24" s="146" t="str">
        <f>IF('보정계수 산출'!Z93=0,"",'보정계수 산출'!Z93)</f>
        <v/>
      </c>
      <c r="AB24" s="146" t="str">
        <f>IF('보정계수 산출'!AA93=0,"",'보정계수 산출'!AA93)</f>
        <v/>
      </c>
      <c r="AC24" s="146" t="str">
        <f>IF('보정계수 산출'!AB93=0,"",'보정계수 산출'!AB93)</f>
        <v/>
      </c>
      <c r="AD24" s="124">
        <f t="shared" si="1"/>
        <v>0</v>
      </c>
    </row>
    <row r="25" spans="1:30" ht="28.9" customHeight="1">
      <c r="A25" s="62" t="str">
        <f>적용소요인력!A25</f>
        <v xml:space="preserve">  2) 주요시설물 정비계획</v>
      </c>
      <c r="B25" s="141"/>
      <c r="C25" s="142"/>
      <c r="D25" s="142"/>
      <c r="E25" s="146" t="str">
        <f>IF('보정계수 산출'!D94=0,"",'보정계수 산출'!D94)</f>
        <v/>
      </c>
      <c r="F25" s="146" t="str">
        <f>IF('보정계수 산출'!E94=0,"",'보정계수 산출'!E94)</f>
        <v/>
      </c>
      <c r="G25" s="146" t="str">
        <f>IF('보정계수 산출'!F94=0,"",'보정계수 산출'!F94)</f>
        <v/>
      </c>
      <c r="H25" s="146" t="str">
        <f>IF('보정계수 산출'!G94=0,"",'보정계수 산출'!G94)</f>
        <v/>
      </c>
      <c r="I25" s="146" t="str">
        <f>IF('보정계수 산출'!H94=0,"",'보정계수 산출'!H94)</f>
        <v/>
      </c>
      <c r="J25" s="146" t="str">
        <f>IF('보정계수 산출'!I94=0,"",'보정계수 산출'!I94)</f>
        <v/>
      </c>
      <c r="K25" s="146" t="str">
        <f>IF('보정계수 산출'!J94=0,"",'보정계수 산출'!J94)</f>
        <v/>
      </c>
      <c r="L25" s="146" t="str">
        <f>IF('보정계수 산출'!K94=0,"",'보정계수 산출'!K94)</f>
        <v/>
      </c>
      <c r="M25" s="146" t="str">
        <f>IF('보정계수 산출'!L94=0,"",'보정계수 산출'!L94)</f>
        <v/>
      </c>
      <c r="N25" s="146" t="str">
        <f>IF('보정계수 산출'!M94=0,"",'보정계수 산출'!M94)</f>
        <v/>
      </c>
      <c r="O25" s="146" t="str">
        <f>IF('보정계수 산출'!N94=0,"",'보정계수 산출'!N94)</f>
        <v/>
      </c>
      <c r="P25" s="146" t="str">
        <f>IF('보정계수 산출'!O94=0,"",'보정계수 산출'!O94)</f>
        <v/>
      </c>
      <c r="Q25" s="146" t="str">
        <f>IF('보정계수 산출'!P94=0,"",'보정계수 산출'!P94)</f>
        <v/>
      </c>
      <c r="R25" s="146" t="str">
        <f>IF('보정계수 산출'!Q94=0,"",'보정계수 산출'!Q94)</f>
        <v/>
      </c>
      <c r="S25" s="146" t="str">
        <f>IF('보정계수 산출'!R94=0,"",'보정계수 산출'!R94)</f>
        <v/>
      </c>
      <c r="T25" s="146" t="str">
        <f>IF('보정계수 산출'!S94=0,"",'보정계수 산출'!S94)</f>
        <v/>
      </c>
      <c r="U25" s="146" t="str">
        <f>IF('보정계수 산출'!T94=0,"",'보정계수 산출'!T94)</f>
        <v/>
      </c>
      <c r="V25" s="146" t="str">
        <f>IF('보정계수 산출'!U94=0,"",'보정계수 산출'!U94)</f>
        <v/>
      </c>
      <c r="W25" s="146" t="str">
        <f>IF('보정계수 산출'!V94=0,"",'보정계수 산출'!V94)</f>
        <v/>
      </c>
      <c r="X25" s="146" t="str">
        <f>IF('보정계수 산출'!W94=0,"",'보정계수 산출'!W94)</f>
        <v/>
      </c>
      <c r="Y25" s="146" t="str">
        <f>IF('보정계수 산출'!X94=0,"",'보정계수 산출'!X94)</f>
        <v/>
      </c>
      <c r="Z25" s="146" t="str">
        <f>IF('보정계수 산출'!Y94=0,"",'보정계수 산출'!Y94)</f>
        <v/>
      </c>
      <c r="AA25" s="146" t="str">
        <f>IF('보정계수 산출'!Z94=0,"",'보정계수 산출'!Z94)</f>
        <v/>
      </c>
      <c r="AB25" s="146" t="str">
        <f>IF('보정계수 산출'!AA94=0,"",'보정계수 산출'!AA94)</f>
        <v/>
      </c>
      <c r="AC25" s="146" t="str">
        <f>IF('보정계수 산출'!AB94=0,"",'보정계수 산출'!AB94)</f>
        <v/>
      </c>
      <c r="AD25" s="124"/>
    </row>
    <row r="26" spans="1:30" ht="28.9" customHeight="1">
      <c r="A26" s="62" t="str">
        <f>적용소요인력!A26</f>
        <v xml:space="preserve">   가) 하천. 소하천시설물</v>
      </c>
      <c r="B26" s="141" t="str">
        <f>적용소요인력!B26</f>
        <v>1 km</v>
      </c>
      <c r="C26" s="121" t="str">
        <f>적용소요인력!C26</f>
        <v>하천시설 연장당</v>
      </c>
      <c r="D26" s="155" t="s">
        <v>203</v>
      </c>
      <c r="E26" s="146">
        <f>IF('보정계수 산출'!D95=0,0,'보정계수 산출'!D95)</f>
        <v>1</v>
      </c>
      <c r="F26" s="146">
        <f>IF('보정계수 산출'!E95=0,"",'보정계수 산출'!E95)</f>
        <v>5.14</v>
      </c>
      <c r="G26" s="146" t="str">
        <f>IF('보정계수 산출'!F95=0,"",'보정계수 산출'!F95)</f>
        <v/>
      </c>
      <c r="H26" s="146" t="str">
        <f>IF('보정계수 산출'!G95=0,"",'보정계수 산출'!G95)</f>
        <v/>
      </c>
      <c r="I26" s="146" t="str">
        <f>IF('보정계수 산출'!H95=0,"",'보정계수 산출'!H95)</f>
        <v/>
      </c>
      <c r="J26" s="146" t="str">
        <f>IF('보정계수 산출'!I95=0,"",'보정계수 산출'!I95)</f>
        <v/>
      </c>
      <c r="K26" s="146" t="str">
        <f>IF('보정계수 산출'!J95=0,"",'보정계수 산출'!J95)</f>
        <v/>
      </c>
      <c r="L26" s="146">
        <f>IF('보정계수 산출'!K95=0,"",'보정계수 산출'!K95)</f>
        <v>1.3</v>
      </c>
      <c r="M26" s="146" t="str">
        <f>IF('보정계수 산출'!L95=0,"",'보정계수 산출'!L95)</f>
        <v/>
      </c>
      <c r="N26" s="146" t="str">
        <f>IF('보정계수 산출'!M95=0,"",'보정계수 산출'!M95)</f>
        <v/>
      </c>
      <c r="O26" s="146" t="str">
        <f>IF('보정계수 산출'!N95=0,"",'보정계수 산출'!N95)</f>
        <v/>
      </c>
      <c r="P26" s="146" t="str">
        <f>IF('보정계수 산출'!O95=0,"",'보정계수 산출'!O95)</f>
        <v/>
      </c>
      <c r="Q26" s="146" t="str">
        <f>IF('보정계수 산출'!P95=0,"",'보정계수 산출'!P95)</f>
        <v/>
      </c>
      <c r="R26" s="146" t="str">
        <f>IF('보정계수 산출'!Q95=0,"",'보정계수 산출'!Q95)</f>
        <v/>
      </c>
      <c r="S26" s="146" t="str">
        <f>IF('보정계수 산출'!R95=0,"",'보정계수 산출'!R95)</f>
        <v/>
      </c>
      <c r="T26" s="146" t="str">
        <f>IF('보정계수 산출'!S95=0,"",'보정계수 산출'!S95)</f>
        <v/>
      </c>
      <c r="U26" s="146" t="str">
        <f>IF('보정계수 산출'!T95=0,"",'보정계수 산출'!T95)</f>
        <v/>
      </c>
      <c r="V26" s="146" t="str">
        <f>IF('보정계수 산출'!U95=0,"",'보정계수 산출'!U95)</f>
        <v/>
      </c>
      <c r="W26" s="146" t="str">
        <f>IF('보정계수 산출'!V95=0,"",'보정계수 산출'!V95)</f>
        <v/>
      </c>
      <c r="X26" s="146" t="str">
        <f>IF('보정계수 산출'!W95=0,"",'보정계수 산출'!W95)</f>
        <v/>
      </c>
      <c r="Y26" s="146" t="str">
        <f>IF('보정계수 산출'!X95=0,"",'보정계수 산출'!X95)</f>
        <v/>
      </c>
      <c r="Z26" s="146" t="str">
        <f>IF('보정계수 산출'!Y95=0,"",'보정계수 산출'!Y95)</f>
        <v/>
      </c>
      <c r="AA26" s="146" t="str">
        <f>IF('보정계수 산출'!Z95=0,"",'보정계수 산출'!Z95)</f>
        <v/>
      </c>
      <c r="AB26" s="146" t="str">
        <f>IF('보정계수 산출'!AA95=0,"",'보정계수 산출'!AA95)</f>
        <v/>
      </c>
      <c r="AC26" s="146" t="str">
        <f>IF('보정계수 산출'!AB95=0,"",'보정계수 산출'!AB95)</f>
        <v/>
      </c>
      <c r="AD26" s="124">
        <f t="shared" ref="AD26:AD29" si="2">IF(PRODUCT(E26:AC26)=0,0, PRODUCT(E26:AC26))</f>
        <v>6.6819999999999995</v>
      </c>
    </row>
    <row r="27" spans="1:30" ht="28.9" customHeight="1">
      <c r="A27" s="62" t="str">
        <f>적용소요인력!A27</f>
        <v xml:space="preserve">   나) 배수펌프장 및 유수지</v>
      </c>
      <c r="B27" s="141" t="str">
        <f>적용소요인력!B27</f>
        <v>1 ㎥/s,개소</v>
      </c>
      <c r="C27" s="121" t="str">
        <f>적용소요인력!C27</f>
        <v>용량당</v>
      </c>
      <c r="D27" s="155" t="s">
        <v>201</v>
      </c>
      <c r="E27" s="146">
        <f>IF('보정계수 산출'!D96=0,0,'보정계수 산출'!D96)</f>
        <v>1</v>
      </c>
      <c r="F27" s="146" t="str">
        <f>IF('보정계수 산출'!E96=0,"",'보정계수 산출'!E96)</f>
        <v/>
      </c>
      <c r="G27" s="146" t="str">
        <f>IF('보정계수 산출'!F96=0,"",'보정계수 산출'!F96)</f>
        <v/>
      </c>
      <c r="H27" s="146" t="str">
        <f>IF('보정계수 산출'!G96=0,"",'보정계수 산출'!G96)</f>
        <v/>
      </c>
      <c r="I27" s="146" t="str">
        <f>IF('보정계수 산출'!H96=0,"",'보정계수 산출'!H96)</f>
        <v/>
      </c>
      <c r="J27" s="146">
        <f>IF('보정계수 산출'!I96=0,"",'보정계수 산출'!I96)</f>
        <v>0.2</v>
      </c>
      <c r="K27" s="146" t="str">
        <f>IF('보정계수 산출'!J96=0,"",'보정계수 산출'!J96)</f>
        <v/>
      </c>
      <c r="L27" s="146">
        <f>IF('보정계수 산출'!K96=0,"",'보정계수 산출'!K96)</f>
        <v>1.3</v>
      </c>
      <c r="M27" s="146" t="str">
        <f>IF('보정계수 산출'!L96=0,"",'보정계수 산출'!L96)</f>
        <v/>
      </c>
      <c r="N27" s="146" t="str">
        <f>IF('보정계수 산출'!M96=0,"",'보정계수 산출'!M96)</f>
        <v/>
      </c>
      <c r="O27" s="146" t="str">
        <f>IF('보정계수 산출'!N96=0,"",'보정계수 산출'!N96)</f>
        <v/>
      </c>
      <c r="P27" s="146" t="str">
        <f>IF('보정계수 산출'!O96=0,"",'보정계수 산출'!O96)</f>
        <v/>
      </c>
      <c r="Q27" s="146" t="str">
        <f>IF('보정계수 산출'!P96=0,"",'보정계수 산출'!P96)</f>
        <v/>
      </c>
      <c r="R27" s="146" t="str">
        <f>IF('보정계수 산출'!Q96=0,"",'보정계수 산출'!Q96)</f>
        <v/>
      </c>
      <c r="S27" s="146" t="str">
        <f>IF('보정계수 산출'!R96=0,"",'보정계수 산출'!R96)</f>
        <v/>
      </c>
      <c r="T27" s="146" t="str">
        <f>IF('보정계수 산출'!S96=0,"",'보정계수 산출'!S96)</f>
        <v/>
      </c>
      <c r="U27" s="146" t="str">
        <f>IF('보정계수 산출'!T96=0,"",'보정계수 산출'!T96)</f>
        <v/>
      </c>
      <c r="V27" s="146" t="str">
        <f>IF('보정계수 산출'!U96=0,"",'보정계수 산출'!U96)</f>
        <v/>
      </c>
      <c r="W27" s="146" t="str">
        <f>IF('보정계수 산출'!V96=0,"",'보정계수 산출'!V96)</f>
        <v/>
      </c>
      <c r="X27" s="146" t="str">
        <f>IF('보정계수 산출'!W96=0,"",'보정계수 산출'!W96)</f>
        <v/>
      </c>
      <c r="Y27" s="146" t="str">
        <f>IF('보정계수 산출'!X96=0,"",'보정계수 산출'!X96)</f>
        <v/>
      </c>
      <c r="Z27" s="146" t="str">
        <f>IF('보정계수 산출'!Y96=0,"",'보정계수 산출'!Y96)</f>
        <v/>
      </c>
      <c r="AA27" s="146" t="str">
        <f>IF('보정계수 산출'!Z96=0,"",'보정계수 산출'!Z96)</f>
        <v/>
      </c>
      <c r="AB27" s="146" t="str">
        <f>IF('보정계수 산출'!AA96=0,"",'보정계수 산출'!AA96)</f>
        <v/>
      </c>
      <c r="AC27" s="146" t="str">
        <f>IF('보정계수 산출'!AB96=0,"",'보정계수 산출'!AB96)</f>
        <v/>
      </c>
      <c r="AD27" s="124">
        <f t="shared" si="2"/>
        <v>0.26</v>
      </c>
    </row>
    <row r="28" spans="1:30" ht="28.9" customHeight="1">
      <c r="A28" s="62" t="str">
        <f>적용소요인력!A28</f>
        <v xml:space="preserve">   다) 우수관로</v>
      </c>
      <c r="B28" s="141" t="str">
        <f>적용소요인력!B28</f>
        <v>1 km,관경</v>
      </c>
      <c r="C28" s="121" t="str">
        <f>적용소요인력!C28</f>
        <v>관로 연장당</v>
      </c>
      <c r="D28" s="155" t="s">
        <v>200</v>
      </c>
      <c r="E28" s="146">
        <f>IF('보정계수 산출'!D97=0,0,'보정계수 산출'!D97)</f>
        <v>1</v>
      </c>
      <c r="F28" s="146" t="str">
        <f>IF('보정계수 산출'!E97=0,"",'보정계수 산출'!E97)</f>
        <v/>
      </c>
      <c r="G28" s="146" t="str">
        <f>IF('보정계수 산출'!F97=0,"",'보정계수 산출'!F97)</f>
        <v/>
      </c>
      <c r="H28" s="146" t="str">
        <f>IF('보정계수 산출'!G97=0,"",'보정계수 산출'!G97)</f>
        <v/>
      </c>
      <c r="I28" s="146" t="str">
        <f>IF('보정계수 산출'!H97=0,"",'보정계수 산출'!H97)</f>
        <v/>
      </c>
      <c r="J28" s="146" t="str">
        <f>IF('보정계수 산출'!I97=0,"",'보정계수 산출'!I97)</f>
        <v/>
      </c>
      <c r="K28" s="146" t="str">
        <f>IF('보정계수 산출'!J97=0,"",'보정계수 산출'!J97)</f>
        <v/>
      </c>
      <c r="L28" s="146">
        <f>IF('보정계수 산출'!K97=0,"",'보정계수 산출'!K97)</f>
        <v>1.3</v>
      </c>
      <c r="M28" s="146" t="str">
        <f>IF('보정계수 산출'!L97=0,"",'보정계수 산출'!L97)</f>
        <v/>
      </c>
      <c r="N28" s="146" t="str">
        <f>IF('보정계수 산출'!M97=0,"",'보정계수 산출'!M97)</f>
        <v/>
      </c>
      <c r="O28" s="146" t="str">
        <f>IF('보정계수 산출'!N97=0,"",'보정계수 산출'!N97)</f>
        <v/>
      </c>
      <c r="P28" s="146" t="str">
        <f>IF('보정계수 산출'!O97=0,"",'보정계수 산출'!O97)</f>
        <v/>
      </c>
      <c r="Q28" s="146" t="str">
        <f>IF('보정계수 산출'!P97=0,"",'보정계수 산출'!P97)</f>
        <v/>
      </c>
      <c r="R28" s="146" t="str">
        <f>IF('보정계수 산출'!Q97=0,"",'보정계수 산출'!Q97)</f>
        <v/>
      </c>
      <c r="S28" s="146" t="str">
        <f>IF('보정계수 산출'!R97=0,"",'보정계수 산출'!R97)</f>
        <v/>
      </c>
      <c r="T28" s="146" t="str">
        <f>IF('보정계수 산출'!S97=0,"",'보정계수 산출'!S97)</f>
        <v/>
      </c>
      <c r="U28" s="146" t="str">
        <f>IF('보정계수 산출'!T97=0,"",'보정계수 산출'!T97)</f>
        <v/>
      </c>
      <c r="V28" s="146" t="str">
        <f>IF('보정계수 산출'!U97=0,"",'보정계수 산출'!U97)</f>
        <v/>
      </c>
      <c r="W28" s="146" t="str">
        <f>IF('보정계수 산출'!V97=0,"",'보정계수 산출'!V97)</f>
        <v/>
      </c>
      <c r="X28" s="146" t="str">
        <f>IF('보정계수 산출'!W97=0,"",'보정계수 산출'!W97)</f>
        <v/>
      </c>
      <c r="Y28" s="146" t="str">
        <f>IF('보정계수 산출'!X97=0,"",'보정계수 산출'!X97)</f>
        <v/>
      </c>
      <c r="Z28" s="146" t="str">
        <f>IF('보정계수 산출'!Y97=0,"",'보정계수 산출'!Y97)</f>
        <v/>
      </c>
      <c r="AA28" s="146" t="str">
        <f>IF('보정계수 산출'!Z97=0,"",'보정계수 산출'!Z97)</f>
        <v/>
      </c>
      <c r="AB28" s="146" t="str">
        <f>IF('보정계수 산출'!AA97=0,"",'보정계수 산출'!AA97)</f>
        <v/>
      </c>
      <c r="AC28" s="146" t="str">
        <f>IF('보정계수 산출'!AB97=0,"",'보정계수 산출'!AB97)</f>
        <v/>
      </c>
      <c r="AD28" s="124">
        <f t="shared" si="2"/>
        <v>1.3</v>
      </c>
    </row>
    <row r="29" spans="1:30" ht="28.9" customHeight="1">
      <c r="A29" s="62" t="str">
        <f>적용소요인력!A29</f>
        <v xml:space="preserve">   라) 우수유출저감시설</v>
      </c>
      <c r="B29" s="141" t="str">
        <f>적용소요인력!B29</f>
        <v>1만㎥,개소</v>
      </c>
      <c r="C29" s="121" t="str">
        <f>적용소요인력!C29</f>
        <v>용량당</v>
      </c>
      <c r="D29" s="155" t="s">
        <v>198</v>
      </c>
      <c r="E29" s="146">
        <f>IF('보정계수 산출'!D98=0,0,'보정계수 산출'!D98)</f>
        <v>1</v>
      </c>
      <c r="F29" s="146" t="str">
        <f>IF('보정계수 산출'!E98=0,"",'보정계수 산출'!E98)</f>
        <v/>
      </c>
      <c r="G29" s="146" t="str">
        <f>IF('보정계수 산출'!F98=0,"",'보정계수 산출'!F98)</f>
        <v/>
      </c>
      <c r="H29" s="146" t="str">
        <f>IF('보정계수 산출'!G98=0,"",'보정계수 산출'!G98)</f>
        <v/>
      </c>
      <c r="I29" s="146" t="str">
        <f>IF('보정계수 산출'!H98=0,"",'보정계수 산출'!H98)</f>
        <v/>
      </c>
      <c r="J29" s="146" t="str">
        <f>IF('보정계수 산출'!I98=0,"",'보정계수 산출'!I98)</f>
        <v/>
      </c>
      <c r="K29" s="146" t="str">
        <f>IF('보정계수 산출'!J98=0,"",'보정계수 산출'!J98)</f>
        <v/>
      </c>
      <c r="L29" s="146">
        <f>IF('보정계수 산출'!K98=0,"",'보정계수 산출'!K98)</f>
        <v>1.3</v>
      </c>
      <c r="M29" s="146" t="str">
        <f>IF('보정계수 산출'!L98=0,"",'보정계수 산출'!L98)</f>
        <v/>
      </c>
      <c r="N29" s="146" t="str">
        <f>IF('보정계수 산출'!M98=0,"",'보정계수 산출'!M98)</f>
        <v/>
      </c>
      <c r="O29" s="146" t="str">
        <f>IF('보정계수 산출'!N98=0,"",'보정계수 산출'!N98)</f>
        <v/>
      </c>
      <c r="P29" s="146" t="str">
        <f>IF('보정계수 산출'!O98=0,"",'보정계수 산출'!O98)</f>
        <v/>
      </c>
      <c r="Q29" s="146" t="str">
        <f>IF('보정계수 산출'!P98=0,"",'보정계수 산출'!P98)</f>
        <v/>
      </c>
      <c r="R29" s="146" t="str">
        <f>IF('보정계수 산출'!Q98=0,"",'보정계수 산출'!Q98)</f>
        <v/>
      </c>
      <c r="S29" s="146" t="str">
        <f>IF('보정계수 산출'!R98=0,"",'보정계수 산출'!R98)</f>
        <v/>
      </c>
      <c r="T29" s="146" t="str">
        <f>IF('보정계수 산출'!S98=0,"",'보정계수 산출'!S98)</f>
        <v/>
      </c>
      <c r="U29" s="146" t="str">
        <f>IF('보정계수 산출'!T98=0,"",'보정계수 산출'!T98)</f>
        <v/>
      </c>
      <c r="V29" s="146" t="str">
        <f>IF('보정계수 산출'!U98=0,"",'보정계수 산출'!U98)</f>
        <v/>
      </c>
      <c r="W29" s="146" t="str">
        <f>IF('보정계수 산출'!V98=0,"",'보정계수 산출'!V98)</f>
        <v/>
      </c>
      <c r="X29" s="146" t="str">
        <f>IF('보정계수 산출'!W98=0,"",'보정계수 산출'!W98)</f>
        <v/>
      </c>
      <c r="Y29" s="146" t="str">
        <f>IF('보정계수 산출'!X98=0,"",'보정계수 산출'!X98)</f>
        <v/>
      </c>
      <c r="Z29" s="146" t="str">
        <f>IF('보정계수 산출'!Y98=0,"",'보정계수 산출'!Y98)</f>
        <v/>
      </c>
      <c r="AA29" s="146" t="str">
        <f>IF('보정계수 산출'!Z98=0,"",'보정계수 산출'!Z98)</f>
        <v/>
      </c>
      <c r="AB29" s="146" t="str">
        <f>IF('보정계수 산출'!AA98=0,"",'보정계수 산출'!AA98)</f>
        <v/>
      </c>
      <c r="AC29" s="146" t="str">
        <f>IF('보정계수 산출'!AB98=0,"",'보정계수 산출'!AB98)</f>
        <v/>
      </c>
      <c r="AD29" s="124">
        <f t="shared" si="2"/>
        <v>1.3</v>
      </c>
    </row>
    <row r="30" spans="1:30" s="47" customFormat="1" ht="28.9" customHeight="1">
      <c r="A30" s="118" t="str">
        <f>적용소요인력!A30</f>
        <v xml:space="preserve"> 마. 성과품 작성</v>
      </c>
      <c r="B30" s="147"/>
      <c r="C30" s="150"/>
      <c r="D30" s="148"/>
      <c r="E30" s="146" t="str">
        <f>IF('보정계수 산출'!D99=0,"",'보정계수 산출'!D99)</f>
        <v/>
      </c>
      <c r="F30" s="146" t="str">
        <f>IF('보정계수 산출'!E99=0,"",'보정계수 산출'!E99)</f>
        <v/>
      </c>
      <c r="G30" s="146" t="str">
        <f>IF('보정계수 산출'!F99=0,"",'보정계수 산출'!F99)</f>
        <v/>
      </c>
      <c r="H30" s="146" t="str">
        <f>IF('보정계수 산출'!G99=0,"",'보정계수 산출'!G99)</f>
        <v/>
      </c>
      <c r="I30" s="146" t="str">
        <f>IF('보정계수 산출'!H99=0,"",'보정계수 산출'!H99)</f>
        <v/>
      </c>
      <c r="J30" s="146" t="str">
        <f>IF('보정계수 산출'!I99=0,"",'보정계수 산출'!I99)</f>
        <v/>
      </c>
      <c r="K30" s="146" t="str">
        <f>IF('보정계수 산출'!J99=0,"",'보정계수 산출'!J99)</f>
        <v/>
      </c>
      <c r="L30" s="146" t="str">
        <f>IF('보정계수 산출'!K99=0,"",'보정계수 산출'!K99)</f>
        <v/>
      </c>
      <c r="M30" s="146" t="str">
        <f>IF('보정계수 산출'!L99=0,"",'보정계수 산출'!L99)</f>
        <v/>
      </c>
      <c r="N30" s="146" t="str">
        <f>IF('보정계수 산출'!M99=0,"",'보정계수 산출'!M99)</f>
        <v/>
      </c>
      <c r="O30" s="146" t="str">
        <f>IF('보정계수 산출'!N99=0,"",'보정계수 산출'!N99)</f>
        <v/>
      </c>
      <c r="P30" s="146" t="str">
        <f>IF('보정계수 산출'!O99=0,"",'보정계수 산출'!O99)</f>
        <v/>
      </c>
      <c r="Q30" s="146" t="str">
        <f>IF('보정계수 산출'!P99=0,"",'보정계수 산출'!P99)</f>
        <v/>
      </c>
      <c r="R30" s="146" t="str">
        <f>IF('보정계수 산출'!Q99=0,"",'보정계수 산출'!Q99)</f>
        <v/>
      </c>
      <c r="S30" s="146" t="str">
        <f>IF('보정계수 산출'!R99=0,"",'보정계수 산출'!R99)</f>
        <v/>
      </c>
      <c r="T30" s="146" t="str">
        <f>IF('보정계수 산출'!S99=0,"",'보정계수 산출'!S99)</f>
        <v/>
      </c>
      <c r="U30" s="146" t="str">
        <f>IF('보정계수 산출'!T99=0,"",'보정계수 산출'!T99)</f>
        <v/>
      </c>
      <c r="V30" s="146" t="str">
        <f>IF('보정계수 산출'!U99=0,"",'보정계수 산출'!U99)</f>
        <v/>
      </c>
      <c r="W30" s="146" t="str">
        <f>IF('보정계수 산출'!V99=0,"",'보정계수 산출'!V99)</f>
        <v/>
      </c>
      <c r="X30" s="146" t="str">
        <f>IF('보정계수 산출'!W99=0,"",'보정계수 산출'!W99)</f>
        <v/>
      </c>
      <c r="Y30" s="146" t="str">
        <f>IF('보정계수 산출'!X99=0,"",'보정계수 산출'!X99)</f>
        <v/>
      </c>
      <c r="Z30" s="146" t="str">
        <f>IF('보정계수 산출'!Y99=0,"",'보정계수 산출'!Y99)</f>
        <v/>
      </c>
      <c r="AA30" s="146" t="str">
        <f>IF('보정계수 산출'!Z99=0,"",'보정계수 산출'!Z99)</f>
        <v/>
      </c>
      <c r="AB30" s="146" t="str">
        <f>IF('보정계수 산출'!AA99=0,"",'보정계수 산출'!AA99)</f>
        <v/>
      </c>
      <c r="AC30" s="146" t="str">
        <f>IF('보정계수 산출'!AB99=0,"",'보정계수 산출'!AB99)</f>
        <v/>
      </c>
      <c r="AD30" s="124" t="str">
        <f>IF(PRODUCT(E30:AC30)=0,"", PRODUCT(E30:AC30))</f>
        <v/>
      </c>
    </row>
    <row r="31" spans="1:30" ht="28.9" customHeight="1">
      <c r="A31" s="62" t="str">
        <f>적용소요인력!A31</f>
        <v xml:space="preserve">  1) 기본계획 보고서</v>
      </c>
      <c r="B31" s="141" t="str">
        <f>적용소요인력!B31</f>
        <v>식</v>
      </c>
      <c r="C31" s="121" t="str">
        <f>적용소요인력!C31</f>
        <v>재해예방사업 당</v>
      </c>
      <c r="D31" s="143"/>
      <c r="E31" s="146">
        <f>IF('보정계수 산출'!D100=0,0,'보정계수 산출'!D100)</f>
        <v>1</v>
      </c>
      <c r="F31" s="146" t="str">
        <f>IF('보정계수 산출'!E100=0,"",'보정계수 산출'!E100)</f>
        <v/>
      </c>
      <c r="G31" s="146" t="str">
        <f>IF('보정계수 산출'!F100=0,"",'보정계수 산출'!F100)</f>
        <v/>
      </c>
      <c r="H31" s="146" t="str">
        <f>IF('보정계수 산출'!G100=0,"",'보정계수 산출'!G100)</f>
        <v/>
      </c>
      <c r="I31" s="146" t="str">
        <f>IF('보정계수 산출'!H100=0,"",'보정계수 산출'!H100)</f>
        <v/>
      </c>
      <c r="J31" s="146" t="str">
        <f>IF('보정계수 산출'!I100=0,"",'보정계수 산출'!I100)</f>
        <v/>
      </c>
      <c r="K31" s="146" t="str">
        <f>IF('보정계수 산출'!J100=0,"",'보정계수 산출'!J100)</f>
        <v/>
      </c>
      <c r="L31" s="146" t="str">
        <f>IF('보정계수 산출'!K100=0,"",'보정계수 산출'!K100)</f>
        <v/>
      </c>
      <c r="M31" s="146" t="str">
        <f>IF('보정계수 산출'!L100=0,"",'보정계수 산출'!L100)</f>
        <v/>
      </c>
      <c r="N31" s="146" t="str">
        <f>IF('보정계수 산출'!M100=0,"",'보정계수 산출'!M100)</f>
        <v/>
      </c>
      <c r="O31" s="146" t="str">
        <f>IF('보정계수 산출'!N100=0,"",'보정계수 산출'!N100)</f>
        <v/>
      </c>
      <c r="P31" s="146" t="str">
        <f>IF('보정계수 산출'!O100=0,"",'보정계수 산출'!O100)</f>
        <v/>
      </c>
      <c r="Q31" s="146" t="str">
        <f>IF('보정계수 산출'!P100=0,"",'보정계수 산출'!P100)</f>
        <v/>
      </c>
      <c r="R31" s="146" t="str">
        <f>IF('보정계수 산출'!Q100=0,"",'보정계수 산출'!Q100)</f>
        <v/>
      </c>
      <c r="S31" s="146" t="str">
        <f>IF('보정계수 산출'!R100=0,"",'보정계수 산출'!R100)</f>
        <v/>
      </c>
      <c r="T31" s="146" t="str">
        <f>IF('보정계수 산출'!S100=0,"",'보정계수 산출'!S100)</f>
        <v/>
      </c>
      <c r="U31" s="146" t="str">
        <f>IF('보정계수 산출'!T100=0,"",'보정계수 산출'!T100)</f>
        <v/>
      </c>
      <c r="V31" s="146" t="str">
        <f>IF('보정계수 산출'!U100=0,"",'보정계수 산출'!U100)</f>
        <v/>
      </c>
      <c r="W31" s="146" t="str">
        <f>IF('보정계수 산출'!V100=0,"",'보정계수 산출'!V100)</f>
        <v/>
      </c>
      <c r="X31" s="146" t="str">
        <f>IF('보정계수 산출'!W100=0,"",'보정계수 산출'!W100)</f>
        <v/>
      </c>
      <c r="Y31" s="146" t="str">
        <f>IF('보정계수 산출'!X100=0,"",'보정계수 산출'!X100)</f>
        <v/>
      </c>
      <c r="Z31" s="146" t="str">
        <f>IF('보정계수 산출'!Y100=0,"",'보정계수 산출'!Y100)</f>
        <v/>
      </c>
      <c r="AA31" s="146" t="str">
        <f>IF('보정계수 산출'!Z100=0,"",'보정계수 산출'!Z100)</f>
        <v/>
      </c>
      <c r="AB31" s="146" t="str">
        <f>IF('보정계수 산출'!AA100=0,"",'보정계수 산출'!AA100)</f>
        <v/>
      </c>
      <c r="AC31" s="146" t="str">
        <f>IF('보정계수 산출'!AB100=0,"",'보정계수 산출'!AB100)</f>
        <v/>
      </c>
      <c r="AD31" s="124">
        <f t="shared" ref="AD31:AD32" si="3">IF(PRODUCT(E31:AC31)=0,0, PRODUCT(E31:AC31))</f>
        <v>1</v>
      </c>
    </row>
    <row r="32" spans="1:30" ht="28.9" customHeight="1">
      <c r="A32" s="62" t="str">
        <f>적용소요인력!A32</f>
        <v xml:space="preserve">  2) 중간 및 최종 보고자료 작성 (PPT)</v>
      </c>
      <c r="B32" s="141" t="str">
        <f>적용소요인력!B32</f>
        <v>식</v>
      </c>
      <c r="C32" s="121" t="str">
        <f>적용소요인력!C32</f>
        <v>재해예방사업 당</v>
      </c>
      <c r="D32" s="155" t="s">
        <v>253</v>
      </c>
      <c r="E32" s="146">
        <f>IF('보정계수 산출'!D101=0,0,'보정계수 산출'!D101)</f>
        <v>1</v>
      </c>
      <c r="F32" s="146" t="str">
        <f>IF('보정계수 산출'!E101=0,"",'보정계수 산출'!E101)</f>
        <v/>
      </c>
      <c r="G32" s="146" t="str">
        <f>IF('보정계수 산출'!F101=0,"",'보정계수 산출'!F101)</f>
        <v/>
      </c>
      <c r="H32" s="146" t="str">
        <f>IF('보정계수 산출'!G101=0,"",'보정계수 산출'!G101)</f>
        <v/>
      </c>
      <c r="I32" s="146" t="str">
        <f>IF('보정계수 산출'!H101=0,"",'보정계수 산출'!H101)</f>
        <v/>
      </c>
      <c r="J32" s="146" t="str">
        <f>IF('보정계수 산출'!I101=0,"",'보정계수 산출'!I101)</f>
        <v/>
      </c>
      <c r="K32" s="146" t="str">
        <f>IF('보정계수 산출'!J101=0,"",'보정계수 산출'!J101)</f>
        <v/>
      </c>
      <c r="L32" s="146" t="str">
        <f>IF('보정계수 산출'!K101=0,"",'보정계수 산출'!K101)</f>
        <v/>
      </c>
      <c r="M32" s="146" t="str">
        <f>IF('보정계수 산출'!L101=0,"",'보정계수 산출'!L101)</f>
        <v/>
      </c>
      <c r="N32" s="146" t="str">
        <f>IF('보정계수 산출'!M101=0,"",'보정계수 산출'!M101)</f>
        <v/>
      </c>
      <c r="O32" s="146" t="str">
        <f>IF('보정계수 산출'!N101=0,"",'보정계수 산출'!N101)</f>
        <v/>
      </c>
      <c r="P32" s="146" t="str">
        <f>IF('보정계수 산출'!O101=0,"",'보정계수 산출'!O101)</f>
        <v/>
      </c>
      <c r="Q32" s="146" t="str">
        <f>IF('보정계수 산출'!P101=0,"",'보정계수 산출'!P101)</f>
        <v/>
      </c>
      <c r="R32" s="146" t="str">
        <f>IF('보정계수 산출'!Q101=0,"",'보정계수 산출'!Q101)</f>
        <v/>
      </c>
      <c r="S32" s="146" t="str">
        <f>IF('보정계수 산출'!R101=0,"",'보정계수 산출'!R101)</f>
        <v/>
      </c>
      <c r="T32" s="146" t="str">
        <f>IF('보정계수 산출'!S101=0,"",'보정계수 산출'!S101)</f>
        <v/>
      </c>
      <c r="U32" s="146" t="str">
        <f>IF('보정계수 산출'!T101=0,"",'보정계수 산출'!T101)</f>
        <v/>
      </c>
      <c r="V32" s="146" t="str">
        <f>IF('보정계수 산출'!U101=0,"",'보정계수 산출'!U101)</f>
        <v/>
      </c>
      <c r="W32" s="146" t="str">
        <f>IF('보정계수 산출'!V101=0,"",'보정계수 산출'!V101)</f>
        <v/>
      </c>
      <c r="X32" s="146" t="str">
        <f>IF('보정계수 산출'!W101=0,"",'보정계수 산출'!W101)</f>
        <v/>
      </c>
      <c r="Y32" s="146" t="str">
        <f>IF('보정계수 산출'!X101=0,"",'보정계수 산출'!X101)</f>
        <v/>
      </c>
      <c r="Z32" s="146" t="str">
        <f>IF('보정계수 산출'!Y101=0,"",'보정계수 산출'!Y101)</f>
        <v/>
      </c>
      <c r="AA32" s="146" t="str">
        <f>IF('보정계수 산출'!Z101=0,"",'보정계수 산출'!Z101)</f>
        <v/>
      </c>
      <c r="AB32" s="146" t="str">
        <f>IF('보정계수 산출'!AA101=0,"",'보정계수 산출'!AA101)</f>
        <v/>
      </c>
      <c r="AC32" s="146">
        <f>IF('보정계수 산출'!AB101=0,"",'보정계수 산출'!AB101)</f>
        <v>1.3</v>
      </c>
      <c r="AD32" s="124">
        <f t="shared" si="3"/>
        <v>1.3</v>
      </c>
    </row>
  </sheetData>
  <mergeCells count="6">
    <mergeCell ref="AF2:AG3"/>
    <mergeCell ref="A2:A3"/>
    <mergeCell ref="B2:B3"/>
    <mergeCell ref="C2:C3"/>
    <mergeCell ref="D2:D3"/>
    <mergeCell ref="E2:AC2"/>
  </mergeCells>
  <phoneticPr fontId="181" type="noConversion"/>
  <printOptions horizontalCentered="1"/>
  <pageMargins left="0.27559055118110237" right="0.27559055118110237" top="0.39370078740157483" bottom="0.39370078740157483" header="0.19685039370078741" footer="0.19685039370078741"/>
  <pageSetup paperSize="9" scale="4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rgb="FF92D050"/>
  </sheetPr>
  <dimension ref="A1:V32"/>
  <sheetViews>
    <sheetView view="pageBreakPreview" zoomScale="85" zoomScaleNormal="100" zoomScaleSheetLayoutView="85" workbookViewId="0">
      <pane xSplit="3" ySplit="3" topLeftCell="D4" activePane="bottomRight" state="frozen"/>
      <selection pane="topRight"/>
      <selection pane="bottomLeft"/>
      <selection pane="bottomRight" activeCell="L5" sqref="L5"/>
    </sheetView>
  </sheetViews>
  <sheetFormatPr defaultColWidth="8.77734375" defaultRowHeight="19.5" customHeight="1"/>
  <cols>
    <col min="1" max="1" width="31.6640625" style="36" customWidth="1"/>
    <col min="2" max="2" width="13.44140625" style="36" bestFit="1" customWidth="1"/>
    <col min="3" max="3" width="20.5546875" style="125" customWidth="1"/>
    <col min="4" max="4" width="10.6640625" style="126" customWidth="1"/>
    <col min="5" max="9" width="10.6640625" style="125" customWidth="1"/>
    <col min="10" max="10" width="25.5546875" style="125" bestFit="1" customWidth="1"/>
    <col min="11" max="11" width="24.109375" style="36" bestFit="1" customWidth="1"/>
    <col min="12" max="256" width="8.77734375" style="36"/>
    <col min="257" max="257" width="30.77734375" style="36" customWidth="1"/>
    <col min="258" max="258" width="9.77734375" style="36" customWidth="1"/>
    <col min="259" max="259" width="15.77734375" style="36" customWidth="1"/>
    <col min="260" max="265" width="13.77734375" style="36" customWidth="1"/>
    <col min="266" max="266" width="20.77734375" style="36" customWidth="1"/>
    <col min="267" max="267" width="5.77734375" style="36" customWidth="1"/>
    <col min="268" max="512" width="8.77734375" style="36"/>
    <col min="513" max="513" width="30.77734375" style="36" customWidth="1"/>
    <col min="514" max="514" width="9.77734375" style="36" customWidth="1"/>
    <col min="515" max="515" width="15.77734375" style="36" customWidth="1"/>
    <col min="516" max="521" width="13.77734375" style="36" customWidth="1"/>
    <col min="522" max="522" width="20.77734375" style="36" customWidth="1"/>
    <col min="523" max="523" width="5.77734375" style="36" customWidth="1"/>
    <col min="524" max="768" width="8.77734375" style="36"/>
    <col min="769" max="769" width="30.77734375" style="36" customWidth="1"/>
    <col min="770" max="770" width="9.77734375" style="36" customWidth="1"/>
    <col min="771" max="771" width="15.77734375" style="36" customWidth="1"/>
    <col min="772" max="777" width="13.77734375" style="36" customWidth="1"/>
    <col min="778" max="778" width="20.77734375" style="36" customWidth="1"/>
    <col min="779" max="779" width="5.77734375" style="36" customWidth="1"/>
    <col min="780" max="1024" width="8.77734375" style="36"/>
    <col min="1025" max="1025" width="30.77734375" style="36" customWidth="1"/>
    <col min="1026" max="1026" width="9.77734375" style="36" customWidth="1"/>
    <col min="1027" max="1027" width="15.77734375" style="36" customWidth="1"/>
    <col min="1028" max="1033" width="13.77734375" style="36" customWidth="1"/>
    <col min="1034" max="1034" width="20.77734375" style="36" customWidth="1"/>
    <col min="1035" max="1035" width="5.77734375" style="36" customWidth="1"/>
    <col min="1036" max="1280" width="8.77734375" style="36"/>
    <col min="1281" max="1281" width="30.77734375" style="36" customWidth="1"/>
    <col min="1282" max="1282" width="9.77734375" style="36" customWidth="1"/>
    <col min="1283" max="1283" width="15.77734375" style="36" customWidth="1"/>
    <col min="1284" max="1289" width="13.77734375" style="36" customWidth="1"/>
    <col min="1290" max="1290" width="20.77734375" style="36" customWidth="1"/>
    <col min="1291" max="1291" width="5.77734375" style="36" customWidth="1"/>
    <col min="1292" max="1536" width="8.77734375" style="36"/>
    <col min="1537" max="1537" width="30.77734375" style="36" customWidth="1"/>
    <col min="1538" max="1538" width="9.77734375" style="36" customWidth="1"/>
    <col min="1539" max="1539" width="15.77734375" style="36" customWidth="1"/>
    <col min="1540" max="1545" width="13.77734375" style="36" customWidth="1"/>
    <col min="1546" max="1546" width="20.77734375" style="36" customWidth="1"/>
    <col min="1547" max="1547" width="5.77734375" style="36" customWidth="1"/>
    <col min="1548" max="1792" width="8.77734375" style="36"/>
    <col min="1793" max="1793" width="30.77734375" style="36" customWidth="1"/>
    <col min="1794" max="1794" width="9.77734375" style="36" customWidth="1"/>
    <col min="1795" max="1795" width="15.77734375" style="36" customWidth="1"/>
    <col min="1796" max="1801" width="13.77734375" style="36" customWidth="1"/>
    <col min="1802" max="1802" width="20.77734375" style="36" customWidth="1"/>
    <col min="1803" max="1803" width="5.77734375" style="36" customWidth="1"/>
    <col min="1804" max="2048" width="8.77734375" style="36"/>
    <col min="2049" max="2049" width="30.77734375" style="36" customWidth="1"/>
    <col min="2050" max="2050" width="9.77734375" style="36" customWidth="1"/>
    <col min="2051" max="2051" width="15.77734375" style="36" customWidth="1"/>
    <col min="2052" max="2057" width="13.77734375" style="36" customWidth="1"/>
    <col min="2058" max="2058" width="20.77734375" style="36" customWidth="1"/>
    <col min="2059" max="2059" width="5.77734375" style="36" customWidth="1"/>
    <col min="2060" max="2304" width="8.77734375" style="36"/>
    <col min="2305" max="2305" width="30.77734375" style="36" customWidth="1"/>
    <col min="2306" max="2306" width="9.77734375" style="36" customWidth="1"/>
    <col min="2307" max="2307" width="15.77734375" style="36" customWidth="1"/>
    <col min="2308" max="2313" width="13.77734375" style="36" customWidth="1"/>
    <col min="2314" max="2314" width="20.77734375" style="36" customWidth="1"/>
    <col min="2315" max="2315" width="5.77734375" style="36" customWidth="1"/>
    <col min="2316" max="2560" width="8.77734375" style="36"/>
    <col min="2561" max="2561" width="30.77734375" style="36" customWidth="1"/>
    <col min="2562" max="2562" width="9.77734375" style="36" customWidth="1"/>
    <col min="2563" max="2563" width="15.77734375" style="36" customWidth="1"/>
    <col min="2564" max="2569" width="13.77734375" style="36" customWidth="1"/>
    <col min="2570" max="2570" width="20.77734375" style="36" customWidth="1"/>
    <col min="2571" max="2571" width="5.77734375" style="36" customWidth="1"/>
    <col min="2572" max="2816" width="8.77734375" style="36"/>
    <col min="2817" max="2817" width="30.77734375" style="36" customWidth="1"/>
    <col min="2818" max="2818" width="9.77734375" style="36" customWidth="1"/>
    <col min="2819" max="2819" width="15.77734375" style="36" customWidth="1"/>
    <col min="2820" max="2825" width="13.77734375" style="36" customWidth="1"/>
    <col min="2826" max="2826" width="20.77734375" style="36" customWidth="1"/>
    <col min="2827" max="2827" width="5.77734375" style="36" customWidth="1"/>
    <col min="2828" max="3072" width="8.77734375" style="36"/>
    <col min="3073" max="3073" width="30.77734375" style="36" customWidth="1"/>
    <col min="3074" max="3074" width="9.77734375" style="36" customWidth="1"/>
    <col min="3075" max="3075" width="15.77734375" style="36" customWidth="1"/>
    <col min="3076" max="3081" width="13.77734375" style="36" customWidth="1"/>
    <col min="3082" max="3082" width="20.77734375" style="36" customWidth="1"/>
    <col min="3083" max="3083" width="5.77734375" style="36" customWidth="1"/>
    <col min="3084" max="3328" width="8.77734375" style="36"/>
    <col min="3329" max="3329" width="30.77734375" style="36" customWidth="1"/>
    <col min="3330" max="3330" width="9.77734375" style="36" customWidth="1"/>
    <col min="3331" max="3331" width="15.77734375" style="36" customWidth="1"/>
    <col min="3332" max="3337" width="13.77734375" style="36" customWidth="1"/>
    <col min="3338" max="3338" width="20.77734375" style="36" customWidth="1"/>
    <col min="3339" max="3339" width="5.77734375" style="36" customWidth="1"/>
    <col min="3340" max="3584" width="8.77734375" style="36"/>
    <col min="3585" max="3585" width="30.77734375" style="36" customWidth="1"/>
    <col min="3586" max="3586" width="9.77734375" style="36" customWidth="1"/>
    <col min="3587" max="3587" width="15.77734375" style="36" customWidth="1"/>
    <col min="3588" max="3593" width="13.77734375" style="36" customWidth="1"/>
    <col min="3594" max="3594" width="20.77734375" style="36" customWidth="1"/>
    <col min="3595" max="3595" width="5.77734375" style="36" customWidth="1"/>
    <col min="3596" max="3840" width="8.77734375" style="36"/>
    <col min="3841" max="3841" width="30.77734375" style="36" customWidth="1"/>
    <col min="3842" max="3842" width="9.77734375" style="36" customWidth="1"/>
    <col min="3843" max="3843" width="15.77734375" style="36" customWidth="1"/>
    <col min="3844" max="3849" width="13.77734375" style="36" customWidth="1"/>
    <col min="3850" max="3850" width="20.77734375" style="36" customWidth="1"/>
    <col min="3851" max="3851" width="5.77734375" style="36" customWidth="1"/>
    <col min="3852" max="4096" width="8.77734375" style="36"/>
    <col min="4097" max="4097" width="30.77734375" style="36" customWidth="1"/>
    <col min="4098" max="4098" width="9.77734375" style="36" customWidth="1"/>
    <col min="4099" max="4099" width="15.77734375" style="36" customWidth="1"/>
    <col min="4100" max="4105" width="13.77734375" style="36" customWidth="1"/>
    <col min="4106" max="4106" width="20.77734375" style="36" customWidth="1"/>
    <col min="4107" max="4107" width="5.77734375" style="36" customWidth="1"/>
    <col min="4108" max="4352" width="8.77734375" style="36"/>
    <col min="4353" max="4353" width="30.77734375" style="36" customWidth="1"/>
    <col min="4354" max="4354" width="9.77734375" style="36" customWidth="1"/>
    <col min="4355" max="4355" width="15.77734375" style="36" customWidth="1"/>
    <col min="4356" max="4361" width="13.77734375" style="36" customWidth="1"/>
    <col min="4362" max="4362" width="20.77734375" style="36" customWidth="1"/>
    <col min="4363" max="4363" width="5.77734375" style="36" customWidth="1"/>
    <col min="4364" max="4608" width="8.77734375" style="36"/>
    <col min="4609" max="4609" width="30.77734375" style="36" customWidth="1"/>
    <col min="4610" max="4610" width="9.77734375" style="36" customWidth="1"/>
    <col min="4611" max="4611" width="15.77734375" style="36" customWidth="1"/>
    <col min="4612" max="4617" width="13.77734375" style="36" customWidth="1"/>
    <col min="4618" max="4618" width="20.77734375" style="36" customWidth="1"/>
    <col min="4619" max="4619" width="5.77734375" style="36" customWidth="1"/>
    <col min="4620" max="4864" width="8.77734375" style="36"/>
    <col min="4865" max="4865" width="30.77734375" style="36" customWidth="1"/>
    <col min="4866" max="4866" width="9.77734375" style="36" customWidth="1"/>
    <col min="4867" max="4867" width="15.77734375" style="36" customWidth="1"/>
    <col min="4868" max="4873" width="13.77734375" style="36" customWidth="1"/>
    <col min="4874" max="4874" width="20.77734375" style="36" customWidth="1"/>
    <col min="4875" max="4875" width="5.77734375" style="36" customWidth="1"/>
    <col min="4876" max="5120" width="8.77734375" style="36"/>
    <col min="5121" max="5121" width="30.77734375" style="36" customWidth="1"/>
    <col min="5122" max="5122" width="9.77734375" style="36" customWidth="1"/>
    <col min="5123" max="5123" width="15.77734375" style="36" customWidth="1"/>
    <col min="5124" max="5129" width="13.77734375" style="36" customWidth="1"/>
    <col min="5130" max="5130" width="20.77734375" style="36" customWidth="1"/>
    <col min="5131" max="5131" width="5.77734375" style="36" customWidth="1"/>
    <col min="5132" max="5376" width="8.77734375" style="36"/>
    <col min="5377" max="5377" width="30.77734375" style="36" customWidth="1"/>
    <col min="5378" max="5378" width="9.77734375" style="36" customWidth="1"/>
    <col min="5379" max="5379" width="15.77734375" style="36" customWidth="1"/>
    <col min="5380" max="5385" width="13.77734375" style="36" customWidth="1"/>
    <col min="5386" max="5386" width="20.77734375" style="36" customWidth="1"/>
    <col min="5387" max="5387" width="5.77734375" style="36" customWidth="1"/>
    <col min="5388" max="5632" width="8.77734375" style="36"/>
    <col min="5633" max="5633" width="30.77734375" style="36" customWidth="1"/>
    <col min="5634" max="5634" width="9.77734375" style="36" customWidth="1"/>
    <col min="5635" max="5635" width="15.77734375" style="36" customWidth="1"/>
    <col min="5636" max="5641" width="13.77734375" style="36" customWidth="1"/>
    <col min="5642" max="5642" width="20.77734375" style="36" customWidth="1"/>
    <col min="5643" max="5643" width="5.77734375" style="36" customWidth="1"/>
    <col min="5644" max="5888" width="8.77734375" style="36"/>
    <col min="5889" max="5889" width="30.77734375" style="36" customWidth="1"/>
    <col min="5890" max="5890" width="9.77734375" style="36" customWidth="1"/>
    <col min="5891" max="5891" width="15.77734375" style="36" customWidth="1"/>
    <col min="5892" max="5897" width="13.77734375" style="36" customWidth="1"/>
    <col min="5898" max="5898" width="20.77734375" style="36" customWidth="1"/>
    <col min="5899" max="5899" width="5.77734375" style="36" customWidth="1"/>
    <col min="5900" max="6144" width="8.77734375" style="36"/>
    <col min="6145" max="6145" width="30.77734375" style="36" customWidth="1"/>
    <col min="6146" max="6146" width="9.77734375" style="36" customWidth="1"/>
    <col min="6147" max="6147" width="15.77734375" style="36" customWidth="1"/>
    <col min="6148" max="6153" width="13.77734375" style="36" customWidth="1"/>
    <col min="6154" max="6154" width="20.77734375" style="36" customWidth="1"/>
    <col min="6155" max="6155" width="5.77734375" style="36" customWidth="1"/>
    <col min="6156" max="6400" width="8.77734375" style="36"/>
    <col min="6401" max="6401" width="30.77734375" style="36" customWidth="1"/>
    <col min="6402" max="6402" width="9.77734375" style="36" customWidth="1"/>
    <col min="6403" max="6403" width="15.77734375" style="36" customWidth="1"/>
    <col min="6404" max="6409" width="13.77734375" style="36" customWidth="1"/>
    <col min="6410" max="6410" width="20.77734375" style="36" customWidth="1"/>
    <col min="6411" max="6411" width="5.77734375" style="36" customWidth="1"/>
    <col min="6412" max="6656" width="8.77734375" style="36"/>
    <col min="6657" max="6657" width="30.77734375" style="36" customWidth="1"/>
    <col min="6658" max="6658" width="9.77734375" style="36" customWidth="1"/>
    <col min="6659" max="6659" width="15.77734375" style="36" customWidth="1"/>
    <col min="6660" max="6665" width="13.77734375" style="36" customWidth="1"/>
    <col min="6666" max="6666" width="20.77734375" style="36" customWidth="1"/>
    <col min="6667" max="6667" width="5.77734375" style="36" customWidth="1"/>
    <col min="6668" max="6912" width="8.77734375" style="36"/>
    <col min="6913" max="6913" width="30.77734375" style="36" customWidth="1"/>
    <col min="6914" max="6914" width="9.77734375" style="36" customWidth="1"/>
    <col min="6915" max="6915" width="15.77734375" style="36" customWidth="1"/>
    <col min="6916" max="6921" width="13.77734375" style="36" customWidth="1"/>
    <col min="6922" max="6922" width="20.77734375" style="36" customWidth="1"/>
    <col min="6923" max="6923" width="5.77734375" style="36" customWidth="1"/>
    <col min="6924" max="7168" width="8.77734375" style="36"/>
    <col min="7169" max="7169" width="30.77734375" style="36" customWidth="1"/>
    <col min="7170" max="7170" width="9.77734375" style="36" customWidth="1"/>
    <col min="7171" max="7171" width="15.77734375" style="36" customWidth="1"/>
    <col min="7172" max="7177" width="13.77734375" style="36" customWidth="1"/>
    <col min="7178" max="7178" width="20.77734375" style="36" customWidth="1"/>
    <col min="7179" max="7179" width="5.77734375" style="36" customWidth="1"/>
    <col min="7180" max="7424" width="8.77734375" style="36"/>
    <col min="7425" max="7425" width="30.77734375" style="36" customWidth="1"/>
    <col min="7426" max="7426" width="9.77734375" style="36" customWidth="1"/>
    <col min="7427" max="7427" width="15.77734375" style="36" customWidth="1"/>
    <col min="7428" max="7433" width="13.77734375" style="36" customWidth="1"/>
    <col min="7434" max="7434" width="20.77734375" style="36" customWidth="1"/>
    <col min="7435" max="7435" width="5.77734375" style="36" customWidth="1"/>
    <col min="7436" max="7680" width="8.77734375" style="36"/>
    <col min="7681" max="7681" width="30.77734375" style="36" customWidth="1"/>
    <col min="7682" max="7682" width="9.77734375" style="36" customWidth="1"/>
    <col min="7683" max="7683" width="15.77734375" style="36" customWidth="1"/>
    <col min="7684" max="7689" width="13.77734375" style="36" customWidth="1"/>
    <col min="7690" max="7690" width="20.77734375" style="36" customWidth="1"/>
    <col min="7691" max="7691" width="5.77734375" style="36" customWidth="1"/>
    <col min="7692" max="7936" width="8.77734375" style="36"/>
    <col min="7937" max="7937" width="30.77734375" style="36" customWidth="1"/>
    <col min="7938" max="7938" width="9.77734375" style="36" customWidth="1"/>
    <col min="7939" max="7939" width="15.77734375" style="36" customWidth="1"/>
    <col min="7940" max="7945" width="13.77734375" style="36" customWidth="1"/>
    <col min="7946" max="7946" width="20.77734375" style="36" customWidth="1"/>
    <col min="7947" max="7947" width="5.77734375" style="36" customWidth="1"/>
    <col min="7948" max="8192" width="8.77734375" style="36"/>
    <col min="8193" max="8193" width="30.77734375" style="36" customWidth="1"/>
    <col min="8194" max="8194" width="9.77734375" style="36" customWidth="1"/>
    <col min="8195" max="8195" width="15.77734375" style="36" customWidth="1"/>
    <col min="8196" max="8201" width="13.77734375" style="36" customWidth="1"/>
    <col min="8202" max="8202" width="20.77734375" style="36" customWidth="1"/>
    <col min="8203" max="8203" width="5.77734375" style="36" customWidth="1"/>
    <col min="8204" max="8448" width="8.77734375" style="36"/>
    <col min="8449" max="8449" width="30.77734375" style="36" customWidth="1"/>
    <col min="8450" max="8450" width="9.77734375" style="36" customWidth="1"/>
    <col min="8451" max="8451" width="15.77734375" style="36" customWidth="1"/>
    <col min="8452" max="8457" width="13.77734375" style="36" customWidth="1"/>
    <col min="8458" max="8458" width="20.77734375" style="36" customWidth="1"/>
    <col min="8459" max="8459" width="5.77734375" style="36" customWidth="1"/>
    <col min="8460" max="8704" width="8.77734375" style="36"/>
    <col min="8705" max="8705" width="30.77734375" style="36" customWidth="1"/>
    <col min="8706" max="8706" width="9.77734375" style="36" customWidth="1"/>
    <col min="8707" max="8707" width="15.77734375" style="36" customWidth="1"/>
    <col min="8708" max="8713" width="13.77734375" style="36" customWidth="1"/>
    <col min="8714" max="8714" width="20.77734375" style="36" customWidth="1"/>
    <col min="8715" max="8715" width="5.77734375" style="36" customWidth="1"/>
    <col min="8716" max="8960" width="8.77734375" style="36"/>
    <col min="8961" max="8961" width="30.77734375" style="36" customWidth="1"/>
    <col min="8962" max="8962" width="9.77734375" style="36" customWidth="1"/>
    <col min="8963" max="8963" width="15.77734375" style="36" customWidth="1"/>
    <col min="8964" max="8969" width="13.77734375" style="36" customWidth="1"/>
    <col min="8970" max="8970" width="20.77734375" style="36" customWidth="1"/>
    <col min="8971" max="8971" width="5.77734375" style="36" customWidth="1"/>
    <col min="8972" max="9216" width="8.77734375" style="36"/>
    <col min="9217" max="9217" width="30.77734375" style="36" customWidth="1"/>
    <col min="9218" max="9218" width="9.77734375" style="36" customWidth="1"/>
    <col min="9219" max="9219" width="15.77734375" style="36" customWidth="1"/>
    <col min="9220" max="9225" width="13.77734375" style="36" customWidth="1"/>
    <col min="9226" max="9226" width="20.77734375" style="36" customWidth="1"/>
    <col min="9227" max="9227" width="5.77734375" style="36" customWidth="1"/>
    <col min="9228" max="9472" width="8.77734375" style="36"/>
    <col min="9473" max="9473" width="30.77734375" style="36" customWidth="1"/>
    <col min="9474" max="9474" width="9.77734375" style="36" customWidth="1"/>
    <col min="9475" max="9475" width="15.77734375" style="36" customWidth="1"/>
    <col min="9476" max="9481" width="13.77734375" style="36" customWidth="1"/>
    <col min="9482" max="9482" width="20.77734375" style="36" customWidth="1"/>
    <col min="9483" max="9483" width="5.77734375" style="36" customWidth="1"/>
    <col min="9484" max="9728" width="8.77734375" style="36"/>
    <col min="9729" max="9729" width="30.77734375" style="36" customWidth="1"/>
    <col min="9730" max="9730" width="9.77734375" style="36" customWidth="1"/>
    <col min="9731" max="9731" width="15.77734375" style="36" customWidth="1"/>
    <col min="9732" max="9737" width="13.77734375" style="36" customWidth="1"/>
    <col min="9738" max="9738" width="20.77734375" style="36" customWidth="1"/>
    <col min="9739" max="9739" width="5.77734375" style="36" customWidth="1"/>
    <col min="9740" max="9984" width="8.77734375" style="36"/>
    <col min="9985" max="9985" width="30.77734375" style="36" customWidth="1"/>
    <col min="9986" max="9986" width="9.77734375" style="36" customWidth="1"/>
    <col min="9987" max="9987" width="15.77734375" style="36" customWidth="1"/>
    <col min="9988" max="9993" width="13.77734375" style="36" customWidth="1"/>
    <col min="9994" max="9994" width="20.77734375" style="36" customWidth="1"/>
    <col min="9995" max="9995" width="5.77734375" style="36" customWidth="1"/>
    <col min="9996" max="10240" width="8.77734375" style="36"/>
    <col min="10241" max="10241" width="30.77734375" style="36" customWidth="1"/>
    <col min="10242" max="10242" width="9.77734375" style="36" customWidth="1"/>
    <col min="10243" max="10243" width="15.77734375" style="36" customWidth="1"/>
    <col min="10244" max="10249" width="13.77734375" style="36" customWidth="1"/>
    <col min="10250" max="10250" width="20.77734375" style="36" customWidth="1"/>
    <col min="10251" max="10251" width="5.77734375" style="36" customWidth="1"/>
    <col min="10252" max="10496" width="8.77734375" style="36"/>
    <col min="10497" max="10497" width="30.77734375" style="36" customWidth="1"/>
    <col min="10498" max="10498" width="9.77734375" style="36" customWidth="1"/>
    <col min="10499" max="10499" width="15.77734375" style="36" customWidth="1"/>
    <col min="10500" max="10505" width="13.77734375" style="36" customWidth="1"/>
    <col min="10506" max="10506" width="20.77734375" style="36" customWidth="1"/>
    <col min="10507" max="10507" width="5.77734375" style="36" customWidth="1"/>
    <col min="10508" max="10752" width="8.77734375" style="36"/>
    <col min="10753" max="10753" width="30.77734375" style="36" customWidth="1"/>
    <col min="10754" max="10754" width="9.77734375" style="36" customWidth="1"/>
    <col min="10755" max="10755" width="15.77734375" style="36" customWidth="1"/>
    <col min="10756" max="10761" width="13.77734375" style="36" customWidth="1"/>
    <col min="10762" max="10762" width="20.77734375" style="36" customWidth="1"/>
    <col min="10763" max="10763" width="5.77734375" style="36" customWidth="1"/>
    <col min="10764" max="11008" width="8.77734375" style="36"/>
    <col min="11009" max="11009" width="30.77734375" style="36" customWidth="1"/>
    <col min="11010" max="11010" width="9.77734375" style="36" customWidth="1"/>
    <col min="11011" max="11011" width="15.77734375" style="36" customWidth="1"/>
    <col min="11012" max="11017" width="13.77734375" style="36" customWidth="1"/>
    <col min="11018" max="11018" width="20.77734375" style="36" customWidth="1"/>
    <col min="11019" max="11019" width="5.77734375" style="36" customWidth="1"/>
    <col min="11020" max="11264" width="8.77734375" style="36"/>
    <col min="11265" max="11265" width="30.77734375" style="36" customWidth="1"/>
    <col min="11266" max="11266" width="9.77734375" style="36" customWidth="1"/>
    <col min="11267" max="11267" width="15.77734375" style="36" customWidth="1"/>
    <col min="11268" max="11273" width="13.77734375" style="36" customWidth="1"/>
    <col min="11274" max="11274" width="20.77734375" style="36" customWidth="1"/>
    <col min="11275" max="11275" width="5.77734375" style="36" customWidth="1"/>
    <col min="11276" max="11520" width="8.77734375" style="36"/>
    <col min="11521" max="11521" width="30.77734375" style="36" customWidth="1"/>
    <col min="11522" max="11522" width="9.77734375" style="36" customWidth="1"/>
    <col min="11523" max="11523" width="15.77734375" style="36" customWidth="1"/>
    <col min="11524" max="11529" width="13.77734375" style="36" customWidth="1"/>
    <col min="11530" max="11530" width="20.77734375" style="36" customWidth="1"/>
    <col min="11531" max="11531" width="5.77734375" style="36" customWidth="1"/>
    <col min="11532" max="11776" width="8.77734375" style="36"/>
    <col min="11777" max="11777" width="30.77734375" style="36" customWidth="1"/>
    <col min="11778" max="11778" width="9.77734375" style="36" customWidth="1"/>
    <col min="11779" max="11779" width="15.77734375" style="36" customWidth="1"/>
    <col min="11780" max="11785" width="13.77734375" style="36" customWidth="1"/>
    <col min="11786" max="11786" width="20.77734375" style="36" customWidth="1"/>
    <col min="11787" max="11787" width="5.77734375" style="36" customWidth="1"/>
    <col min="11788" max="12032" width="8.77734375" style="36"/>
    <col min="12033" max="12033" width="30.77734375" style="36" customWidth="1"/>
    <col min="12034" max="12034" width="9.77734375" style="36" customWidth="1"/>
    <col min="12035" max="12035" width="15.77734375" style="36" customWidth="1"/>
    <col min="12036" max="12041" width="13.77734375" style="36" customWidth="1"/>
    <col min="12042" max="12042" width="20.77734375" style="36" customWidth="1"/>
    <col min="12043" max="12043" width="5.77734375" style="36" customWidth="1"/>
    <col min="12044" max="12288" width="8.77734375" style="36"/>
    <col min="12289" max="12289" width="30.77734375" style="36" customWidth="1"/>
    <col min="12290" max="12290" width="9.77734375" style="36" customWidth="1"/>
    <col min="12291" max="12291" width="15.77734375" style="36" customWidth="1"/>
    <col min="12292" max="12297" width="13.77734375" style="36" customWidth="1"/>
    <col min="12298" max="12298" width="20.77734375" style="36" customWidth="1"/>
    <col min="12299" max="12299" width="5.77734375" style="36" customWidth="1"/>
    <col min="12300" max="12544" width="8.77734375" style="36"/>
    <col min="12545" max="12545" width="30.77734375" style="36" customWidth="1"/>
    <col min="12546" max="12546" width="9.77734375" style="36" customWidth="1"/>
    <col min="12547" max="12547" width="15.77734375" style="36" customWidth="1"/>
    <col min="12548" max="12553" width="13.77734375" style="36" customWidth="1"/>
    <col min="12554" max="12554" width="20.77734375" style="36" customWidth="1"/>
    <col min="12555" max="12555" width="5.77734375" style="36" customWidth="1"/>
    <col min="12556" max="12800" width="8.77734375" style="36"/>
    <col min="12801" max="12801" width="30.77734375" style="36" customWidth="1"/>
    <col min="12802" max="12802" width="9.77734375" style="36" customWidth="1"/>
    <col min="12803" max="12803" width="15.77734375" style="36" customWidth="1"/>
    <col min="12804" max="12809" width="13.77734375" style="36" customWidth="1"/>
    <col min="12810" max="12810" width="20.77734375" style="36" customWidth="1"/>
    <col min="12811" max="12811" width="5.77734375" style="36" customWidth="1"/>
    <col min="12812" max="13056" width="8.77734375" style="36"/>
    <col min="13057" max="13057" width="30.77734375" style="36" customWidth="1"/>
    <col min="13058" max="13058" width="9.77734375" style="36" customWidth="1"/>
    <col min="13059" max="13059" width="15.77734375" style="36" customWidth="1"/>
    <col min="13060" max="13065" width="13.77734375" style="36" customWidth="1"/>
    <col min="13066" max="13066" width="20.77734375" style="36" customWidth="1"/>
    <col min="13067" max="13067" width="5.77734375" style="36" customWidth="1"/>
    <col min="13068" max="13312" width="8.77734375" style="36"/>
    <col min="13313" max="13313" width="30.77734375" style="36" customWidth="1"/>
    <col min="13314" max="13314" width="9.77734375" style="36" customWidth="1"/>
    <col min="13315" max="13315" width="15.77734375" style="36" customWidth="1"/>
    <col min="13316" max="13321" width="13.77734375" style="36" customWidth="1"/>
    <col min="13322" max="13322" width="20.77734375" style="36" customWidth="1"/>
    <col min="13323" max="13323" width="5.77734375" style="36" customWidth="1"/>
    <col min="13324" max="13568" width="8.77734375" style="36"/>
    <col min="13569" max="13569" width="30.77734375" style="36" customWidth="1"/>
    <col min="13570" max="13570" width="9.77734375" style="36" customWidth="1"/>
    <col min="13571" max="13571" width="15.77734375" style="36" customWidth="1"/>
    <col min="13572" max="13577" width="13.77734375" style="36" customWidth="1"/>
    <col min="13578" max="13578" width="20.77734375" style="36" customWidth="1"/>
    <col min="13579" max="13579" width="5.77734375" style="36" customWidth="1"/>
    <col min="13580" max="13824" width="8.77734375" style="36"/>
    <col min="13825" max="13825" width="30.77734375" style="36" customWidth="1"/>
    <col min="13826" max="13826" width="9.77734375" style="36" customWidth="1"/>
    <col min="13827" max="13827" width="15.77734375" style="36" customWidth="1"/>
    <col min="13828" max="13833" width="13.77734375" style="36" customWidth="1"/>
    <col min="13834" max="13834" width="20.77734375" style="36" customWidth="1"/>
    <col min="13835" max="13835" width="5.77734375" style="36" customWidth="1"/>
    <col min="13836" max="14080" width="8.77734375" style="36"/>
    <col min="14081" max="14081" width="30.77734375" style="36" customWidth="1"/>
    <col min="14082" max="14082" width="9.77734375" style="36" customWidth="1"/>
    <col min="14083" max="14083" width="15.77734375" style="36" customWidth="1"/>
    <col min="14084" max="14089" width="13.77734375" style="36" customWidth="1"/>
    <col min="14090" max="14090" width="20.77734375" style="36" customWidth="1"/>
    <col min="14091" max="14091" width="5.77734375" style="36" customWidth="1"/>
    <col min="14092" max="14336" width="8.77734375" style="36"/>
    <col min="14337" max="14337" width="30.77734375" style="36" customWidth="1"/>
    <col min="14338" max="14338" width="9.77734375" style="36" customWidth="1"/>
    <col min="14339" max="14339" width="15.77734375" style="36" customWidth="1"/>
    <col min="14340" max="14345" width="13.77734375" style="36" customWidth="1"/>
    <col min="14346" max="14346" width="20.77734375" style="36" customWidth="1"/>
    <col min="14347" max="14347" width="5.77734375" style="36" customWidth="1"/>
    <col min="14348" max="14592" width="8.77734375" style="36"/>
    <col min="14593" max="14593" width="30.77734375" style="36" customWidth="1"/>
    <col min="14594" max="14594" width="9.77734375" style="36" customWidth="1"/>
    <col min="14595" max="14595" width="15.77734375" style="36" customWidth="1"/>
    <col min="14596" max="14601" width="13.77734375" style="36" customWidth="1"/>
    <col min="14602" max="14602" width="20.77734375" style="36" customWidth="1"/>
    <col min="14603" max="14603" width="5.77734375" style="36" customWidth="1"/>
    <col min="14604" max="14848" width="8.77734375" style="36"/>
    <col min="14849" max="14849" width="30.77734375" style="36" customWidth="1"/>
    <col min="14850" max="14850" width="9.77734375" style="36" customWidth="1"/>
    <col min="14851" max="14851" width="15.77734375" style="36" customWidth="1"/>
    <col min="14852" max="14857" width="13.77734375" style="36" customWidth="1"/>
    <col min="14858" max="14858" width="20.77734375" style="36" customWidth="1"/>
    <col min="14859" max="14859" width="5.77734375" style="36" customWidth="1"/>
    <col min="14860" max="15104" width="8.77734375" style="36"/>
    <col min="15105" max="15105" width="30.77734375" style="36" customWidth="1"/>
    <col min="15106" max="15106" width="9.77734375" style="36" customWidth="1"/>
    <col min="15107" max="15107" width="15.77734375" style="36" customWidth="1"/>
    <col min="15108" max="15113" width="13.77734375" style="36" customWidth="1"/>
    <col min="15114" max="15114" width="20.77734375" style="36" customWidth="1"/>
    <col min="15115" max="15115" width="5.77734375" style="36" customWidth="1"/>
    <col min="15116" max="15360" width="8.77734375" style="36"/>
    <col min="15361" max="15361" width="30.77734375" style="36" customWidth="1"/>
    <col min="15362" max="15362" width="9.77734375" style="36" customWidth="1"/>
    <col min="15363" max="15363" width="15.77734375" style="36" customWidth="1"/>
    <col min="15364" max="15369" width="13.77734375" style="36" customWidth="1"/>
    <col min="15370" max="15370" width="20.77734375" style="36" customWidth="1"/>
    <col min="15371" max="15371" width="5.77734375" style="36" customWidth="1"/>
    <col min="15372" max="15616" width="8.77734375" style="36"/>
    <col min="15617" max="15617" width="30.77734375" style="36" customWidth="1"/>
    <col min="15618" max="15618" width="9.77734375" style="36" customWidth="1"/>
    <col min="15619" max="15619" width="15.77734375" style="36" customWidth="1"/>
    <col min="15620" max="15625" width="13.77734375" style="36" customWidth="1"/>
    <col min="15626" max="15626" width="20.77734375" style="36" customWidth="1"/>
    <col min="15627" max="15627" width="5.77734375" style="36" customWidth="1"/>
    <col min="15628" max="15872" width="8.77734375" style="36"/>
    <col min="15873" max="15873" width="30.77734375" style="36" customWidth="1"/>
    <col min="15874" max="15874" width="9.77734375" style="36" customWidth="1"/>
    <col min="15875" max="15875" width="15.77734375" style="36" customWidth="1"/>
    <col min="15876" max="15881" width="13.77734375" style="36" customWidth="1"/>
    <col min="15882" max="15882" width="20.77734375" style="36" customWidth="1"/>
    <col min="15883" max="15883" width="5.77734375" style="36" customWidth="1"/>
    <col min="15884" max="16128" width="8.77734375" style="36"/>
    <col min="16129" max="16129" width="30.77734375" style="36" customWidth="1"/>
    <col min="16130" max="16130" width="9.77734375" style="36" customWidth="1"/>
    <col min="16131" max="16131" width="15.77734375" style="36" customWidth="1"/>
    <col min="16132" max="16137" width="13.77734375" style="36" customWidth="1"/>
    <col min="16138" max="16138" width="20.77734375" style="36" customWidth="1"/>
    <col min="16139" max="16139" width="5.77734375" style="36" customWidth="1"/>
    <col min="16140" max="16384" width="8.77734375" style="36"/>
  </cols>
  <sheetData>
    <row r="1" spans="1:22" ht="30" customHeight="1">
      <c r="A1" s="113" t="s">
        <v>1991</v>
      </c>
      <c r="B1" s="113"/>
      <c r="C1" s="114"/>
      <c r="D1" s="115"/>
      <c r="E1" s="114"/>
      <c r="F1" s="114"/>
      <c r="G1" s="114"/>
      <c r="H1" s="114"/>
      <c r="I1" s="114"/>
      <c r="J1" s="114"/>
    </row>
    <row r="2" spans="1:22" s="116" customFormat="1" ht="30" customHeight="1">
      <c r="A2" s="1741" t="s">
        <v>93</v>
      </c>
      <c r="B2" s="1743" t="s">
        <v>184</v>
      </c>
      <c r="C2" s="1745" t="s">
        <v>172</v>
      </c>
      <c r="D2" s="1747" t="s">
        <v>81</v>
      </c>
      <c r="E2" s="1748"/>
      <c r="F2" s="1748"/>
      <c r="G2" s="1748"/>
      <c r="H2" s="1748"/>
      <c r="I2" s="1748"/>
      <c r="J2" s="1749" t="s">
        <v>42</v>
      </c>
      <c r="K2" s="116" t="s">
        <v>42</v>
      </c>
    </row>
    <row r="3" spans="1:22" s="116" customFormat="1" ht="30" customHeight="1" thickBot="1">
      <c r="A3" s="1742"/>
      <c r="B3" s="1744"/>
      <c r="C3" s="1746"/>
      <c r="D3" s="239" t="s">
        <v>48</v>
      </c>
      <c r="E3" s="159" t="s">
        <v>146</v>
      </c>
      <c r="F3" s="159" t="s">
        <v>139</v>
      </c>
      <c r="G3" s="159" t="s">
        <v>168</v>
      </c>
      <c r="H3" s="159" t="s">
        <v>165</v>
      </c>
      <c r="I3" s="159" t="s">
        <v>180</v>
      </c>
      <c r="J3" s="1750"/>
    </row>
    <row r="4" spans="1:22" s="116" customFormat="1" ht="30" customHeight="1" thickTop="1">
      <c r="A4" s="192" t="s">
        <v>1999</v>
      </c>
      <c r="B4" s="193"/>
      <c r="C4" s="194"/>
      <c r="D4" s="195">
        <f t="shared" ref="D4:I4" si="0">D5+D7+D10+D19+D30</f>
        <v>42.040000000000006</v>
      </c>
      <c r="E4" s="195">
        <f t="shared" si="0"/>
        <v>73.855000000000004</v>
      </c>
      <c r="F4" s="195">
        <f t="shared" si="0"/>
        <v>96.030000000000015</v>
      </c>
      <c r="G4" s="195">
        <f t="shared" si="0"/>
        <v>98.055000000000007</v>
      </c>
      <c r="H4" s="195">
        <f t="shared" si="0"/>
        <v>66.664999999999992</v>
      </c>
      <c r="I4" s="195">
        <f t="shared" si="0"/>
        <v>7</v>
      </c>
      <c r="J4" s="196"/>
      <c r="L4" s="1680">
        <v>0.5</v>
      </c>
      <c r="M4" s="116" t="s">
        <v>2030</v>
      </c>
    </row>
    <row r="5" spans="1:22" s="116" customFormat="1" ht="22.9" customHeight="1">
      <c r="A5" s="197" t="s">
        <v>92</v>
      </c>
      <c r="B5" s="198"/>
      <c r="C5" s="198"/>
      <c r="D5" s="199">
        <f t="shared" ref="D5:I5" si="1">SUM(D6)</f>
        <v>0.75</v>
      </c>
      <c r="E5" s="199">
        <f t="shared" si="1"/>
        <v>1.25</v>
      </c>
      <c r="F5" s="199">
        <f t="shared" si="1"/>
        <v>1.25</v>
      </c>
      <c r="G5" s="199">
        <f t="shared" si="1"/>
        <v>1.25</v>
      </c>
      <c r="H5" s="199">
        <f t="shared" si="1"/>
        <v>0</v>
      </c>
      <c r="I5" s="199">
        <f t="shared" si="1"/>
        <v>0</v>
      </c>
      <c r="J5" s="200"/>
    </row>
    <row r="6" spans="1:22" s="116" customFormat="1" ht="22.9" customHeight="1">
      <c r="A6" s="201" t="s">
        <v>112</v>
      </c>
      <c r="B6" s="202" t="s">
        <v>37</v>
      </c>
      <c r="C6" s="202" t="s">
        <v>103</v>
      </c>
      <c r="D6" s="203">
        <f>기준소요인력!D6*적용소요인력!$L$4</f>
        <v>0.75</v>
      </c>
      <c r="E6" s="203">
        <f>기준소요인력!E6*적용소요인력!$L$4</f>
        <v>1.25</v>
      </c>
      <c r="F6" s="203">
        <f>기준소요인력!F6*적용소요인력!$L$4</f>
        <v>1.25</v>
      </c>
      <c r="G6" s="203">
        <f>기준소요인력!G6*적용소요인력!$L$4</f>
        <v>1.25</v>
      </c>
      <c r="H6" s="203">
        <f>기준소요인력!H6*적용소요인력!$L$4</f>
        <v>0</v>
      </c>
      <c r="I6" s="203">
        <f>기준소요인력!I6*적용소요인력!$L$4</f>
        <v>0</v>
      </c>
      <c r="J6" s="204"/>
    </row>
    <row r="7" spans="1:22" s="116" customFormat="1" ht="22.9" customHeight="1">
      <c r="A7" s="197" t="s">
        <v>1992</v>
      </c>
      <c r="B7" s="198"/>
      <c r="C7" s="198"/>
      <c r="D7" s="199">
        <f t="shared" ref="D7:I7" si="2">SUM(D8:D9)</f>
        <v>1.25</v>
      </c>
      <c r="E7" s="199">
        <f t="shared" si="2"/>
        <v>2.4</v>
      </c>
      <c r="F7" s="199">
        <f t="shared" si="2"/>
        <v>1.1000000000000001</v>
      </c>
      <c r="G7" s="199">
        <f t="shared" si="2"/>
        <v>1.5</v>
      </c>
      <c r="H7" s="199">
        <f t="shared" si="2"/>
        <v>1.4</v>
      </c>
      <c r="I7" s="199">
        <f t="shared" si="2"/>
        <v>0</v>
      </c>
      <c r="J7" s="200"/>
    </row>
    <row r="8" spans="1:22" s="116" customFormat="1" ht="22.9" customHeight="1">
      <c r="A8" s="201" t="s">
        <v>109</v>
      </c>
      <c r="B8" s="202" t="s">
        <v>37</v>
      </c>
      <c r="C8" s="202" t="s">
        <v>103</v>
      </c>
      <c r="D8" s="203">
        <f>기준소요인력!D8*적용소요인력!$L$4</f>
        <v>0.25</v>
      </c>
      <c r="E8" s="203">
        <f>기준소요인력!E8*적용소요인력!$L$4</f>
        <v>0.4</v>
      </c>
      <c r="F8" s="203">
        <f>기준소요인력!F8*적용소요인력!$L$4</f>
        <v>0.9</v>
      </c>
      <c r="G8" s="203">
        <f>기준소요인력!G8*적용소요인력!$L$4</f>
        <v>1.1000000000000001</v>
      </c>
      <c r="H8" s="203">
        <f>기준소요인력!H8*적용소요인력!$L$4</f>
        <v>0.8</v>
      </c>
      <c r="I8" s="203">
        <f>기준소요인력!I8*적용소요인력!$L$4</f>
        <v>0</v>
      </c>
      <c r="J8" s="204"/>
      <c r="O8" s="122"/>
      <c r="P8" s="122"/>
      <c r="Q8" s="123"/>
      <c r="R8" s="123"/>
      <c r="S8" s="123"/>
      <c r="T8" s="123"/>
      <c r="U8" s="123"/>
      <c r="V8" s="123"/>
    </row>
    <row r="9" spans="1:22" s="116" customFormat="1" ht="22.9" customHeight="1">
      <c r="A9" s="201" t="s">
        <v>108</v>
      </c>
      <c r="B9" s="202" t="s">
        <v>37</v>
      </c>
      <c r="C9" s="202" t="s">
        <v>103</v>
      </c>
      <c r="D9" s="203">
        <f>기준소요인력!D9*적용소요인력!$L$4</f>
        <v>1</v>
      </c>
      <c r="E9" s="203">
        <f>기준소요인력!E9*적용소요인력!$L$4</f>
        <v>2</v>
      </c>
      <c r="F9" s="203">
        <f>기준소요인력!F9*적용소요인력!$L$4</f>
        <v>0.2</v>
      </c>
      <c r="G9" s="203">
        <f>기준소요인력!G9*적용소요인력!$L$4</f>
        <v>0.4</v>
      </c>
      <c r="H9" s="203">
        <f>기준소요인력!H9*적용소요인력!$L$4</f>
        <v>0.6</v>
      </c>
      <c r="I9" s="203">
        <f>기준소요인력!I9*적용소요인력!$L$4</f>
        <v>0</v>
      </c>
      <c r="J9" s="204"/>
    </row>
    <row r="10" spans="1:22" s="116" customFormat="1" ht="22.9" customHeight="1">
      <c r="A10" s="197" t="s">
        <v>1993</v>
      </c>
      <c r="B10" s="198"/>
      <c r="C10" s="198"/>
      <c r="D10" s="199">
        <f t="shared" ref="D10:I10" si="3">SUM(D11:D12)</f>
        <v>2.84</v>
      </c>
      <c r="E10" s="199">
        <f t="shared" si="3"/>
        <v>7.5050000000000008</v>
      </c>
      <c r="F10" s="199">
        <f t="shared" si="3"/>
        <v>11.080000000000002</v>
      </c>
      <c r="G10" s="199">
        <f t="shared" si="3"/>
        <v>12.805000000000001</v>
      </c>
      <c r="H10" s="199">
        <f t="shared" si="3"/>
        <v>9.4149999999999991</v>
      </c>
      <c r="I10" s="199">
        <f t="shared" si="3"/>
        <v>2</v>
      </c>
      <c r="J10" s="200"/>
    </row>
    <row r="11" spans="1:22" s="116" customFormat="1" ht="22.9" customHeight="1">
      <c r="A11" s="201" t="s">
        <v>116</v>
      </c>
      <c r="B11" s="202" t="s">
        <v>37</v>
      </c>
      <c r="C11" s="202" t="s">
        <v>103</v>
      </c>
      <c r="D11" s="203">
        <f>기준소요인력!D11*적용소요인력!$L$4</f>
        <v>0.04</v>
      </c>
      <c r="E11" s="203">
        <f>기준소요인력!E11*적용소요인력!$L$4</f>
        <v>0.105</v>
      </c>
      <c r="F11" s="203">
        <f>기준소요인력!F11*적용소요인력!$L$4</f>
        <v>0.18</v>
      </c>
      <c r="G11" s="203">
        <f>기준소요인력!G11*적용소요인력!$L$4</f>
        <v>0.255</v>
      </c>
      <c r="H11" s="203">
        <f>기준소요인력!H11*적용소요인력!$L$4</f>
        <v>0.16500000000000001</v>
      </c>
      <c r="I11" s="203">
        <f>기준소요인력!I11*적용소요인력!$L$4</f>
        <v>0</v>
      </c>
      <c r="J11" s="204"/>
      <c r="M11" s="116" t="str">
        <f>'1.표지'!C43</f>
        <v>금370,865,000원(금삼억칠천팔십육만오천원)</v>
      </c>
    </row>
    <row r="12" spans="1:22" s="116" customFormat="1" ht="22.9" customHeight="1">
      <c r="A12" s="201" t="s">
        <v>122</v>
      </c>
      <c r="B12" s="202"/>
      <c r="C12" s="202"/>
      <c r="D12" s="203">
        <f t="shared" ref="D12:I12" si="4">SUM(D13:D18)</f>
        <v>2.8</v>
      </c>
      <c r="E12" s="203">
        <f t="shared" si="4"/>
        <v>7.4</v>
      </c>
      <c r="F12" s="203">
        <f t="shared" si="4"/>
        <v>10.900000000000002</v>
      </c>
      <c r="G12" s="203">
        <f t="shared" si="4"/>
        <v>12.55</v>
      </c>
      <c r="H12" s="203">
        <f t="shared" si="4"/>
        <v>9.25</v>
      </c>
      <c r="I12" s="203">
        <f t="shared" si="4"/>
        <v>2</v>
      </c>
      <c r="J12" s="204"/>
    </row>
    <row r="13" spans="1:22" s="116" customFormat="1" ht="22.9" customHeight="1">
      <c r="A13" s="201" t="s">
        <v>123</v>
      </c>
      <c r="B13" s="202" t="s">
        <v>182</v>
      </c>
      <c r="C13" s="202" t="s">
        <v>191</v>
      </c>
      <c r="D13" s="203">
        <f>기준소요인력!D13*적용소요인력!$L$4</f>
        <v>0.7</v>
      </c>
      <c r="E13" s="203">
        <f>기준소요인력!E13*적용소요인력!$L$4</f>
        <v>3.7</v>
      </c>
      <c r="F13" s="203">
        <f>기준소요인력!F13*적용소요인력!$L$4</f>
        <v>5.65</v>
      </c>
      <c r="G13" s="203">
        <f>기준소요인력!G13*적용소요인력!$L$4</f>
        <v>6.55</v>
      </c>
      <c r="H13" s="203">
        <f>기준소요인력!H13*적용소요인력!$L$4</f>
        <v>4.3</v>
      </c>
      <c r="I13" s="203">
        <f>기준소요인력!I13*적용소요인력!$L$4</f>
        <v>0</v>
      </c>
      <c r="J13" s="204"/>
    </row>
    <row r="14" spans="1:22" s="116" customFormat="1" ht="22.9" customHeight="1">
      <c r="A14" s="201" t="s">
        <v>99</v>
      </c>
      <c r="B14" s="202" t="s">
        <v>182</v>
      </c>
      <c r="C14" s="202" t="s">
        <v>191</v>
      </c>
      <c r="D14" s="203">
        <f>기준소요인력!D14*적용소요인력!$L$4</f>
        <v>0.25</v>
      </c>
      <c r="E14" s="203">
        <f>기준소요인력!E14*적용소요인력!$L$4</f>
        <v>1.1000000000000001</v>
      </c>
      <c r="F14" s="203">
        <f>기준소요인력!F14*적용소요인력!$L$4</f>
        <v>1.65</v>
      </c>
      <c r="G14" s="203">
        <f>기준소요인력!G14*적용소요인력!$L$4</f>
        <v>1.9</v>
      </c>
      <c r="H14" s="203">
        <f>기준소요인력!H14*적용소요인력!$L$4</f>
        <v>1.25</v>
      </c>
      <c r="I14" s="203">
        <f>기준소요인력!I14*적용소요인력!$L$4</f>
        <v>0</v>
      </c>
      <c r="J14" s="204"/>
    </row>
    <row r="15" spans="1:22" s="116" customFormat="1" ht="22.9" customHeight="1">
      <c r="A15" s="201" t="s">
        <v>100</v>
      </c>
      <c r="B15" s="202" t="s">
        <v>182</v>
      </c>
      <c r="C15" s="202" t="s">
        <v>191</v>
      </c>
      <c r="D15" s="203">
        <f>기준소요인력!D15*적용소요인력!$L$4</f>
        <v>0.25</v>
      </c>
      <c r="E15" s="203">
        <f>기준소요인력!E15*적용소요인력!$L$4</f>
        <v>0.5</v>
      </c>
      <c r="F15" s="203">
        <f>기준소요인력!F15*적용소요인력!$L$4</f>
        <v>1</v>
      </c>
      <c r="G15" s="203">
        <f>기준소요인력!G15*적용소요인력!$L$4</f>
        <v>1.75</v>
      </c>
      <c r="H15" s="203">
        <f>기준소요인력!H15*적용소요인력!$L$4</f>
        <v>1.5</v>
      </c>
      <c r="I15" s="203">
        <f>기준소요인력!I15*적용소요인력!$L$4</f>
        <v>1</v>
      </c>
      <c r="J15" s="204"/>
    </row>
    <row r="16" spans="1:22" s="116" customFormat="1" ht="22.9" customHeight="1">
      <c r="A16" s="201" t="s">
        <v>101</v>
      </c>
      <c r="B16" s="202" t="s">
        <v>66</v>
      </c>
      <c r="C16" s="202" t="s">
        <v>60</v>
      </c>
      <c r="D16" s="203">
        <f>기준소요인력!D16*적용소요인력!$L$4</f>
        <v>0.3</v>
      </c>
      <c r="E16" s="203">
        <f>기준소요인력!E16*적용소요인력!$L$4</f>
        <v>0.55000000000000004</v>
      </c>
      <c r="F16" s="203">
        <f>기준소요인력!F16*적용소요인력!$L$4</f>
        <v>1.05</v>
      </c>
      <c r="G16" s="203">
        <f>기준소요인력!G16*적용소요인력!$L$4</f>
        <v>1.3</v>
      </c>
      <c r="H16" s="203">
        <f>기준소요인력!H16*적용소요인력!$L$4</f>
        <v>1.2</v>
      </c>
      <c r="I16" s="203">
        <f>기준소요인력!I16*적용소요인력!$L$4</f>
        <v>0</v>
      </c>
      <c r="J16" s="204"/>
    </row>
    <row r="17" spans="1:22" s="116" customFormat="1" ht="22.9" customHeight="1">
      <c r="A17" s="201" t="s">
        <v>204</v>
      </c>
      <c r="B17" s="202" t="s">
        <v>188</v>
      </c>
      <c r="C17" s="202" t="s">
        <v>191</v>
      </c>
      <c r="D17" s="203">
        <f>기준소요인력!D17*적용소요인력!$L$4</f>
        <v>1.05</v>
      </c>
      <c r="E17" s="203">
        <f>기준소요인력!E17*적용소요인력!$L$4</f>
        <v>1.05</v>
      </c>
      <c r="F17" s="203">
        <f>기준소요인력!F17*적용소요인력!$L$4</f>
        <v>1.05</v>
      </c>
      <c r="G17" s="203">
        <f>기준소요인력!G17*적용소요인력!$L$4</f>
        <v>0.55000000000000004</v>
      </c>
      <c r="H17" s="203">
        <f>기준소요인력!H17*적용소요인력!$L$4</f>
        <v>0</v>
      </c>
      <c r="I17" s="203">
        <f>기준소요인력!I17*적용소요인력!$L$4</f>
        <v>0</v>
      </c>
      <c r="J17" s="204"/>
      <c r="K17" s="116" t="s">
        <v>249</v>
      </c>
      <c r="L17" s="160"/>
      <c r="M17" s="160"/>
      <c r="N17" s="160"/>
      <c r="O17" s="160"/>
    </row>
    <row r="18" spans="1:22" s="116" customFormat="1" ht="22.9" customHeight="1">
      <c r="A18" s="201" t="s">
        <v>115</v>
      </c>
      <c r="B18" s="202" t="s">
        <v>66</v>
      </c>
      <c r="C18" s="202" t="s">
        <v>60</v>
      </c>
      <c r="D18" s="203">
        <f>기준소요인력!D18*적용소요인력!$L$4</f>
        <v>0.25</v>
      </c>
      <c r="E18" s="203">
        <f>기준소요인력!E18*적용소요인력!$L$4</f>
        <v>0.5</v>
      </c>
      <c r="F18" s="203">
        <f>기준소요인력!F18*적용소요인력!$L$4</f>
        <v>0.5</v>
      </c>
      <c r="G18" s="203">
        <f>기준소요인력!G18*적용소요인력!$L$4</f>
        <v>0.5</v>
      </c>
      <c r="H18" s="203">
        <f>기준소요인력!H18*적용소요인력!$L$4</f>
        <v>1</v>
      </c>
      <c r="I18" s="203">
        <f>기준소요인력!I18*적용소요인력!$L$4</f>
        <v>1</v>
      </c>
      <c r="J18" s="204"/>
    </row>
    <row r="19" spans="1:22" s="135" customFormat="1" ht="22.9" customHeight="1">
      <c r="A19" s="197" t="s">
        <v>1994</v>
      </c>
      <c r="B19" s="198"/>
      <c r="C19" s="198"/>
      <c r="D19" s="199">
        <f t="shared" ref="D19:I19" si="5">D20+D25</f>
        <v>35.400000000000006</v>
      </c>
      <c r="E19" s="199">
        <f t="shared" si="5"/>
        <v>59.7</v>
      </c>
      <c r="F19" s="199">
        <f t="shared" si="5"/>
        <v>77.400000000000006</v>
      </c>
      <c r="G19" s="199">
        <f t="shared" si="5"/>
        <v>75.900000000000006</v>
      </c>
      <c r="H19" s="199">
        <f t="shared" si="5"/>
        <v>51.849999999999994</v>
      </c>
      <c r="I19" s="199">
        <f t="shared" si="5"/>
        <v>5</v>
      </c>
      <c r="J19" s="205"/>
      <c r="O19" s="136"/>
      <c r="P19" s="136"/>
      <c r="Q19" s="137"/>
      <c r="R19" s="137"/>
      <c r="S19" s="137"/>
      <c r="T19" s="137"/>
      <c r="U19" s="137"/>
      <c r="V19" s="137"/>
    </row>
    <row r="20" spans="1:22" s="116" customFormat="1" ht="22.9" customHeight="1">
      <c r="A20" s="201" t="s">
        <v>7</v>
      </c>
      <c r="B20" s="202"/>
      <c r="C20" s="202"/>
      <c r="D20" s="203">
        <f>D21+D22+D23+D24</f>
        <v>20.400000000000002</v>
      </c>
      <c r="E20" s="203">
        <f t="shared" ref="E20:I20" si="6">E21+E22+E23+E24</f>
        <v>35.200000000000003</v>
      </c>
      <c r="F20" s="203">
        <f t="shared" si="6"/>
        <v>47.400000000000006</v>
      </c>
      <c r="G20" s="203">
        <f t="shared" si="6"/>
        <v>46.400000000000006</v>
      </c>
      <c r="H20" s="203">
        <f t="shared" si="6"/>
        <v>25.849999999999998</v>
      </c>
      <c r="I20" s="203">
        <f t="shared" si="6"/>
        <v>2</v>
      </c>
      <c r="J20" s="204"/>
      <c r="O20" s="133"/>
      <c r="P20" s="133"/>
      <c r="Q20" s="134"/>
      <c r="R20" s="134"/>
      <c r="S20" s="134"/>
      <c r="T20" s="134"/>
      <c r="U20" s="134"/>
      <c r="V20" s="134"/>
    </row>
    <row r="21" spans="1:22" s="116" customFormat="1" ht="22.9" customHeight="1">
      <c r="A21" s="201" t="s">
        <v>8</v>
      </c>
      <c r="B21" s="202" t="s">
        <v>66</v>
      </c>
      <c r="C21" s="202" t="s">
        <v>60</v>
      </c>
      <c r="D21" s="203">
        <f>기준소요인력!D21*적용소요인력!$L$4</f>
        <v>5.8</v>
      </c>
      <c r="E21" s="203">
        <f>기준소요인력!E21*적용소요인력!$L$4</f>
        <v>10.4</v>
      </c>
      <c r="F21" s="203">
        <f>기준소요인력!F21*적용소요인력!$L$4</f>
        <v>13.8</v>
      </c>
      <c r="G21" s="203">
        <f>기준소요인력!G21*적용소요인력!$L$4</f>
        <v>13.8</v>
      </c>
      <c r="H21" s="203">
        <f>기준소요인력!H21*적용소요인력!$L$4</f>
        <v>7.95</v>
      </c>
      <c r="I21" s="203">
        <f>기준소요인력!I21*적용소요인력!$L$4</f>
        <v>0</v>
      </c>
      <c r="J21" s="204"/>
      <c r="O21" s="133"/>
      <c r="P21" s="133"/>
      <c r="Q21" s="134"/>
      <c r="R21" s="134"/>
      <c r="S21" s="134"/>
      <c r="T21" s="134"/>
      <c r="U21" s="134"/>
      <c r="V21" s="134"/>
    </row>
    <row r="22" spans="1:22" s="116" customFormat="1" ht="22.9" customHeight="1">
      <c r="A22" s="201" t="s">
        <v>12</v>
      </c>
      <c r="B22" s="202" t="s">
        <v>64</v>
      </c>
      <c r="C22" s="202" t="s">
        <v>191</v>
      </c>
      <c r="D22" s="203">
        <f>기준소요인력!D22*적용소요인력!$L$4</f>
        <v>3</v>
      </c>
      <c r="E22" s="203">
        <f>기준소요인력!E22*적용소요인력!$L$4</f>
        <v>4</v>
      </c>
      <c r="F22" s="203">
        <f>기준소요인력!F22*적용소요인력!$L$4</f>
        <v>6</v>
      </c>
      <c r="G22" s="203">
        <f>기준소요인력!G22*적용소요인력!$L$4</f>
        <v>5</v>
      </c>
      <c r="H22" s="203">
        <f>기준소요인력!H22*적용소요인력!$L$4</f>
        <v>2</v>
      </c>
      <c r="I22" s="203">
        <f>기준소요인력!I22*적용소요인력!$L$4</f>
        <v>2</v>
      </c>
      <c r="J22" s="204"/>
      <c r="O22" s="133"/>
      <c r="P22" s="133"/>
      <c r="Q22" s="134"/>
      <c r="R22" s="134"/>
      <c r="S22" s="134"/>
      <c r="T22" s="134"/>
      <c r="U22" s="134"/>
      <c r="V22" s="134"/>
    </row>
    <row r="23" spans="1:22" s="116" customFormat="1" ht="22.9" customHeight="1">
      <c r="A23" s="201" t="s">
        <v>118</v>
      </c>
      <c r="B23" s="202" t="s">
        <v>37</v>
      </c>
      <c r="C23" s="202" t="s">
        <v>103</v>
      </c>
      <c r="D23" s="203">
        <f>기준소요인력!D23*적용소요인력!$L$4</f>
        <v>5.8</v>
      </c>
      <c r="E23" s="203">
        <f>기준소요인력!E23*적용소요인력!$L$4</f>
        <v>10.4</v>
      </c>
      <c r="F23" s="203">
        <f>기준소요인력!F23*적용소요인력!$L$4</f>
        <v>13.8</v>
      </c>
      <c r="G23" s="203">
        <f>기준소요인력!G23*적용소요인력!$L$4</f>
        <v>13.8</v>
      </c>
      <c r="H23" s="203">
        <f>기준소요인력!H23*적용소요인력!$L$4</f>
        <v>7.95</v>
      </c>
      <c r="I23" s="203">
        <f>기준소요인력!I23*적용소요인력!$L$4</f>
        <v>0</v>
      </c>
      <c r="J23" s="204"/>
      <c r="O23" s="133"/>
      <c r="P23" s="133"/>
      <c r="Q23" s="134"/>
      <c r="R23" s="134"/>
      <c r="S23" s="134"/>
      <c r="T23" s="134"/>
      <c r="U23" s="134"/>
      <c r="V23" s="134"/>
    </row>
    <row r="24" spans="1:22" s="116" customFormat="1" ht="22.9" customHeight="1">
      <c r="A24" s="201" t="s">
        <v>127</v>
      </c>
      <c r="B24" s="202" t="s">
        <v>37</v>
      </c>
      <c r="C24" s="202" t="s">
        <v>103</v>
      </c>
      <c r="D24" s="203">
        <f>기준소요인력!D24*적용소요인력!$L$4</f>
        <v>5.8</v>
      </c>
      <c r="E24" s="203">
        <f>기준소요인력!E24*적용소요인력!$L$4</f>
        <v>10.4</v>
      </c>
      <c r="F24" s="203">
        <f>기준소요인력!F24*적용소요인력!$L$4</f>
        <v>13.8</v>
      </c>
      <c r="G24" s="203">
        <f>기준소요인력!G24*적용소요인력!$L$4</f>
        <v>13.8</v>
      </c>
      <c r="H24" s="203">
        <f>기준소요인력!H24*적용소요인력!$L$4</f>
        <v>7.95</v>
      </c>
      <c r="I24" s="203">
        <f>기준소요인력!I24*적용소요인력!$L$4</f>
        <v>0</v>
      </c>
      <c r="J24" s="204"/>
      <c r="O24" s="133"/>
      <c r="P24" s="133"/>
      <c r="Q24" s="134"/>
      <c r="R24" s="134"/>
      <c r="S24" s="134"/>
      <c r="T24" s="134"/>
      <c r="U24" s="134"/>
      <c r="V24" s="134"/>
    </row>
    <row r="25" spans="1:22" s="138" customFormat="1" ht="22.9" customHeight="1">
      <c r="A25" s="201" t="s">
        <v>215</v>
      </c>
      <c r="B25" s="202"/>
      <c r="C25" s="202"/>
      <c r="D25" s="203">
        <f t="shared" ref="D25:I25" si="7">SUM(D26:D29)</f>
        <v>15</v>
      </c>
      <c r="E25" s="203">
        <f t="shared" si="7"/>
        <v>24.5</v>
      </c>
      <c r="F25" s="203">
        <f t="shared" si="7"/>
        <v>30</v>
      </c>
      <c r="G25" s="203">
        <f t="shared" si="7"/>
        <v>29.5</v>
      </c>
      <c r="H25" s="203">
        <f t="shared" si="7"/>
        <v>26</v>
      </c>
      <c r="I25" s="203">
        <f t="shared" si="7"/>
        <v>3</v>
      </c>
      <c r="J25" s="204"/>
      <c r="O25" s="139"/>
      <c r="P25" s="139"/>
      <c r="Q25" s="140"/>
      <c r="R25" s="140"/>
      <c r="S25" s="140"/>
      <c r="T25" s="140"/>
      <c r="U25" s="140"/>
      <c r="V25" s="140"/>
    </row>
    <row r="26" spans="1:22" s="138" customFormat="1" ht="22.9" customHeight="1">
      <c r="A26" s="201" t="s">
        <v>220</v>
      </c>
      <c r="B26" s="202" t="s">
        <v>185</v>
      </c>
      <c r="C26" s="202" t="s">
        <v>104</v>
      </c>
      <c r="D26" s="203">
        <f>기준소요인력!D26*적용소요인력!$L$4</f>
        <v>0.5</v>
      </c>
      <c r="E26" s="203">
        <f>기준소요인력!E26*적용소요인력!$L$4</f>
        <v>0.5</v>
      </c>
      <c r="F26" s="203">
        <f>기준소요인력!F26*적용소요인력!$L$4</f>
        <v>1</v>
      </c>
      <c r="G26" s="203">
        <f>기준소요인력!G26*적용소요인력!$L$4</f>
        <v>1.5</v>
      </c>
      <c r="H26" s="203">
        <f>기준소요인력!H26*적용소요인력!$L$4</f>
        <v>1</v>
      </c>
      <c r="I26" s="203">
        <f>기준소요인력!I26*적용소요인력!$L$4</f>
        <v>0</v>
      </c>
      <c r="J26" s="204"/>
      <c r="O26" s="139"/>
      <c r="P26" s="139"/>
      <c r="Q26" s="140"/>
      <c r="R26" s="140"/>
      <c r="S26" s="140"/>
      <c r="T26" s="140"/>
      <c r="U26" s="140"/>
      <c r="V26" s="140"/>
    </row>
    <row r="27" spans="1:22" s="189" customFormat="1" ht="22.9" customHeight="1">
      <c r="A27" s="206" t="s">
        <v>221</v>
      </c>
      <c r="B27" s="207" t="s">
        <v>212</v>
      </c>
      <c r="C27" s="207" t="s">
        <v>61</v>
      </c>
      <c r="D27" s="208">
        <f>기준소요인력!D27*적용소요인력!$L$4</f>
        <v>10.5</v>
      </c>
      <c r="E27" s="208">
        <f>기준소요인력!E27*적용소요인력!$L$4</f>
        <v>17</v>
      </c>
      <c r="F27" s="208">
        <f>기준소요인력!F27*적용소요인력!$L$4</f>
        <v>22</v>
      </c>
      <c r="G27" s="208">
        <f>기준소요인력!G27*적용소요인력!$L$4</f>
        <v>23</v>
      </c>
      <c r="H27" s="208">
        <f>기준소요인력!H27*적용소요인력!$L$4</f>
        <v>19.5</v>
      </c>
      <c r="I27" s="208">
        <f>기준소요인력!I27*적용소요인력!$L$4</f>
        <v>3</v>
      </c>
      <c r="J27" s="209"/>
      <c r="O27" s="190"/>
      <c r="P27" s="190"/>
      <c r="Q27" s="191"/>
      <c r="R27" s="191"/>
      <c r="S27" s="191"/>
      <c r="T27" s="191"/>
      <c r="U27" s="191"/>
      <c r="V27" s="191"/>
    </row>
    <row r="28" spans="1:22" s="189" customFormat="1" ht="22.9" customHeight="1">
      <c r="A28" s="206" t="s">
        <v>244</v>
      </c>
      <c r="B28" s="207" t="s">
        <v>245</v>
      </c>
      <c r="C28" s="207" t="s">
        <v>218</v>
      </c>
      <c r="D28" s="240">
        <f>기준소요인력!D28*적용소요인력!$L$4</f>
        <v>3</v>
      </c>
      <c r="E28" s="240">
        <f>기준소요인력!E28*적용소요인력!$L$4</f>
        <v>5.5</v>
      </c>
      <c r="F28" s="240">
        <f>기준소요인력!F28*적용소요인력!$L$4</f>
        <v>4.5</v>
      </c>
      <c r="G28" s="240">
        <f>기준소요인력!G28*적용소요인력!$L$4</f>
        <v>3</v>
      </c>
      <c r="H28" s="240">
        <f>기준소요인력!H28*적용소요인력!$L$4</f>
        <v>2</v>
      </c>
      <c r="I28" s="240">
        <f>기준소요인력!I28*적용소요인력!$L$4</f>
        <v>0</v>
      </c>
      <c r="J28" s="209"/>
      <c r="O28" s="190"/>
      <c r="P28" s="190"/>
      <c r="Q28" s="191"/>
      <c r="R28" s="191"/>
      <c r="S28" s="191"/>
      <c r="T28" s="191"/>
      <c r="U28" s="191"/>
      <c r="V28" s="191"/>
    </row>
    <row r="29" spans="1:22" s="189" customFormat="1" ht="22.9" customHeight="1">
      <c r="A29" s="206" t="s">
        <v>222</v>
      </c>
      <c r="B29" s="207" t="s">
        <v>246</v>
      </c>
      <c r="C29" s="207" t="s">
        <v>61</v>
      </c>
      <c r="D29" s="208">
        <f>기준소요인력!D29*적용소요인력!$L$4</f>
        <v>1</v>
      </c>
      <c r="E29" s="208">
        <f>기준소요인력!E29*적용소요인력!$L$4</f>
        <v>1.5</v>
      </c>
      <c r="F29" s="208">
        <f>기준소요인력!F29*적용소요인력!$L$4</f>
        <v>2.5</v>
      </c>
      <c r="G29" s="208">
        <f>기준소요인력!G29*적용소요인력!$L$4</f>
        <v>2</v>
      </c>
      <c r="H29" s="208">
        <f>기준소요인력!H29*적용소요인력!$L$4</f>
        <v>3.5</v>
      </c>
      <c r="I29" s="208">
        <f>기준소요인력!I29*적용소요인력!$L$4</f>
        <v>0</v>
      </c>
      <c r="J29" s="209"/>
      <c r="O29" s="190"/>
      <c r="P29" s="190"/>
      <c r="Q29" s="191"/>
      <c r="R29" s="191"/>
      <c r="S29" s="191"/>
      <c r="T29" s="191"/>
      <c r="U29" s="191"/>
      <c r="V29" s="191"/>
    </row>
    <row r="30" spans="1:22" s="116" customFormat="1" ht="22.9" customHeight="1">
      <c r="A30" s="197" t="s">
        <v>1995</v>
      </c>
      <c r="B30" s="202"/>
      <c r="C30" s="202"/>
      <c r="D30" s="199">
        <f t="shared" ref="D30:I30" si="8">SUM(D31:D32)</f>
        <v>1.8</v>
      </c>
      <c r="E30" s="199">
        <f t="shared" si="8"/>
        <v>3</v>
      </c>
      <c r="F30" s="199">
        <f t="shared" si="8"/>
        <v>5.2</v>
      </c>
      <c r="G30" s="199">
        <f t="shared" si="8"/>
        <v>6.6</v>
      </c>
      <c r="H30" s="199">
        <f t="shared" si="8"/>
        <v>4</v>
      </c>
      <c r="I30" s="199">
        <f t="shared" si="8"/>
        <v>0</v>
      </c>
      <c r="J30" s="200"/>
    </row>
    <row r="31" spans="1:22" s="116" customFormat="1" ht="22.9" customHeight="1">
      <c r="A31" s="201" t="s">
        <v>1996</v>
      </c>
      <c r="B31" s="211" t="s">
        <v>56</v>
      </c>
      <c r="C31" s="202" t="s">
        <v>103</v>
      </c>
      <c r="D31" s="203">
        <f>기준소요인력!D31*적용소요인력!$L$4</f>
        <v>0.7</v>
      </c>
      <c r="E31" s="203">
        <f>기준소요인력!E31*적용소요인력!$L$4</f>
        <v>1.3</v>
      </c>
      <c r="F31" s="203">
        <f>기준소요인력!F31*적용소요인력!$L$4</f>
        <v>2.5</v>
      </c>
      <c r="G31" s="203">
        <f>기준소요인력!G31*적용소요인력!$L$4</f>
        <v>3.6</v>
      </c>
      <c r="H31" s="203">
        <f>기준소요인력!H31*적용소요인력!$L$4</f>
        <v>1.8</v>
      </c>
      <c r="I31" s="203">
        <f>기준소요인력!I31*적용소요인력!$L$4</f>
        <v>0</v>
      </c>
      <c r="J31" s="204"/>
      <c r="O31" s="55"/>
      <c r="P31" s="55"/>
      <c r="Q31" s="152"/>
      <c r="R31" s="152"/>
      <c r="S31" s="152"/>
      <c r="T31" s="152"/>
      <c r="U31" s="152"/>
      <c r="V31" s="152"/>
    </row>
    <row r="32" spans="1:22" ht="22.9" customHeight="1">
      <c r="A32" s="210" t="s">
        <v>1997</v>
      </c>
      <c r="B32" s="211" t="s">
        <v>56</v>
      </c>
      <c r="C32" s="202" t="s">
        <v>103</v>
      </c>
      <c r="D32" s="212">
        <f>기준소요인력!D32*적용소요인력!$L$4</f>
        <v>1.1000000000000001</v>
      </c>
      <c r="E32" s="212">
        <f>기준소요인력!E32*적용소요인력!$L$4</f>
        <v>1.7</v>
      </c>
      <c r="F32" s="212">
        <f>기준소요인력!F32*적용소요인력!$L$4</f>
        <v>2.7</v>
      </c>
      <c r="G32" s="212">
        <f>기준소요인력!G32*적용소요인력!$L$4</f>
        <v>3</v>
      </c>
      <c r="H32" s="212">
        <f>기준소요인력!H32*적용소요인력!$L$4</f>
        <v>2.2000000000000002</v>
      </c>
      <c r="I32" s="212">
        <f>기준소요인력!I32*적용소요인력!$L$4</f>
        <v>0</v>
      </c>
      <c r="J32" s="213"/>
    </row>
  </sheetData>
  <mergeCells count="5">
    <mergeCell ref="A2:A3"/>
    <mergeCell ref="B2:B3"/>
    <mergeCell ref="C2:C3"/>
    <mergeCell ref="D2:I2"/>
    <mergeCell ref="J2:J3"/>
  </mergeCells>
  <phoneticPr fontId="181" type="noConversion"/>
  <printOptions horizontalCentered="1"/>
  <pageMargins left="0.27559055118110237" right="0.27559055118110237" top="0.39370078740157483" bottom="0.39370078740157483" header="0.19685039370078741" footer="0.19685039370078741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5C1AE-2C8E-49E1-983B-CB7256F69F46}">
  <sheetPr>
    <tabColor rgb="FF92D050"/>
  </sheetPr>
  <dimension ref="A1:V32"/>
  <sheetViews>
    <sheetView view="pageBreakPreview" zoomScale="70" zoomScaleNormal="100" zoomScaleSheetLayoutView="70" workbookViewId="0">
      <pane xSplit="3" ySplit="3" topLeftCell="D4" activePane="bottomRight" state="frozen"/>
      <selection pane="topRight"/>
      <selection pane="bottomLeft"/>
      <selection pane="bottomRight" activeCell="I9" sqref="I9"/>
    </sheetView>
  </sheetViews>
  <sheetFormatPr defaultColWidth="8.77734375" defaultRowHeight="19.5" customHeight="1"/>
  <cols>
    <col min="1" max="1" width="31.6640625" style="36" customWidth="1"/>
    <col min="2" max="2" width="13.44140625" style="36" bestFit="1" customWidth="1"/>
    <col min="3" max="3" width="20.5546875" style="125" customWidth="1"/>
    <col min="4" max="4" width="10.6640625" style="126" customWidth="1"/>
    <col min="5" max="9" width="10.6640625" style="125" customWidth="1"/>
    <col min="10" max="10" width="25.5546875" style="125" bestFit="1" customWidth="1"/>
    <col min="11" max="11" width="24.109375" style="36" bestFit="1" customWidth="1"/>
    <col min="12" max="256" width="8.77734375" style="36"/>
    <col min="257" max="257" width="30.77734375" style="36" customWidth="1"/>
    <col min="258" max="258" width="9.77734375" style="36" customWidth="1"/>
    <col min="259" max="259" width="15.77734375" style="36" customWidth="1"/>
    <col min="260" max="265" width="13.77734375" style="36" customWidth="1"/>
    <col min="266" max="266" width="20.77734375" style="36" customWidth="1"/>
    <col min="267" max="267" width="5.77734375" style="36" customWidth="1"/>
    <col min="268" max="512" width="8.77734375" style="36"/>
    <col min="513" max="513" width="30.77734375" style="36" customWidth="1"/>
    <col min="514" max="514" width="9.77734375" style="36" customWidth="1"/>
    <col min="515" max="515" width="15.77734375" style="36" customWidth="1"/>
    <col min="516" max="521" width="13.77734375" style="36" customWidth="1"/>
    <col min="522" max="522" width="20.77734375" style="36" customWidth="1"/>
    <col min="523" max="523" width="5.77734375" style="36" customWidth="1"/>
    <col min="524" max="768" width="8.77734375" style="36"/>
    <col min="769" max="769" width="30.77734375" style="36" customWidth="1"/>
    <col min="770" max="770" width="9.77734375" style="36" customWidth="1"/>
    <col min="771" max="771" width="15.77734375" style="36" customWidth="1"/>
    <col min="772" max="777" width="13.77734375" style="36" customWidth="1"/>
    <col min="778" max="778" width="20.77734375" style="36" customWidth="1"/>
    <col min="779" max="779" width="5.77734375" style="36" customWidth="1"/>
    <col min="780" max="1024" width="8.77734375" style="36"/>
    <col min="1025" max="1025" width="30.77734375" style="36" customWidth="1"/>
    <col min="1026" max="1026" width="9.77734375" style="36" customWidth="1"/>
    <col min="1027" max="1027" width="15.77734375" style="36" customWidth="1"/>
    <col min="1028" max="1033" width="13.77734375" style="36" customWidth="1"/>
    <col min="1034" max="1034" width="20.77734375" style="36" customWidth="1"/>
    <col min="1035" max="1035" width="5.77734375" style="36" customWidth="1"/>
    <col min="1036" max="1280" width="8.77734375" style="36"/>
    <col min="1281" max="1281" width="30.77734375" style="36" customWidth="1"/>
    <col min="1282" max="1282" width="9.77734375" style="36" customWidth="1"/>
    <col min="1283" max="1283" width="15.77734375" style="36" customWidth="1"/>
    <col min="1284" max="1289" width="13.77734375" style="36" customWidth="1"/>
    <col min="1290" max="1290" width="20.77734375" style="36" customWidth="1"/>
    <col min="1291" max="1291" width="5.77734375" style="36" customWidth="1"/>
    <col min="1292" max="1536" width="8.77734375" style="36"/>
    <col min="1537" max="1537" width="30.77734375" style="36" customWidth="1"/>
    <col min="1538" max="1538" width="9.77734375" style="36" customWidth="1"/>
    <col min="1539" max="1539" width="15.77734375" style="36" customWidth="1"/>
    <col min="1540" max="1545" width="13.77734375" style="36" customWidth="1"/>
    <col min="1546" max="1546" width="20.77734375" style="36" customWidth="1"/>
    <col min="1547" max="1547" width="5.77734375" style="36" customWidth="1"/>
    <col min="1548" max="1792" width="8.77734375" style="36"/>
    <col min="1793" max="1793" width="30.77734375" style="36" customWidth="1"/>
    <col min="1794" max="1794" width="9.77734375" style="36" customWidth="1"/>
    <col min="1795" max="1795" width="15.77734375" style="36" customWidth="1"/>
    <col min="1796" max="1801" width="13.77734375" style="36" customWidth="1"/>
    <col min="1802" max="1802" width="20.77734375" style="36" customWidth="1"/>
    <col min="1803" max="1803" width="5.77734375" style="36" customWidth="1"/>
    <col min="1804" max="2048" width="8.77734375" style="36"/>
    <col min="2049" max="2049" width="30.77734375" style="36" customWidth="1"/>
    <col min="2050" max="2050" width="9.77734375" style="36" customWidth="1"/>
    <col min="2051" max="2051" width="15.77734375" style="36" customWidth="1"/>
    <col min="2052" max="2057" width="13.77734375" style="36" customWidth="1"/>
    <col min="2058" max="2058" width="20.77734375" style="36" customWidth="1"/>
    <col min="2059" max="2059" width="5.77734375" style="36" customWidth="1"/>
    <col min="2060" max="2304" width="8.77734375" style="36"/>
    <col min="2305" max="2305" width="30.77734375" style="36" customWidth="1"/>
    <col min="2306" max="2306" width="9.77734375" style="36" customWidth="1"/>
    <col min="2307" max="2307" width="15.77734375" style="36" customWidth="1"/>
    <col min="2308" max="2313" width="13.77734375" style="36" customWidth="1"/>
    <col min="2314" max="2314" width="20.77734375" style="36" customWidth="1"/>
    <col min="2315" max="2315" width="5.77734375" style="36" customWidth="1"/>
    <col min="2316" max="2560" width="8.77734375" style="36"/>
    <col min="2561" max="2561" width="30.77734375" style="36" customWidth="1"/>
    <col min="2562" max="2562" width="9.77734375" style="36" customWidth="1"/>
    <col min="2563" max="2563" width="15.77734375" style="36" customWidth="1"/>
    <col min="2564" max="2569" width="13.77734375" style="36" customWidth="1"/>
    <col min="2570" max="2570" width="20.77734375" style="36" customWidth="1"/>
    <col min="2571" max="2571" width="5.77734375" style="36" customWidth="1"/>
    <col min="2572" max="2816" width="8.77734375" style="36"/>
    <col min="2817" max="2817" width="30.77734375" style="36" customWidth="1"/>
    <col min="2818" max="2818" width="9.77734375" style="36" customWidth="1"/>
    <col min="2819" max="2819" width="15.77734375" style="36" customWidth="1"/>
    <col min="2820" max="2825" width="13.77734375" style="36" customWidth="1"/>
    <col min="2826" max="2826" width="20.77734375" style="36" customWidth="1"/>
    <col min="2827" max="2827" width="5.77734375" style="36" customWidth="1"/>
    <col min="2828" max="3072" width="8.77734375" style="36"/>
    <col min="3073" max="3073" width="30.77734375" style="36" customWidth="1"/>
    <col min="3074" max="3074" width="9.77734375" style="36" customWidth="1"/>
    <col min="3075" max="3075" width="15.77734375" style="36" customWidth="1"/>
    <col min="3076" max="3081" width="13.77734375" style="36" customWidth="1"/>
    <col min="3082" max="3082" width="20.77734375" style="36" customWidth="1"/>
    <col min="3083" max="3083" width="5.77734375" style="36" customWidth="1"/>
    <col min="3084" max="3328" width="8.77734375" style="36"/>
    <col min="3329" max="3329" width="30.77734375" style="36" customWidth="1"/>
    <col min="3330" max="3330" width="9.77734375" style="36" customWidth="1"/>
    <col min="3331" max="3331" width="15.77734375" style="36" customWidth="1"/>
    <col min="3332" max="3337" width="13.77734375" style="36" customWidth="1"/>
    <col min="3338" max="3338" width="20.77734375" style="36" customWidth="1"/>
    <col min="3339" max="3339" width="5.77734375" style="36" customWidth="1"/>
    <col min="3340" max="3584" width="8.77734375" style="36"/>
    <col min="3585" max="3585" width="30.77734375" style="36" customWidth="1"/>
    <col min="3586" max="3586" width="9.77734375" style="36" customWidth="1"/>
    <col min="3587" max="3587" width="15.77734375" style="36" customWidth="1"/>
    <col min="3588" max="3593" width="13.77734375" style="36" customWidth="1"/>
    <col min="3594" max="3594" width="20.77734375" style="36" customWidth="1"/>
    <col min="3595" max="3595" width="5.77734375" style="36" customWidth="1"/>
    <col min="3596" max="3840" width="8.77734375" style="36"/>
    <col min="3841" max="3841" width="30.77734375" style="36" customWidth="1"/>
    <col min="3842" max="3842" width="9.77734375" style="36" customWidth="1"/>
    <col min="3843" max="3843" width="15.77734375" style="36" customWidth="1"/>
    <col min="3844" max="3849" width="13.77734375" style="36" customWidth="1"/>
    <col min="3850" max="3850" width="20.77734375" style="36" customWidth="1"/>
    <col min="3851" max="3851" width="5.77734375" style="36" customWidth="1"/>
    <col min="3852" max="4096" width="8.77734375" style="36"/>
    <col min="4097" max="4097" width="30.77734375" style="36" customWidth="1"/>
    <col min="4098" max="4098" width="9.77734375" style="36" customWidth="1"/>
    <col min="4099" max="4099" width="15.77734375" style="36" customWidth="1"/>
    <col min="4100" max="4105" width="13.77734375" style="36" customWidth="1"/>
    <col min="4106" max="4106" width="20.77734375" style="36" customWidth="1"/>
    <col min="4107" max="4107" width="5.77734375" style="36" customWidth="1"/>
    <col min="4108" max="4352" width="8.77734375" style="36"/>
    <col min="4353" max="4353" width="30.77734375" style="36" customWidth="1"/>
    <col min="4354" max="4354" width="9.77734375" style="36" customWidth="1"/>
    <col min="4355" max="4355" width="15.77734375" style="36" customWidth="1"/>
    <col min="4356" max="4361" width="13.77734375" style="36" customWidth="1"/>
    <col min="4362" max="4362" width="20.77734375" style="36" customWidth="1"/>
    <col min="4363" max="4363" width="5.77734375" style="36" customWidth="1"/>
    <col min="4364" max="4608" width="8.77734375" style="36"/>
    <col min="4609" max="4609" width="30.77734375" style="36" customWidth="1"/>
    <col min="4610" max="4610" width="9.77734375" style="36" customWidth="1"/>
    <col min="4611" max="4611" width="15.77734375" style="36" customWidth="1"/>
    <col min="4612" max="4617" width="13.77734375" style="36" customWidth="1"/>
    <col min="4618" max="4618" width="20.77734375" style="36" customWidth="1"/>
    <col min="4619" max="4619" width="5.77734375" style="36" customWidth="1"/>
    <col min="4620" max="4864" width="8.77734375" style="36"/>
    <col min="4865" max="4865" width="30.77734375" style="36" customWidth="1"/>
    <col min="4866" max="4866" width="9.77734375" style="36" customWidth="1"/>
    <col min="4867" max="4867" width="15.77734375" style="36" customWidth="1"/>
    <col min="4868" max="4873" width="13.77734375" style="36" customWidth="1"/>
    <col min="4874" max="4874" width="20.77734375" style="36" customWidth="1"/>
    <col min="4875" max="4875" width="5.77734375" style="36" customWidth="1"/>
    <col min="4876" max="5120" width="8.77734375" style="36"/>
    <col min="5121" max="5121" width="30.77734375" style="36" customWidth="1"/>
    <col min="5122" max="5122" width="9.77734375" style="36" customWidth="1"/>
    <col min="5123" max="5123" width="15.77734375" style="36" customWidth="1"/>
    <col min="5124" max="5129" width="13.77734375" style="36" customWidth="1"/>
    <col min="5130" max="5130" width="20.77734375" style="36" customWidth="1"/>
    <col min="5131" max="5131" width="5.77734375" style="36" customWidth="1"/>
    <col min="5132" max="5376" width="8.77734375" style="36"/>
    <col min="5377" max="5377" width="30.77734375" style="36" customWidth="1"/>
    <col min="5378" max="5378" width="9.77734375" style="36" customWidth="1"/>
    <col min="5379" max="5379" width="15.77734375" style="36" customWidth="1"/>
    <col min="5380" max="5385" width="13.77734375" style="36" customWidth="1"/>
    <col min="5386" max="5386" width="20.77734375" style="36" customWidth="1"/>
    <col min="5387" max="5387" width="5.77734375" style="36" customWidth="1"/>
    <col min="5388" max="5632" width="8.77734375" style="36"/>
    <col min="5633" max="5633" width="30.77734375" style="36" customWidth="1"/>
    <col min="5634" max="5634" width="9.77734375" style="36" customWidth="1"/>
    <col min="5635" max="5635" width="15.77734375" style="36" customWidth="1"/>
    <col min="5636" max="5641" width="13.77734375" style="36" customWidth="1"/>
    <col min="5642" max="5642" width="20.77734375" style="36" customWidth="1"/>
    <col min="5643" max="5643" width="5.77734375" style="36" customWidth="1"/>
    <col min="5644" max="5888" width="8.77734375" style="36"/>
    <col min="5889" max="5889" width="30.77734375" style="36" customWidth="1"/>
    <col min="5890" max="5890" width="9.77734375" style="36" customWidth="1"/>
    <col min="5891" max="5891" width="15.77734375" style="36" customWidth="1"/>
    <col min="5892" max="5897" width="13.77734375" style="36" customWidth="1"/>
    <col min="5898" max="5898" width="20.77734375" style="36" customWidth="1"/>
    <col min="5899" max="5899" width="5.77734375" style="36" customWidth="1"/>
    <col min="5900" max="6144" width="8.77734375" style="36"/>
    <col min="6145" max="6145" width="30.77734375" style="36" customWidth="1"/>
    <col min="6146" max="6146" width="9.77734375" style="36" customWidth="1"/>
    <col min="6147" max="6147" width="15.77734375" style="36" customWidth="1"/>
    <col min="6148" max="6153" width="13.77734375" style="36" customWidth="1"/>
    <col min="6154" max="6154" width="20.77734375" style="36" customWidth="1"/>
    <col min="6155" max="6155" width="5.77734375" style="36" customWidth="1"/>
    <col min="6156" max="6400" width="8.77734375" style="36"/>
    <col min="6401" max="6401" width="30.77734375" style="36" customWidth="1"/>
    <col min="6402" max="6402" width="9.77734375" style="36" customWidth="1"/>
    <col min="6403" max="6403" width="15.77734375" style="36" customWidth="1"/>
    <col min="6404" max="6409" width="13.77734375" style="36" customWidth="1"/>
    <col min="6410" max="6410" width="20.77734375" style="36" customWidth="1"/>
    <col min="6411" max="6411" width="5.77734375" style="36" customWidth="1"/>
    <col min="6412" max="6656" width="8.77734375" style="36"/>
    <col min="6657" max="6657" width="30.77734375" style="36" customWidth="1"/>
    <col min="6658" max="6658" width="9.77734375" style="36" customWidth="1"/>
    <col min="6659" max="6659" width="15.77734375" style="36" customWidth="1"/>
    <col min="6660" max="6665" width="13.77734375" style="36" customWidth="1"/>
    <col min="6666" max="6666" width="20.77734375" style="36" customWidth="1"/>
    <col min="6667" max="6667" width="5.77734375" style="36" customWidth="1"/>
    <col min="6668" max="6912" width="8.77734375" style="36"/>
    <col min="6913" max="6913" width="30.77734375" style="36" customWidth="1"/>
    <col min="6914" max="6914" width="9.77734375" style="36" customWidth="1"/>
    <col min="6915" max="6915" width="15.77734375" style="36" customWidth="1"/>
    <col min="6916" max="6921" width="13.77734375" style="36" customWidth="1"/>
    <col min="6922" max="6922" width="20.77734375" style="36" customWidth="1"/>
    <col min="6923" max="6923" width="5.77734375" style="36" customWidth="1"/>
    <col min="6924" max="7168" width="8.77734375" style="36"/>
    <col min="7169" max="7169" width="30.77734375" style="36" customWidth="1"/>
    <col min="7170" max="7170" width="9.77734375" style="36" customWidth="1"/>
    <col min="7171" max="7171" width="15.77734375" style="36" customWidth="1"/>
    <col min="7172" max="7177" width="13.77734375" style="36" customWidth="1"/>
    <col min="7178" max="7178" width="20.77734375" style="36" customWidth="1"/>
    <col min="7179" max="7179" width="5.77734375" style="36" customWidth="1"/>
    <col min="7180" max="7424" width="8.77734375" style="36"/>
    <col min="7425" max="7425" width="30.77734375" style="36" customWidth="1"/>
    <col min="7426" max="7426" width="9.77734375" style="36" customWidth="1"/>
    <col min="7427" max="7427" width="15.77734375" style="36" customWidth="1"/>
    <col min="7428" max="7433" width="13.77734375" style="36" customWidth="1"/>
    <col min="7434" max="7434" width="20.77734375" style="36" customWidth="1"/>
    <col min="7435" max="7435" width="5.77734375" style="36" customWidth="1"/>
    <col min="7436" max="7680" width="8.77734375" style="36"/>
    <col min="7681" max="7681" width="30.77734375" style="36" customWidth="1"/>
    <col min="7682" max="7682" width="9.77734375" style="36" customWidth="1"/>
    <col min="7683" max="7683" width="15.77734375" style="36" customWidth="1"/>
    <col min="7684" max="7689" width="13.77734375" style="36" customWidth="1"/>
    <col min="7690" max="7690" width="20.77734375" style="36" customWidth="1"/>
    <col min="7691" max="7691" width="5.77734375" style="36" customWidth="1"/>
    <col min="7692" max="7936" width="8.77734375" style="36"/>
    <col min="7937" max="7937" width="30.77734375" style="36" customWidth="1"/>
    <col min="7938" max="7938" width="9.77734375" style="36" customWidth="1"/>
    <col min="7939" max="7939" width="15.77734375" style="36" customWidth="1"/>
    <col min="7940" max="7945" width="13.77734375" style="36" customWidth="1"/>
    <col min="7946" max="7946" width="20.77734375" style="36" customWidth="1"/>
    <col min="7947" max="7947" width="5.77734375" style="36" customWidth="1"/>
    <col min="7948" max="8192" width="8.77734375" style="36"/>
    <col min="8193" max="8193" width="30.77734375" style="36" customWidth="1"/>
    <col min="8194" max="8194" width="9.77734375" style="36" customWidth="1"/>
    <col min="8195" max="8195" width="15.77734375" style="36" customWidth="1"/>
    <col min="8196" max="8201" width="13.77734375" style="36" customWidth="1"/>
    <col min="8202" max="8202" width="20.77734375" style="36" customWidth="1"/>
    <col min="8203" max="8203" width="5.77734375" style="36" customWidth="1"/>
    <col min="8204" max="8448" width="8.77734375" style="36"/>
    <col min="8449" max="8449" width="30.77734375" style="36" customWidth="1"/>
    <col min="8450" max="8450" width="9.77734375" style="36" customWidth="1"/>
    <col min="8451" max="8451" width="15.77734375" style="36" customWidth="1"/>
    <col min="8452" max="8457" width="13.77734375" style="36" customWidth="1"/>
    <col min="8458" max="8458" width="20.77734375" style="36" customWidth="1"/>
    <col min="8459" max="8459" width="5.77734375" style="36" customWidth="1"/>
    <col min="8460" max="8704" width="8.77734375" style="36"/>
    <col min="8705" max="8705" width="30.77734375" style="36" customWidth="1"/>
    <col min="8706" max="8706" width="9.77734375" style="36" customWidth="1"/>
    <col min="8707" max="8707" width="15.77734375" style="36" customWidth="1"/>
    <col min="8708" max="8713" width="13.77734375" style="36" customWidth="1"/>
    <col min="8714" max="8714" width="20.77734375" style="36" customWidth="1"/>
    <col min="8715" max="8715" width="5.77734375" style="36" customWidth="1"/>
    <col min="8716" max="8960" width="8.77734375" style="36"/>
    <col min="8961" max="8961" width="30.77734375" style="36" customWidth="1"/>
    <col min="8962" max="8962" width="9.77734375" style="36" customWidth="1"/>
    <col min="8963" max="8963" width="15.77734375" style="36" customWidth="1"/>
    <col min="8964" max="8969" width="13.77734375" style="36" customWidth="1"/>
    <col min="8970" max="8970" width="20.77734375" style="36" customWidth="1"/>
    <col min="8971" max="8971" width="5.77734375" style="36" customWidth="1"/>
    <col min="8972" max="9216" width="8.77734375" style="36"/>
    <col min="9217" max="9217" width="30.77734375" style="36" customWidth="1"/>
    <col min="9218" max="9218" width="9.77734375" style="36" customWidth="1"/>
    <col min="9219" max="9219" width="15.77734375" style="36" customWidth="1"/>
    <col min="9220" max="9225" width="13.77734375" style="36" customWidth="1"/>
    <col min="9226" max="9226" width="20.77734375" style="36" customWidth="1"/>
    <col min="9227" max="9227" width="5.77734375" style="36" customWidth="1"/>
    <col min="9228" max="9472" width="8.77734375" style="36"/>
    <col min="9473" max="9473" width="30.77734375" style="36" customWidth="1"/>
    <col min="9474" max="9474" width="9.77734375" style="36" customWidth="1"/>
    <col min="9475" max="9475" width="15.77734375" style="36" customWidth="1"/>
    <col min="9476" max="9481" width="13.77734375" style="36" customWidth="1"/>
    <col min="9482" max="9482" width="20.77734375" style="36" customWidth="1"/>
    <col min="9483" max="9483" width="5.77734375" style="36" customWidth="1"/>
    <col min="9484" max="9728" width="8.77734375" style="36"/>
    <col min="9729" max="9729" width="30.77734375" style="36" customWidth="1"/>
    <col min="9730" max="9730" width="9.77734375" style="36" customWidth="1"/>
    <col min="9731" max="9731" width="15.77734375" style="36" customWidth="1"/>
    <col min="9732" max="9737" width="13.77734375" style="36" customWidth="1"/>
    <col min="9738" max="9738" width="20.77734375" style="36" customWidth="1"/>
    <col min="9739" max="9739" width="5.77734375" style="36" customWidth="1"/>
    <col min="9740" max="9984" width="8.77734375" style="36"/>
    <col min="9985" max="9985" width="30.77734375" style="36" customWidth="1"/>
    <col min="9986" max="9986" width="9.77734375" style="36" customWidth="1"/>
    <col min="9987" max="9987" width="15.77734375" style="36" customWidth="1"/>
    <col min="9988" max="9993" width="13.77734375" style="36" customWidth="1"/>
    <col min="9994" max="9994" width="20.77734375" style="36" customWidth="1"/>
    <col min="9995" max="9995" width="5.77734375" style="36" customWidth="1"/>
    <col min="9996" max="10240" width="8.77734375" style="36"/>
    <col min="10241" max="10241" width="30.77734375" style="36" customWidth="1"/>
    <col min="10242" max="10242" width="9.77734375" style="36" customWidth="1"/>
    <col min="10243" max="10243" width="15.77734375" style="36" customWidth="1"/>
    <col min="10244" max="10249" width="13.77734375" style="36" customWidth="1"/>
    <col min="10250" max="10250" width="20.77734375" style="36" customWidth="1"/>
    <col min="10251" max="10251" width="5.77734375" style="36" customWidth="1"/>
    <col min="10252" max="10496" width="8.77734375" style="36"/>
    <col min="10497" max="10497" width="30.77734375" style="36" customWidth="1"/>
    <col min="10498" max="10498" width="9.77734375" style="36" customWidth="1"/>
    <col min="10499" max="10499" width="15.77734375" style="36" customWidth="1"/>
    <col min="10500" max="10505" width="13.77734375" style="36" customWidth="1"/>
    <col min="10506" max="10506" width="20.77734375" style="36" customWidth="1"/>
    <col min="10507" max="10507" width="5.77734375" style="36" customWidth="1"/>
    <col min="10508" max="10752" width="8.77734375" style="36"/>
    <col min="10753" max="10753" width="30.77734375" style="36" customWidth="1"/>
    <col min="10754" max="10754" width="9.77734375" style="36" customWidth="1"/>
    <col min="10755" max="10755" width="15.77734375" style="36" customWidth="1"/>
    <col min="10756" max="10761" width="13.77734375" style="36" customWidth="1"/>
    <col min="10762" max="10762" width="20.77734375" style="36" customWidth="1"/>
    <col min="10763" max="10763" width="5.77734375" style="36" customWidth="1"/>
    <col min="10764" max="11008" width="8.77734375" style="36"/>
    <col min="11009" max="11009" width="30.77734375" style="36" customWidth="1"/>
    <col min="11010" max="11010" width="9.77734375" style="36" customWidth="1"/>
    <col min="11011" max="11011" width="15.77734375" style="36" customWidth="1"/>
    <col min="11012" max="11017" width="13.77734375" style="36" customWidth="1"/>
    <col min="11018" max="11018" width="20.77734375" style="36" customWidth="1"/>
    <col min="11019" max="11019" width="5.77734375" style="36" customWidth="1"/>
    <col min="11020" max="11264" width="8.77734375" style="36"/>
    <col min="11265" max="11265" width="30.77734375" style="36" customWidth="1"/>
    <col min="11266" max="11266" width="9.77734375" style="36" customWidth="1"/>
    <col min="11267" max="11267" width="15.77734375" style="36" customWidth="1"/>
    <col min="11268" max="11273" width="13.77734375" style="36" customWidth="1"/>
    <col min="11274" max="11274" width="20.77734375" style="36" customWidth="1"/>
    <col min="11275" max="11275" width="5.77734375" style="36" customWidth="1"/>
    <col min="11276" max="11520" width="8.77734375" style="36"/>
    <col min="11521" max="11521" width="30.77734375" style="36" customWidth="1"/>
    <col min="11522" max="11522" width="9.77734375" style="36" customWidth="1"/>
    <col min="11523" max="11523" width="15.77734375" style="36" customWidth="1"/>
    <col min="11524" max="11529" width="13.77734375" style="36" customWidth="1"/>
    <col min="11530" max="11530" width="20.77734375" style="36" customWidth="1"/>
    <col min="11531" max="11531" width="5.77734375" style="36" customWidth="1"/>
    <col min="11532" max="11776" width="8.77734375" style="36"/>
    <col min="11777" max="11777" width="30.77734375" style="36" customWidth="1"/>
    <col min="11778" max="11778" width="9.77734375" style="36" customWidth="1"/>
    <col min="11779" max="11779" width="15.77734375" style="36" customWidth="1"/>
    <col min="11780" max="11785" width="13.77734375" style="36" customWidth="1"/>
    <col min="11786" max="11786" width="20.77734375" style="36" customWidth="1"/>
    <col min="11787" max="11787" width="5.77734375" style="36" customWidth="1"/>
    <col min="11788" max="12032" width="8.77734375" style="36"/>
    <col min="12033" max="12033" width="30.77734375" style="36" customWidth="1"/>
    <col min="12034" max="12034" width="9.77734375" style="36" customWidth="1"/>
    <col min="12035" max="12035" width="15.77734375" style="36" customWidth="1"/>
    <col min="12036" max="12041" width="13.77734375" style="36" customWidth="1"/>
    <col min="12042" max="12042" width="20.77734375" style="36" customWidth="1"/>
    <col min="12043" max="12043" width="5.77734375" style="36" customWidth="1"/>
    <col min="12044" max="12288" width="8.77734375" style="36"/>
    <col min="12289" max="12289" width="30.77734375" style="36" customWidth="1"/>
    <col min="12290" max="12290" width="9.77734375" style="36" customWidth="1"/>
    <col min="12291" max="12291" width="15.77734375" style="36" customWidth="1"/>
    <col min="12292" max="12297" width="13.77734375" style="36" customWidth="1"/>
    <col min="12298" max="12298" width="20.77734375" style="36" customWidth="1"/>
    <col min="12299" max="12299" width="5.77734375" style="36" customWidth="1"/>
    <col min="12300" max="12544" width="8.77734375" style="36"/>
    <col min="12545" max="12545" width="30.77734375" style="36" customWidth="1"/>
    <col min="12546" max="12546" width="9.77734375" style="36" customWidth="1"/>
    <col min="12547" max="12547" width="15.77734375" style="36" customWidth="1"/>
    <col min="12548" max="12553" width="13.77734375" style="36" customWidth="1"/>
    <col min="12554" max="12554" width="20.77734375" style="36" customWidth="1"/>
    <col min="12555" max="12555" width="5.77734375" style="36" customWidth="1"/>
    <col min="12556" max="12800" width="8.77734375" style="36"/>
    <col min="12801" max="12801" width="30.77734375" style="36" customWidth="1"/>
    <col min="12802" max="12802" width="9.77734375" style="36" customWidth="1"/>
    <col min="12803" max="12803" width="15.77734375" style="36" customWidth="1"/>
    <col min="12804" max="12809" width="13.77734375" style="36" customWidth="1"/>
    <col min="12810" max="12810" width="20.77734375" style="36" customWidth="1"/>
    <col min="12811" max="12811" width="5.77734375" style="36" customWidth="1"/>
    <col min="12812" max="13056" width="8.77734375" style="36"/>
    <col min="13057" max="13057" width="30.77734375" style="36" customWidth="1"/>
    <col min="13058" max="13058" width="9.77734375" style="36" customWidth="1"/>
    <col min="13059" max="13059" width="15.77734375" style="36" customWidth="1"/>
    <col min="13060" max="13065" width="13.77734375" style="36" customWidth="1"/>
    <col min="13066" max="13066" width="20.77734375" style="36" customWidth="1"/>
    <col min="13067" max="13067" width="5.77734375" style="36" customWidth="1"/>
    <col min="13068" max="13312" width="8.77734375" style="36"/>
    <col min="13313" max="13313" width="30.77734375" style="36" customWidth="1"/>
    <col min="13314" max="13314" width="9.77734375" style="36" customWidth="1"/>
    <col min="13315" max="13315" width="15.77734375" style="36" customWidth="1"/>
    <col min="13316" max="13321" width="13.77734375" style="36" customWidth="1"/>
    <col min="13322" max="13322" width="20.77734375" style="36" customWidth="1"/>
    <col min="13323" max="13323" width="5.77734375" style="36" customWidth="1"/>
    <col min="13324" max="13568" width="8.77734375" style="36"/>
    <col min="13569" max="13569" width="30.77734375" style="36" customWidth="1"/>
    <col min="13570" max="13570" width="9.77734375" style="36" customWidth="1"/>
    <col min="13571" max="13571" width="15.77734375" style="36" customWidth="1"/>
    <col min="13572" max="13577" width="13.77734375" style="36" customWidth="1"/>
    <col min="13578" max="13578" width="20.77734375" style="36" customWidth="1"/>
    <col min="13579" max="13579" width="5.77734375" style="36" customWidth="1"/>
    <col min="13580" max="13824" width="8.77734375" style="36"/>
    <col min="13825" max="13825" width="30.77734375" style="36" customWidth="1"/>
    <col min="13826" max="13826" width="9.77734375" style="36" customWidth="1"/>
    <col min="13827" max="13827" width="15.77734375" style="36" customWidth="1"/>
    <col min="13828" max="13833" width="13.77734375" style="36" customWidth="1"/>
    <col min="13834" max="13834" width="20.77734375" style="36" customWidth="1"/>
    <col min="13835" max="13835" width="5.77734375" style="36" customWidth="1"/>
    <col min="13836" max="14080" width="8.77734375" style="36"/>
    <col min="14081" max="14081" width="30.77734375" style="36" customWidth="1"/>
    <col min="14082" max="14082" width="9.77734375" style="36" customWidth="1"/>
    <col min="14083" max="14083" width="15.77734375" style="36" customWidth="1"/>
    <col min="14084" max="14089" width="13.77734375" style="36" customWidth="1"/>
    <col min="14090" max="14090" width="20.77734375" style="36" customWidth="1"/>
    <col min="14091" max="14091" width="5.77734375" style="36" customWidth="1"/>
    <col min="14092" max="14336" width="8.77734375" style="36"/>
    <col min="14337" max="14337" width="30.77734375" style="36" customWidth="1"/>
    <col min="14338" max="14338" width="9.77734375" style="36" customWidth="1"/>
    <col min="14339" max="14339" width="15.77734375" style="36" customWidth="1"/>
    <col min="14340" max="14345" width="13.77734375" style="36" customWidth="1"/>
    <col min="14346" max="14346" width="20.77734375" style="36" customWidth="1"/>
    <col min="14347" max="14347" width="5.77734375" style="36" customWidth="1"/>
    <col min="14348" max="14592" width="8.77734375" style="36"/>
    <col min="14593" max="14593" width="30.77734375" style="36" customWidth="1"/>
    <col min="14594" max="14594" width="9.77734375" style="36" customWidth="1"/>
    <col min="14595" max="14595" width="15.77734375" style="36" customWidth="1"/>
    <col min="14596" max="14601" width="13.77734375" style="36" customWidth="1"/>
    <col min="14602" max="14602" width="20.77734375" style="36" customWidth="1"/>
    <col min="14603" max="14603" width="5.77734375" style="36" customWidth="1"/>
    <col min="14604" max="14848" width="8.77734375" style="36"/>
    <col min="14849" max="14849" width="30.77734375" style="36" customWidth="1"/>
    <col min="14850" max="14850" width="9.77734375" style="36" customWidth="1"/>
    <col min="14851" max="14851" width="15.77734375" style="36" customWidth="1"/>
    <col min="14852" max="14857" width="13.77734375" style="36" customWidth="1"/>
    <col min="14858" max="14858" width="20.77734375" style="36" customWidth="1"/>
    <col min="14859" max="14859" width="5.77734375" style="36" customWidth="1"/>
    <col min="14860" max="15104" width="8.77734375" style="36"/>
    <col min="15105" max="15105" width="30.77734375" style="36" customWidth="1"/>
    <col min="15106" max="15106" width="9.77734375" style="36" customWidth="1"/>
    <col min="15107" max="15107" width="15.77734375" style="36" customWidth="1"/>
    <col min="15108" max="15113" width="13.77734375" style="36" customWidth="1"/>
    <col min="15114" max="15114" width="20.77734375" style="36" customWidth="1"/>
    <col min="15115" max="15115" width="5.77734375" style="36" customWidth="1"/>
    <col min="15116" max="15360" width="8.77734375" style="36"/>
    <col min="15361" max="15361" width="30.77734375" style="36" customWidth="1"/>
    <col min="15362" max="15362" width="9.77734375" style="36" customWidth="1"/>
    <col min="15363" max="15363" width="15.77734375" style="36" customWidth="1"/>
    <col min="15364" max="15369" width="13.77734375" style="36" customWidth="1"/>
    <col min="15370" max="15370" width="20.77734375" style="36" customWidth="1"/>
    <col min="15371" max="15371" width="5.77734375" style="36" customWidth="1"/>
    <col min="15372" max="15616" width="8.77734375" style="36"/>
    <col min="15617" max="15617" width="30.77734375" style="36" customWidth="1"/>
    <col min="15618" max="15618" width="9.77734375" style="36" customWidth="1"/>
    <col min="15619" max="15619" width="15.77734375" style="36" customWidth="1"/>
    <col min="15620" max="15625" width="13.77734375" style="36" customWidth="1"/>
    <col min="15626" max="15626" width="20.77734375" style="36" customWidth="1"/>
    <col min="15627" max="15627" width="5.77734375" style="36" customWidth="1"/>
    <col min="15628" max="15872" width="8.77734375" style="36"/>
    <col min="15873" max="15873" width="30.77734375" style="36" customWidth="1"/>
    <col min="15874" max="15874" width="9.77734375" style="36" customWidth="1"/>
    <col min="15875" max="15875" width="15.77734375" style="36" customWidth="1"/>
    <col min="15876" max="15881" width="13.77734375" style="36" customWidth="1"/>
    <col min="15882" max="15882" width="20.77734375" style="36" customWidth="1"/>
    <col min="15883" max="15883" width="5.77734375" style="36" customWidth="1"/>
    <col min="15884" max="16128" width="8.77734375" style="36"/>
    <col min="16129" max="16129" width="30.77734375" style="36" customWidth="1"/>
    <col min="16130" max="16130" width="9.77734375" style="36" customWidth="1"/>
    <col min="16131" max="16131" width="15.77734375" style="36" customWidth="1"/>
    <col min="16132" max="16137" width="13.77734375" style="36" customWidth="1"/>
    <col min="16138" max="16138" width="20.77734375" style="36" customWidth="1"/>
    <col min="16139" max="16139" width="5.77734375" style="36" customWidth="1"/>
    <col min="16140" max="16384" width="8.77734375" style="36"/>
  </cols>
  <sheetData>
    <row r="1" spans="1:22" ht="30" customHeight="1">
      <c r="A1" s="113" t="s">
        <v>1991</v>
      </c>
      <c r="B1" s="113"/>
      <c r="C1" s="114"/>
      <c r="D1" s="115"/>
      <c r="E1" s="114"/>
      <c r="F1" s="114"/>
      <c r="G1" s="114"/>
      <c r="H1" s="114"/>
      <c r="I1" s="114"/>
      <c r="J1" s="114"/>
    </row>
    <row r="2" spans="1:22" s="116" customFormat="1" ht="30" customHeight="1">
      <c r="A2" s="1741" t="s">
        <v>93</v>
      </c>
      <c r="B2" s="1743" t="s">
        <v>184</v>
      </c>
      <c r="C2" s="1745" t="s">
        <v>172</v>
      </c>
      <c r="D2" s="1747" t="s">
        <v>81</v>
      </c>
      <c r="E2" s="1748"/>
      <c r="F2" s="1748"/>
      <c r="G2" s="1748"/>
      <c r="H2" s="1748"/>
      <c r="I2" s="1748"/>
      <c r="J2" s="1749" t="s">
        <v>42</v>
      </c>
      <c r="K2" s="116" t="s">
        <v>42</v>
      </c>
    </row>
    <row r="3" spans="1:22" s="116" customFormat="1" ht="30" customHeight="1" thickBot="1">
      <c r="A3" s="1742"/>
      <c r="B3" s="1744"/>
      <c r="C3" s="1746"/>
      <c r="D3" s="239" t="s">
        <v>48</v>
      </c>
      <c r="E3" s="159" t="s">
        <v>146</v>
      </c>
      <c r="F3" s="159" t="s">
        <v>139</v>
      </c>
      <c r="G3" s="159" t="s">
        <v>168</v>
      </c>
      <c r="H3" s="159" t="s">
        <v>165</v>
      </c>
      <c r="I3" s="159" t="s">
        <v>180</v>
      </c>
      <c r="J3" s="1750"/>
    </row>
    <row r="4" spans="1:22" s="116" customFormat="1" ht="30" customHeight="1" thickTop="1">
      <c r="A4" s="192" t="s">
        <v>1999</v>
      </c>
      <c r="B4" s="193"/>
      <c r="C4" s="194"/>
      <c r="D4" s="195">
        <f t="shared" ref="D4:I4" si="0">D5+D7+D10+D19+D30</f>
        <v>84.080000000000013</v>
      </c>
      <c r="E4" s="195">
        <f t="shared" si="0"/>
        <v>147.71</v>
      </c>
      <c r="F4" s="195">
        <f t="shared" si="0"/>
        <v>192.06000000000003</v>
      </c>
      <c r="G4" s="195">
        <f t="shared" si="0"/>
        <v>196.11</v>
      </c>
      <c r="H4" s="195">
        <f t="shared" si="0"/>
        <v>133.32999999999998</v>
      </c>
      <c r="I4" s="195">
        <f t="shared" si="0"/>
        <v>14</v>
      </c>
      <c r="J4" s="196"/>
    </row>
    <row r="5" spans="1:22" s="116" customFormat="1" ht="22.9" customHeight="1">
      <c r="A5" s="197" t="s">
        <v>92</v>
      </c>
      <c r="B5" s="198"/>
      <c r="C5" s="198"/>
      <c r="D5" s="199">
        <f t="shared" ref="D5:I5" si="1">SUM(D6)</f>
        <v>1.5</v>
      </c>
      <c r="E5" s="199">
        <f t="shared" si="1"/>
        <v>2.5</v>
      </c>
      <c r="F5" s="199">
        <f t="shared" si="1"/>
        <v>2.5</v>
      </c>
      <c r="G5" s="199">
        <f t="shared" si="1"/>
        <v>2.5</v>
      </c>
      <c r="H5" s="199">
        <f t="shared" si="1"/>
        <v>0</v>
      </c>
      <c r="I5" s="199">
        <f t="shared" si="1"/>
        <v>0</v>
      </c>
      <c r="J5" s="200"/>
    </row>
    <row r="6" spans="1:22" s="116" customFormat="1" ht="22.9" customHeight="1">
      <c r="A6" s="201" t="s">
        <v>112</v>
      </c>
      <c r="B6" s="202" t="s">
        <v>37</v>
      </c>
      <c r="C6" s="202" t="s">
        <v>103</v>
      </c>
      <c r="D6" s="203">
        <v>1.5</v>
      </c>
      <c r="E6" s="203">
        <v>2.5</v>
      </c>
      <c r="F6" s="203">
        <v>2.5</v>
      </c>
      <c r="G6" s="203">
        <v>2.5</v>
      </c>
      <c r="H6" s="203">
        <v>0</v>
      </c>
      <c r="I6" s="203">
        <v>0</v>
      </c>
      <c r="J6" s="204"/>
    </row>
    <row r="7" spans="1:22" s="116" customFormat="1" ht="22.9" customHeight="1">
      <c r="A7" s="197" t="s">
        <v>1992</v>
      </c>
      <c r="B7" s="198"/>
      <c r="C7" s="198"/>
      <c r="D7" s="199">
        <f t="shared" ref="D7:I7" si="2">SUM(D8:D9)</f>
        <v>2.5</v>
      </c>
      <c r="E7" s="199">
        <f t="shared" si="2"/>
        <v>4.8</v>
      </c>
      <c r="F7" s="199">
        <f t="shared" si="2"/>
        <v>2.2000000000000002</v>
      </c>
      <c r="G7" s="199">
        <f t="shared" si="2"/>
        <v>3</v>
      </c>
      <c r="H7" s="199">
        <f t="shared" si="2"/>
        <v>2.8</v>
      </c>
      <c r="I7" s="199">
        <f t="shared" si="2"/>
        <v>0</v>
      </c>
      <c r="J7" s="200"/>
    </row>
    <row r="8" spans="1:22" s="116" customFormat="1" ht="22.9" customHeight="1">
      <c r="A8" s="201" t="s">
        <v>109</v>
      </c>
      <c r="B8" s="202" t="s">
        <v>37</v>
      </c>
      <c r="C8" s="202" t="s">
        <v>103</v>
      </c>
      <c r="D8" s="203">
        <v>0.5</v>
      </c>
      <c r="E8" s="203">
        <v>0.8</v>
      </c>
      <c r="F8" s="203">
        <v>1.8</v>
      </c>
      <c r="G8" s="203">
        <v>2.2000000000000002</v>
      </c>
      <c r="H8" s="203">
        <v>1.6</v>
      </c>
      <c r="I8" s="203">
        <v>0</v>
      </c>
      <c r="J8" s="204"/>
      <c r="O8" s="122"/>
      <c r="P8" s="122"/>
      <c r="Q8" s="123"/>
      <c r="R8" s="123"/>
      <c r="S8" s="123"/>
      <c r="T8" s="123"/>
      <c r="U8" s="123"/>
      <c r="V8" s="123"/>
    </row>
    <row r="9" spans="1:22" s="116" customFormat="1" ht="22.9" customHeight="1">
      <c r="A9" s="201" t="s">
        <v>108</v>
      </c>
      <c r="B9" s="202" t="s">
        <v>37</v>
      </c>
      <c r="C9" s="202" t="s">
        <v>103</v>
      </c>
      <c r="D9" s="203">
        <v>2</v>
      </c>
      <c r="E9" s="203">
        <v>4</v>
      </c>
      <c r="F9" s="203">
        <v>0.4</v>
      </c>
      <c r="G9" s="203">
        <v>0.8</v>
      </c>
      <c r="H9" s="203">
        <v>1.2</v>
      </c>
      <c r="I9" s="203">
        <v>0</v>
      </c>
      <c r="J9" s="204"/>
    </row>
    <row r="10" spans="1:22" s="116" customFormat="1" ht="22.9" customHeight="1">
      <c r="A10" s="197" t="s">
        <v>1993</v>
      </c>
      <c r="B10" s="198"/>
      <c r="C10" s="198"/>
      <c r="D10" s="199">
        <f t="shared" ref="D10:I10" si="3">SUM(D11:D12)</f>
        <v>5.68</v>
      </c>
      <c r="E10" s="199">
        <f t="shared" si="3"/>
        <v>15.010000000000002</v>
      </c>
      <c r="F10" s="199">
        <f t="shared" si="3"/>
        <v>22.160000000000004</v>
      </c>
      <c r="G10" s="199">
        <f t="shared" si="3"/>
        <v>25.610000000000003</v>
      </c>
      <c r="H10" s="199">
        <f t="shared" si="3"/>
        <v>18.829999999999998</v>
      </c>
      <c r="I10" s="199">
        <f t="shared" si="3"/>
        <v>4</v>
      </c>
      <c r="J10" s="200"/>
    </row>
    <row r="11" spans="1:22" s="116" customFormat="1" ht="22.9" customHeight="1">
      <c r="A11" s="201" t="s">
        <v>116</v>
      </c>
      <c r="B11" s="202" t="s">
        <v>37</v>
      </c>
      <c r="C11" s="202" t="s">
        <v>103</v>
      </c>
      <c r="D11" s="203">
        <v>0.08</v>
      </c>
      <c r="E11" s="203">
        <v>0.21</v>
      </c>
      <c r="F11" s="203">
        <v>0.36</v>
      </c>
      <c r="G11" s="203">
        <v>0.51</v>
      </c>
      <c r="H11" s="203">
        <v>0.33</v>
      </c>
      <c r="I11" s="203">
        <v>0</v>
      </c>
      <c r="J11" s="204"/>
    </row>
    <row r="12" spans="1:22" s="116" customFormat="1" ht="22.9" customHeight="1">
      <c r="A12" s="201" t="s">
        <v>122</v>
      </c>
      <c r="B12" s="202"/>
      <c r="C12" s="202"/>
      <c r="D12" s="203">
        <f t="shared" ref="D12:I12" si="4">SUM(D13:D18)</f>
        <v>5.6</v>
      </c>
      <c r="E12" s="203">
        <f t="shared" si="4"/>
        <v>14.8</v>
      </c>
      <c r="F12" s="203">
        <f t="shared" si="4"/>
        <v>21.800000000000004</v>
      </c>
      <c r="G12" s="203">
        <f t="shared" si="4"/>
        <v>25.1</v>
      </c>
      <c r="H12" s="203">
        <f t="shared" si="4"/>
        <v>18.5</v>
      </c>
      <c r="I12" s="203">
        <f t="shared" si="4"/>
        <v>4</v>
      </c>
      <c r="J12" s="204"/>
    </row>
    <row r="13" spans="1:22" s="116" customFormat="1" ht="22.9" customHeight="1">
      <c r="A13" s="201" t="s">
        <v>123</v>
      </c>
      <c r="B13" s="202" t="s">
        <v>182</v>
      </c>
      <c r="C13" s="202" t="s">
        <v>191</v>
      </c>
      <c r="D13" s="203">
        <v>1.4</v>
      </c>
      <c r="E13" s="203">
        <v>7.4</v>
      </c>
      <c r="F13" s="203">
        <v>11.3</v>
      </c>
      <c r="G13" s="203">
        <v>13.1</v>
      </c>
      <c r="H13" s="203">
        <v>8.6</v>
      </c>
      <c r="I13" s="203">
        <v>0</v>
      </c>
      <c r="J13" s="204"/>
    </row>
    <row r="14" spans="1:22" s="116" customFormat="1" ht="22.9" customHeight="1">
      <c r="A14" s="201" t="s">
        <v>99</v>
      </c>
      <c r="B14" s="202" t="s">
        <v>182</v>
      </c>
      <c r="C14" s="202" t="s">
        <v>191</v>
      </c>
      <c r="D14" s="203">
        <v>0.5</v>
      </c>
      <c r="E14" s="203">
        <v>2.2000000000000002</v>
      </c>
      <c r="F14" s="203">
        <v>3.3</v>
      </c>
      <c r="G14" s="203">
        <v>3.8</v>
      </c>
      <c r="H14" s="203">
        <v>2.5</v>
      </c>
      <c r="I14" s="203">
        <v>0</v>
      </c>
      <c r="J14" s="204"/>
    </row>
    <row r="15" spans="1:22" s="116" customFormat="1" ht="22.9" customHeight="1">
      <c r="A15" s="201" t="s">
        <v>100</v>
      </c>
      <c r="B15" s="202" t="s">
        <v>182</v>
      </c>
      <c r="C15" s="202" t="s">
        <v>191</v>
      </c>
      <c r="D15" s="203">
        <v>0.5</v>
      </c>
      <c r="E15" s="203">
        <v>1</v>
      </c>
      <c r="F15" s="203">
        <v>2</v>
      </c>
      <c r="G15" s="203">
        <v>3.5</v>
      </c>
      <c r="H15" s="203">
        <v>3</v>
      </c>
      <c r="I15" s="203">
        <v>2</v>
      </c>
      <c r="J15" s="204"/>
    </row>
    <row r="16" spans="1:22" s="116" customFormat="1" ht="22.9" customHeight="1">
      <c r="A16" s="201" t="s">
        <v>101</v>
      </c>
      <c r="B16" s="202" t="s">
        <v>66</v>
      </c>
      <c r="C16" s="202" t="s">
        <v>60</v>
      </c>
      <c r="D16" s="203">
        <v>0.6</v>
      </c>
      <c r="E16" s="203">
        <v>1.1000000000000001</v>
      </c>
      <c r="F16" s="203">
        <v>2.1</v>
      </c>
      <c r="G16" s="203">
        <v>2.6</v>
      </c>
      <c r="H16" s="203">
        <v>2.4</v>
      </c>
      <c r="I16" s="203">
        <v>0</v>
      </c>
      <c r="J16" s="204"/>
    </row>
    <row r="17" spans="1:22" s="116" customFormat="1" ht="22.9" customHeight="1">
      <c r="A17" s="201" t="s">
        <v>204</v>
      </c>
      <c r="B17" s="202" t="s">
        <v>188</v>
      </c>
      <c r="C17" s="202" t="s">
        <v>191</v>
      </c>
      <c r="D17" s="203">
        <v>2.1</v>
      </c>
      <c r="E17" s="203">
        <v>2.1</v>
      </c>
      <c r="F17" s="203">
        <v>2.1</v>
      </c>
      <c r="G17" s="203">
        <v>1.1000000000000001</v>
      </c>
      <c r="H17" s="203">
        <v>0</v>
      </c>
      <c r="I17" s="203">
        <v>0</v>
      </c>
      <c r="J17" s="204"/>
      <c r="K17" s="116" t="s">
        <v>249</v>
      </c>
      <c r="L17" s="160"/>
      <c r="M17" s="160"/>
      <c r="N17" s="160"/>
      <c r="O17" s="160"/>
    </row>
    <row r="18" spans="1:22" s="116" customFormat="1" ht="22.9" customHeight="1">
      <c r="A18" s="201" t="s">
        <v>115</v>
      </c>
      <c r="B18" s="202" t="s">
        <v>66</v>
      </c>
      <c r="C18" s="202" t="s">
        <v>60</v>
      </c>
      <c r="D18" s="203">
        <v>0.5</v>
      </c>
      <c r="E18" s="203">
        <v>1</v>
      </c>
      <c r="F18" s="203">
        <v>1</v>
      </c>
      <c r="G18" s="203">
        <v>1</v>
      </c>
      <c r="H18" s="203">
        <v>2</v>
      </c>
      <c r="I18" s="203">
        <v>2</v>
      </c>
      <c r="J18" s="204"/>
    </row>
    <row r="19" spans="1:22" s="135" customFormat="1" ht="22.9" customHeight="1">
      <c r="A19" s="197" t="s">
        <v>1994</v>
      </c>
      <c r="B19" s="198"/>
      <c r="C19" s="198"/>
      <c r="D19" s="199">
        <f t="shared" ref="D19:I19" si="5">D20+D25</f>
        <v>70.800000000000011</v>
      </c>
      <c r="E19" s="199">
        <f t="shared" si="5"/>
        <v>119.4</v>
      </c>
      <c r="F19" s="199">
        <f t="shared" si="5"/>
        <v>154.80000000000001</v>
      </c>
      <c r="G19" s="199">
        <f t="shared" si="5"/>
        <v>151.80000000000001</v>
      </c>
      <c r="H19" s="199">
        <f t="shared" si="5"/>
        <v>103.69999999999999</v>
      </c>
      <c r="I19" s="199">
        <f t="shared" si="5"/>
        <v>10</v>
      </c>
      <c r="J19" s="205"/>
      <c r="O19" s="136"/>
      <c r="P19" s="136"/>
      <c r="Q19" s="137"/>
      <c r="R19" s="137"/>
      <c r="S19" s="137"/>
      <c r="T19" s="137"/>
      <c r="U19" s="137"/>
      <c r="V19" s="137"/>
    </row>
    <row r="20" spans="1:22" s="116" customFormat="1" ht="22.9" customHeight="1">
      <c r="A20" s="201" t="s">
        <v>7</v>
      </c>
      <c r="B20" s="202"/>
      <c r="C20" s="202"/>
      <c r="D20" s="203">
        <f>D21+D22+D23+D24</f>
        <v>40.800000000000004</v>
      </c>
      <c r="E20" s="203">
        <f t="shared" ref="E20:I20" si="6">E21+E22+E23+E24</f>
        <v>70.400000000000006</v>
      </c>
      <c r="F20" s="203">
        <f t="shared" si="6"/>
        <v>94.800000000000011</v>
      </c>
      <c r="G20" s="203">
        <f t="shared" si="6"/>
        <v>92.800000000000011</v>
      </c>
      <c r="H20" s="203">
        <f t="shared" si="6"/>
        <v>51.699999999999996</v>
      </c>
      <c r="I20" s="203">
        <f t="shared" si="6"/>
        <v>4</v>
      </c>
      <c r="J20" s="204"/>
      <c r="O20" s="133"/>
      <c r="P20" s="133"/>
      <c r="Q20" s="134"/>
      <c r="R20" s="134"/>
      <c r="S20" s="134"/>
      <c r="T20" s="134"/>
      <c r="U20" s="134"/>
      <c r="V20" s="134"/>
    </row>
    <row r="21" spans="1:22" s="116" customFormat="1" ht="22.9" customHeight="1">
      <c r="A21" s="201" t="s">
        <v>8</v>
      </c>
      <c r="B21" s="202" t="s">
        <v>66</v>
      </c>
      <c r="C21" s="202" t="s">
        <v>60</v>
      </c>
      <c r="D21" s="203">
        <v>11.6</v>
      </c>
      <c r="E21" s="203">
        <v>20.8</v>
      </c>
      <c r="F21" s="203">
        <v>27.6</v>
      </c>
      <c r="G21" s="203">
        <v>27.6</v>
      </c>
      <c r="H21" s="203">
        <v>15.9</v>
      </c>
      <c r="I21" s="203">
        <v>0</v>
      </c>
      <c r="J21" s="204"/>
      <c r="O21" s="133"/>
      <c r="P21" s="133"/>
      <c r="Q21" s="134"/>
      <c r="R21" s="134"/>
      <c r="S21" s="134"/>
      <c r="T21" s="134"/>
      <c r="U21" s="134"/>
      <c r="V21" s="134"/>
    </row>
    <row r="22" spans="1:22" s="116" customFormat="1" ht="22.9" customHeight="1">
      <c r="A22" s="201" t="s">
        <v>12</v>
      </c>
      <c r="B22" s="202" t="s">
        <v>64</v>
      </c>
      <c r="C22" s="202" t="s">
        <v>191</v>
      </c>
      <c r="D22" s="203">
        <v>6</v>
      </c>
      <c r="E22" s="203">
        <v>8</v>
      </c>
      <c r="F22" s="203">
        <v>12</v>
      </c>
      <c r="G22" s="203">
        <v>10</v>
      </c>
      <c r="H22" s="203">
        <v>4</v>
      </c>
      <c r="I22" s="203">
        <v>4</v>
      </c>
      <c r="J22" s="204"/>
      <c r="O22" s="133"/>
      <c r="P22" s="133"/>
      <c r="Q22" s="134"/>
      <c r="R22" s="134"/>
      <c r="S22" s="134"/>
      <c r="T22" s="134"/>
      <c r="U22" s="134"/>
      <c r="V22" s="134"/>
    </row>
    <row r="23" spans="1:22" s="116" customFormat="1" ht="22.9" customHeight="1">
      <c r="A23" s="201" t="s">
        <v>118</v>
      </c>
      <c r="B23" s="202" t="s">
        <v>37</v>
      </c>
      <c r="C23" s="202" t="s">
        <v>103</v>
      </c>
      <c r="D23" s="203">
        <v>11.6</v>
      </c>
      <c r="E23" s="203">
        <v>20.8</v>
      </c>
      <c r="F23" s="203">
        <v>27.6</v>
      </c>
      <c r="G23" s="203">
        <v>27.6</v>
      </c>
      <c r="H23" s="203">
        <v>15.9</v>
      </c>
      <c r="I23" s="203">
        <v>0</v>
      </c>
      <c r="J23" s="204"/>
      <c r="O23" s="133"/>
      <c r="P23" s="133"/>
      <c r="Q23" s="134"/>
      <c r="R23" s="134"/>
      <c r="S23" s="134"/>
      <c r="T23" s="134"/>
      <c r="U23" s="134"/>
      <c r="V23" s="134"/>
    </row>
    <row r="24" spans="1:22" s="116" customFormat="1" ht="22.9" customHeight="1">
      <c r="A24" s="201" t="s">
        <v>127</v>
      </c>
      <c r="B24" s="202" t="s">
        <v>37</v>
      </c>
      <c r="C24" s="202" t="s">
        <v>103</v>
      </c>
      <c r="D24" s="203">
        <v>11.6</v>
      </c>
      <c r="E24" s="203">
        <v>20.8</v>
      </c>
      <c r="F24" s="203">
        <v>27.6</v>
      </c>
      <c r="G24" s="203">
        <v>27.6</v>
      </c>
      <c r="H24" s="203">
        <v>15.9</v>
      </c>
      <c r="I24" s="203">
        <v>0</v>
      </c>
      <c r="J24" s="204"/>
      <c r="O24" s="133"/>
      <c r="P24" s="133"/>
      <c r="Q24" s="134"/>
      <c r="R24" s="134"/>
      <c r="S24" s="134"/>
      <c r="T24" s="134"/>
      <c r="U24" s="134"/>
      <c r="V24" s="134"/>
    </row>
    <row r="25" spans="1:22" s="138" customFormat="1" ht="22.9" customHeight="1">
      <c r="A25" s="201" t="s">
        <v>215</v>
      </c>
      <c r="B25" s="202"/>
      <c r="C25" s="202"/>
      <c r="D25" s="203">
        <f t="shared" ref="D25:I25" si="7">SUM(D26:D29)</f>
        <v>30</v>
      </c>
      <c r="E25" s="203">
        <f t="shared" si="7"/>
        <v>49</v>
      </c>
      <c r="F25" s="203">
        <f t="shared" si="7"/>
        <v>60</v>
      </c>
      <c r="G25" s="203">
        <f t="shared" si="7"/>
        <v>59</v>
      </c>
      <c r="H25" s="203">
        <f t="shared" si="7"/>
        <v>52</v>
      </c>
      <c r="I25" s="203">
        <f t="shared" si="7"/>
        <v>6</v>
      </c>
      <c r="J25" s="204"/>
      <c r="O25" s="139"/>
      <c r="P25" s="139"/>
      <c r="Q25" s="140"/>
      <c r="R25" s="140"/>
      <c r="S25" s="140"/>
      <c r="T25" s="140"/>
      <c r="U25" s="140"/>
      <c r="V25" s="140"/>
    </row>
    <row r="26" spans="1:22" s="138" customFormat="1" ht="22.9" customHeight="1">
      <c r="A26" s="201" t="s">
        <v>220</v>
      </c>
      <c r="B26" s="202" t="s">
        <v>185</v>
      </c>
      <c r="C26" s="202" t="s">
        <v>104</v>
      </c>
      <c r="D26" s="203">
        <v>1</v>
      </c>
      <c r="E26" s="203">
        <v>1</v>
      </c>
      <c r="F26" s="203">
        <v>2</v>
      </c>
      <c r="G26" s="203">
        <v>3</v>
      </c>
      <c r="H26" s="203">
        <v>2</v>
      </c>
      <c r="I26" s="203">
        <v>0</v>
      </c>
      <c r="J26" s="204"/>
      <c r="O26" s="139"/>
      <c r="P26" s="139"/>
      <c r="Q26" s="140"/>
      <c r="R26" s="140"/>
      <c r="S26" s="140"/>
      <c r="T26" s="140"/>
      <c r="U26" s="140"/>
      <c r="V26" s="140"/>
    </row>
    <row r="27" spans="1:22" s="189" customFormat="1" ht="22.9" customHeight="1">
      <c r="A27" s="206" t="s">
        <v>221</v>
      </c>
      <c r="B27" s="207" t="s">
        <v>212</v>
      </c>
      <c r="C27" s="207" t="s">
        <v>61</v>
      </c>
      <c r="D27" s="208">
        <v>21</v>
      </c>
      <c r="E27" s="208">
        <v>34</v>
      </c>
      <c r="F27" s="208">
        <v>44</v>
      </c>
      <c r="G27" s="208">
        <v>46</v>
      </c>
      <c r="H27" s="208">
        <v>39</v>
      </c>
      <c r="I27" s="208">
        <v>6</v>
      </c>
      <c r="J27" s="209"/>
      <c r="O27" s="190"/>
      <c r="P27" s="190"/>
      <c r="Q27" s="191"/>
      <c r="R27" s="191"/>
      <c r="S27" s="191"/>
      <c r="T27" s="191"/>
      <c r="U27" s="191"/>
      <c r="V27" s="191"/>
    </row>
    <row r="28" spans="1:22" s="189" customFormat="1" ht="22.9" customHeight="1">
      <c r="A28" s="206" t="s">
        <v>244</v>
      </c>
      <c r="B28" s="207" t="s">
        <v>245</v>
      </c>
      <c r="C28" s="207" t="s">
        <v>218</v>
      </c>
      <c r="D28" s="240">
        <v>6</v>
      </c>
      <c r="E28" s="240">
        <v>11</v>
      </c>
      <c r="F28" s="240">
        <v>9</v>
      </c>
      <c r="G28" s="240">
        <v>6</v>
      </c>
      <c r="H28" s="240">
        <v>4</v>
      </c>
      <c r="I28" s="240">
        <v>0</v>
      </c>
      <c r="J28" s="209"/>
      <c r="O28" s="190"/>
      <c r="P28" s="190"/>
      <c r="Q28" s="191"/>
      <c r="R28" s="191"/>
      <c r="S28" s="191"/>
      <c r="T28" s="191"/>
      <c r="U28" s="191"/>
      <c r="V28" s="191"/>
    </row>
    <row r="29" spans="1:22" s="189" customFormat="1" ht="22.9" customHeight="1">
      <c r="A29" s="206" t="s">
        <v>222</v>
      </c>
      <c r="B29" s="207" t="s">
        <v>246</v>
      </c>
      <c r="C29" s="207" t="s">
        <v>61</v>
      </c>
      <c r="D29" s="208">
        <v>2</v>
      </c>
      <c r="E29" s="208">
        <v>3</v>
      </c>
      <c r="F29" s="208">
        <v>5</v>
      </c>
      <c r="G29" s="208">
        <v>4</v>
      </c>
      <c r="H29" s="208">
        <v>7</v>
      </c>
      <c r="I29" s="208">
        <v>0</v>
      </c>
      <c r="J29" s="209"/>
      <c r="O29" s="190"/>
      <c r="P29" s="190"/>
      <c r="Q29" s="191"/>
      <c r="R29" s="191"/>
      <c r="S29" s="191"/>
      <c r="T29" s="191"/>
      <c r="U29" s="191"/>
      <c r="V29" s="191"/>
    </row>
    <row r="30" spans="1:22" s="116" customFormat="1" ht="22.9" customHeight="1">
      <c r="A30" s="197" t="s">
        <v>1995</v>
      </c>
      <c r="B30" s="202"/>
      <c r="C30" s="202"/>
      <c r="D30" s="199">
        <f t="shared" ref="D30:I30" si="8">SUM(D31:D32)</f>
        <v>3.6</v>
      </c>
      <c r="E30" s="199">
        <f t="shared" si="8"/>
        <v>6</v>
      </c>
      <c r="F30" s="199">
        <f t="shared" si="8"/>
        <v>10.4</v>
      </c>
      <c r="G30" s="199">
        <f t="shared" si="8"/>
        <v>13.2</v>
      </c>
      <c r="H30" s="199">
        <f t="shared" si="8"/>
        <v>8</v>
      </c>
      <c r="I30" s="199">
        <f t="shared" si="8"/>
        <v>0</v>
      </c>
      <c r="J30" s="200"/>
    </row>
    <row r="31" spans="1:22" s="116" customFormat="1" ht="22.9" customHeight="1">
      <c r="A31" s="201" t="s">
        <v>1996</v>
      </c>
      <c r="B31" s="211" t="s">
        <v>56</v>
      </c>
      <c r="C31" s="202" t="s">
        <v>103</v>
      </c>
      <c r="D31" s="203">
        <v>1.4</v>
      </c>
      <c r="E31" s="203">
        <v>2.6</v>
      </c>
      <c r="F31" s="203">
        <v>5</v>
      </c>
      <c r="G31" s="203">
        <v>7.2</v>
      </c>
      <c r="H31" s="203">
        <v>3.6</v>
      </c>
      <c r="I31" s="203">
        <v>0</v>
      </c>
      <c r="J31" s="204"/>
      <c r="O31" s="55"/>
      <c r="P31" s="55"/>
      <c r="Q31" s="152"/>
      <c r="R31" s="152"/>
      <c r="S31" s="152"/>
      <c r="T31" s="152"/>
      <c r="U31" s="152"/>
      <c r="V31" s="152"/>
    </row>
    <row r="32" spans="1:22" ht="22.9" customHeight="1">
      <c r="A32" s="210" t="s">
        <v>1997</v>
      </c>
      <c r="B32" s="211" t="s">
        <v>56</v>
      </c>
      <c r="C32" s="202" t="s">
        <v>103</v>
      </c>
      <c r="D32" s="212">
        <v>2.2000000000000002</v>
      </c>
      <c r="E32" s="212">
        <v>3.4</v>
      </c>
      <c r="F32" s="212">
        <v>5.4</v>
      </c>
      <c r="G32" s="212">
        <v>6</v>
      </c>
      <c r="H32" s="212">
        <v>4.4000000000000004</v>
      </c>
      <c r="I32" s="212">
        <v>0</v>
      </c>
      <c r="J32" s="213"/>
    </row>
  </sheetData>
  <mergeCells count="5">
    <mergeCell ref="A2:A3"/>
    <mergeCell ref="B2:B3"/>
    <mergeCell ref="C2:C3"/>
    <mergeCell ref="D2:I2"/>
    <mergeCell ref="J2:J3"/>
  </mergeCells>
  <phoneticPr fontId="181" type="noConversion"/>
  <printOptions horizontalCentered="1"/>
  <pageMargins left="0.27559055118110237" right="0.27559055118110237" top="0.39370078740157483" bottom="0.39370078740157483" header="0.19685039370078741" footer="0.19685039370078741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">
    <tabColor rgb="FF92D050"/>
  </sheetPr>
  <dimension ref="A1:I8"/>
  <sheetViews>
    <sheetView view="pageBreakPreview" zoomScaleNormal="100" zoomScaleSheetLayoutView="100" workbookViewId="0">
      <selection activeCell="C20" sqref="C20"/>
    </sheetView>
  </sheetViews>
  <sheetFormatPr defaultColWidth="8.88671875" defaultRowHeight="20.100000000000001" customHeight="1"/>
  <cols>
    <col min="1" max="1" width="20.77734375" style="128" customWidth="1"/>
    <col min="2" max="9" width="15" style="128" customWidth="1"/>
    <col min="10" max="16384" width="8.88671875" style="128"/>
  </cols>
  <sheetData>
    <row r="1" spans="1:9" ht="25.15" customHeight="1">
      <c r="A1" s="127" t="s">
        <v>1950</v>
      </c>
      <c r="B1" s="129"/>
      <c r="C1" s="129"/>
      <c r="D1" s="129"/>
      <c r="E1" s="129"/>
      <c r="F1" s="129"/>
      <c r="G1" s="129"/>
      <c r="H1" s="129"/>
      <c r="I1" s="129"/>
    </row>
    <row r="2" spans="1:9" ht="25.15" customHeight="1">
      <c r="A2" s="130" t="s">
        <v>93</v>
      </c>
      <c r="B2" s="1751" t="s">
        <v>46</v>
      </c>
      <c r="C2" s="1751"/>
      <c r="D2" s="1751" t="s">
        <v>35</v>
      </c>
      <c r="E2" s="1751"/>
      <c r="F2" s="1751" t="s">
        <v>187</v>
      </c>
      <c r="G2" s="1751"/>
      <c r="H2" s="1751" t="s">
        <v>189</v>
      </c>
      <c r="I2" s="1752"/>
    </row>
    <row r="3" spans="1:9" ht="25.15" customHeight="1">
      <c r="A3" s="131" t="s">
        <v>186</v>
      </c>
      <c r="B3" s="1753" t="s">
        <v>1990</v>
      </c>
      <c r="C3" s="1753"/>
      <c r="D3" s="1753"/>
      <c r="E3" s="1753"/>
      <c r="F3" s="1753"/>
      <c r="G3" s="1753"/>
      <c r="H3" s="1753"/>
      <c r="I3" s="1754"/>
    </row>
    <row r="4" spans="1:9" ht="25.15" customHeight="1">
      <c r="A4" s="132" t="s">
        <v>1986</v>
      </c>
      <c r="B4" s="1755" t="s">
        <v>190</v>
      </c>
      <c r="C4" s="1755"/>
      <c r="D4" s="1755">
        <f>50*10</f>
        <v>500</v>
      </c>
      <c r="E4" s="1755"/>
      <c r="F4" s="1756">
        <v>100</v>
      </c>
      <c r="G4" s="1756"/>
      <c r="H4" s="1756">
        <f>D4*F4</f>
        <v>50000</v>
      </c>
      <c r="I4" s="1757"/>
    </row>
    <row r="5" spans="1:9" ht="25.15" customHeight="1">
      <c r="A5" s="132" t="s">
        <v>9</v>
      </c>
      <c r="B5" s="1755" t="s">
        <v>190</v>
      </c>
      <c r="C5" s="1755"/>
      <c r="D5" s="1755">
        <f>200*10*3</f>
        <v>6000</v>
      </c>
      <c r="E5" s="1755"/>
      <c r="F5" s="1756">
        <f>F4</f>
        <v>100</v>
      </c>
      <c r="G5" s="1756"/>
      <c r="H5" s="1756">
        <f>D5*F5</f>
        <v>600000</v>
      </c>
      <c r="I5" s="1757"/>
    </row>
    <row r="6" spans="1:9" ht="25.15" customHeight="1">
      <c r="A6" s="132" t="s">
        <v>88</v>
      </c>
      <c r="B6" s="1755" t="s">
        <v>190</v>
      </c>
      <c r="C6" s="1755"/>
      <c r="D6" s="1755">
        <f>100*10</f>
        <v>1000</v>
      </c>
      <c r="E6" s="1755"/>
      <c r="F6" s="1756">
        <f>F5</f>
        <v>100</v>
      </c>
      <c r="G6" s="1756"/>
      <c r="H6" s="1756">
        <f>D6*F6</f>
        <v>100000</v>
      </c>
      <c r="I6" s="1757"/>
    </row>
    <row r="7" spans="1:9" ht="25.15" customHeight="1">
      <c r="A7" s="132" t="s">
        <v>102</v>
      </c>
      <c r="B7" s="1755" t="s">
        <v>65</v>
      </c>
      <c r="C7" s="1755"/>
      <c r="D7" s="1755">
        <f>5+15+10</f>
        <v>30</v>
      </c>
      <c r="E7" s="1755"/>
      <c r="F7" s="1756">
        <v>5000</v>
      </c>
      <c r="G7" s="1756"/>
      <c r="H7" s="1756">
        <f>D7*F7</f>
        <v>150000</v>
      </c>
      <c r="I7" s="1757"/>
    </row>
    <row r="8" spans="1:9" ht="25.15" customHeight="1">
      <c r="A8" s="1675" t="s">
        <v>1989</v>
      </c>
      <c r="B8" s="1758" t="s">
        <v>56</v>
      </c>
      <c r="C8" s="1758"/>
      <c r="D8" s="1758">
        <v>1</v>
      </c>
      <c r="E8" s="1758"/>
      <c r="F8" s="1759"/>
      <c r="G8" s="1759"/>
      <c r="H8" s="1759">
        <f>SUM(H4:I7)</f>
        <v>900000</v>
      </c>
      <c r="I8" s="1760"/>
    </row>
  </sheetData>
  <mergeCells count="28">
    <mergeCell ref="B8:C8"/>
    <mergeCell ref="D8:E8"/>
    <mergeCell ref="F8:G8"/>
    <mergeCell ref="H8:I8"/>
    <mergeCell ref="B6:C6"/>
    <mergeCell ref="D6:E6"/>
    <mergeCell ref="F6:G6"/>
    <mergeCell ref="H6:I6"/>
    <mergeCell ref="B7:C7"/>
    <mergeCell ref="D7:E7"/>
    <mergeCell ref="F7:G7"/>
    <mergeCell ref="H7:I7"/>
    <mergeCell ref="B4:C4"/>
    <mergeCell ref="D4:E4"/>
    <mergeCell ref="F4:G4"/>
    <mergeCell ref="H4:I4"/>
    <mergeCell ref="B5:C5"/>
    <mergeCell ref="D5:E5"/>
    <mergeCell ref="F5:G5"/>
    <mergeCell ref="H5:I5"/>
    <mergeCell ref="B2:C2"/>
    <mergeCell ref="D2:E2"/>
    <mergeCell ref="F2:G2"/>
    <mergeCell ref="H2:I2"/>
    <mergeCell ref="B3:C3"/>
    <mergeCell ref="D3:E3"/>
    <mergeCell ref="F3:G3"/>
    <mergeCell ref="H3:I3"/>
  </mergeCells>
  <phoneticPr fontId="181" type="noConversion"/>
  <printOptions horizontalCentered="1"/>
  <pageMargins left="0.27559055118110237" right="0.27559055118110237" top="0.39370078740157483" bottom="0.39370078740157483" header="0.19685039370078741" footer="0.19685039370078741"/>
  <pageSetup paperSize="9" scale="7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>
    <tabColor theme="3" tint="0.59999389629810485"/>
  </sheetPr>
  <dimension ref="A1:Q71"/>
  <sheetViews>
    <sheetView view="pageBreakPreview" zoomScale="70" zoomScaleNormal="100" zoomScaleSheetLayoutView="70" workbookViewId="0">
      <pane xSplit="6" ySplit="2" topLeftCell="G3" activePane="bottomRight" state="frozen"/>
      <selection activeCell="AA49" sqref="AA49"/>
      <selection pane="topRight" activeCell="AA49" sqref="AA49"/>
      <selection pane="bottomLeft" activeCell="AA49" sqref="AA49"/>
      <selection pane="bottomRight" activeCell="AA49" sqref="AA49"/>
    </sheetView>
  </sheetViews>
  <sheetFormatPr defaultColWidth="8.77734375" defaultRowHeight="24.95" customHeight="1"/>
  <cols>
    <col min="1" max="1" width="3.21875" style="47" customWidth="1"/>
    <col min="2" max="3" width="2" style="36" customWidth="1"/>
    <col min="4" max="4" width="20.44140625" style="36" customWidth="1"/>
    <col min="5" max="5" width="12.6640625" style="36" customWidth="1"/>
    <col min="6" max="6" width="6.44140625" style="36" bestFit="1" customWidth="1"/>
    <col min="7" max="7" width="10.88671875" style="36" bestFit="1" customWidth="1"/>
    <col min="8" max="8" width="6.21875" style="66" customWidth="1"/>
    <col min="9" max="9" width="16.44140625" style="66" bestFit="1" customWidth="1"/>
    <col min="10" max="10" width="12.21875" style="66" customWidth="1"/>
    <col min="11" max="11" width="11.88671875" style="66" customWidth="1"/>
    <col min="12" max="12" width="14.44140625" style="66" bestFit="1" customWidth="1"/>
    <col min="13" max="13" width="15.77734375" style="66" bestFit="1" customWidth="1"/>
    <col min="14" max="14" width="12.21875" style="66" customWidth="1"/>
    <col min="15" max="15" width="13" style="66" customWidth="1"/>
    <col min="16" max="16" width="8.5546875" style="36" bestFit="1" customWidth="1"/>
    <col min="17" max="17" width="11.21875" style="36" bestFit="1" customWidth="1"/>
    <col min="18" max="18" width="13.77734375" style="36" bestFit="1" customWidth="1"/>
    <col min="19" max="19" width="11.6640625" style="36" bestFit="1" customWidth="1"/>
    <col min="20" max="259" width="8.77734375" style="36"/>
    <col min="260" max="260" width="20.6640625" style="36" customWidth="1"/>
    <col min="261" max="261" width="12.6640625" style="36" customWidth="1"/>
    <col min="262" max="262" width="6.77734375" style="36" customWidth="1"/>
    <col min="263" max="263" width="5.77734375" style="36" customWidth="1"/>
    <col min="264" max="264" width="6.21875" style="36" customWidth="1"/>
    <col min="265" max="265" width="14.77734375" style="36" customWidth="1"/>
    <col min="266" max="266" width="12.21875" style="36" customWidth="1"/>
    <col min="267" max="267" width="11.88671875" style="36" customWidth="1"/>
    <col min="268" max="268" width="12.21875" style="36" customWidth="1"/>
    <col min="269" max="269" width="13" style="36" customWidth="1"/>
    <col min="270" max="270" width="12.21875" style="36" customWidth="1"/>
    <col min="271" max="271" width="13" style="36" customWidth="1"/>
    <col min="272" max="272" width="6.77734375" style="36" customWidth="1"/>
    <col min="273" max="273" width="11.21875" style="36" bestFit="1" customWidth="1"/>
    <col min="274" max="274" width="13.77734375" style="36" bestFit="1" customWidth="1"/>
    <col min="275" max="275" width="11.6640625" style="36" bestFit="1" customWidth="1"/>
    <col min="276" max="515" width="8.77734375" style="36"/>
    <col min="516" max="516" width="20.6640625" style="36" customWidth="1"/>
    <col min="517" max="517" width="12.6640625" style="36" customWidth="1"/>
    <col min="518" max="518" width="6.77734375" style="36" customWidth="1"/>
    <col min="519" max="519" width="5.77734375" style="36" customWidth="1"/>
    <col min="520" max="520" width="6.21875" style="36" customWidth="1"/>
    <col min="521" max="521" width="14.77734375" style="36" customWidth="1"/>
    <col min="522" max="522" width="12.21875" style="36" customWidth="1"/>
    <col min="523" max="523" width="11.88671875" style="36" customWidth="1"/>
    <col min="524" max="524" width="12.21875" style="36" customWidth="1"/>
    <col min="525" max="525" width="13" style="36" customWidth="1"/>
    <col min="526" max="526" width="12.21875" style="36" customWidth="1"/>
    <col min="527" max="527" width="13" style="36" customWidth="1"/>
    <col min="528" max="528" width="6.77734375" style="36" customWidth="1"/>
    <col min="529" max="529" width="11.21875" style="36" bestFit="1" customWidth="1"/>
    <col min="530" max="530" width="13.77734375" style="36" bestFit="1" customWidth="1"/>
    <col min="531" max="531" width="11.6640625" style="36" bestFit="1" customWidth="1"/>
    <col min="532" max="771" width="8.77734375" style="36"/>
    <col min="772" max="772" width="20.6640625" style="36" customWidth="1"/>
    <col min="773" max="773" width="12.6640625" style="36" customWidth="1"/>
    <col min="774" max="774" width="6.77734375" style="36" customWidth="1"/>
    <col min="775" max="775" width="5.77734375" style="36" customWidth="1"/>
    <col min="776" max="776" width="6.21875" style="36" customWidth="1"/>
    <col min="777" max="777" width="14.77734375" style="36" customWidth="1"/>
    <col min="778" max="778" width="12.21875" style="36" customWidth="1"/>
    <col min="779" max="779" width="11.88671875" style="36" customWidth="1"/>
    <col min="780" max="780" width="12.21875" style="36" customWidth="1"/>
    <col min="781" max="781" width="13" style="36" customWidth="1"/>
    <col min="782" max="782" width="12.21875" style="36" customWidth="1"/>
    <col min="783" max="783" width="13" style="36" customWidth="1"/>
    <col min="784" max="784" width="6.77734375" style="36" customWidth="1"/>
    <col min="785" max="785" width="11.21875" style="36" bestFit="1" customWidth="1"/>
    <col min="786" max="786" width="13.77734375" style="36" bestFit="1" customWidth="1"/>
    <col min="787" max="787" width="11.6640625" style="36" bestFit="1" customWidth="1"/>
    <col min="788" max="1027" width="8.77734375" style="36"/>
    <col min="1028" max="1028" width="20.6640625" style="36" customWidth="1"/>
    <col min="1029" max="1029" width="12.6640625" style="36" customWidth="1"/>
    <col min="1030" max="1030" width="6.77734375" style="36" customWidth="1"/>
    <col min="1031" max="1031" width="5.77734375" style="36" customWidth="1"/>
    <col min="1032" max="1032" width="6.21875" style="36" customWidth="1"/>
    <col min="1033" max="1033" width="14.77734375" style="36" customWidth="1"/>
    <col min="1034" max="1034" width="12.21875" style="36" customWidth="1"/>
    <col min="1035" max="1035" width="11.88671875" style="36" customWidth="1"/>
    <col min="1036" max="1036" width="12.21875" style="36" customWidth="1"/>
    <col min="1037" max="1037" width="13" style="36" customWidth="1"/>
    <col min="1038" max="1038" width="12.21875" style="36" customWidth="1"/>
    <col min="1039" max="1039" width="13" style="36" customWidth="1"/>
    <col min="1040" max="1040" width="6.77734375" style="36" customWidth="1"/>
    <col min="1041" max="1041" width="11.21875" style="36" bestFit="1" customWidth="1"/>
    <col min="1042" max="1042" width="13.77734375" style="36" bestFit="1" customWidth="1"/>
    <col min="1043" max="1043" width="11.6640625" style="36" bestFit="1" customWidth="1"/>
    <col min="1044" max="1283" width="8.77734375" style="36"/>
    <col min="1284" max="1284" width="20.6640625" style="36" customWidth="1"/>
    <col min="1285" max="1285" width="12.6640625" style="36" customWidth="1"/>
    <col min="1286" max="1286" width="6.77734375" style="36" customWidth="1"/>
    <col min="1287" max="1287" width="5.77734375" style="36" customWidth="1"/>
    <col min="1288" max="1288" width="6.21875" style="36" customWidth="1"/>
    <col min="1289" max="1289" width="14.77734375" style="36" customWidth="1"/>
    <col min="1290" max="1290" width="12.21875" style="36" customWidth="1"/>
    <col min="1291" max="1291" width="11.88671875" style="36" customWidth="1"/>
    <col min="1292" max="1292" width="12.21875" style="36" customWidth="1"/>
    <col min="1293" max="1293" width="13" style="36" customWidth="1"/>
    <col min="1294" max="1294" width="12.21875" style="36" customWidth="1"/>
    <col min="1295" max="1295" width="13" style="36" customWidth="1"/>
    <col min="1296" max="1296" width="6.77734375" style="36" customWidth="1"/>
    <col min="1297" max="1297" width="11.21875" style="36" bestFit="1" customWidth="1"/>
    <col min="1298" max="1298" width="13.77734375" style="36" bestFit="1" customWidth="1"/>
    <col min="1299" max="1299" width="11.6640625" style="36" bestFit="1" customWidth="1"/>
    <col min="1300" max="1539" width="8.77734375" style="36"/>
    <col min="1540" max="1540" width="20.6640625" style="36" customWidth="1"/>
    <col min="1541" max="1541" width="12.6640625" style="36" customWidth="1"/>
    <col min="1542" max="1542" width="6.77734375" style="36" customWidth="1"/>
    <col min="1543" max="1543" width="5.77734375" style="36" customWidth="1"/>
    <col min="1544" max="1544" width="6.21875" style="36" customWidth="1"/>
    <col min="1545" max="1545" width="14.77734375" style="36" customWidth="1"/>
    <col min="1546" max="1546" width="12.21875" style="36" customWidth="1"/>
    <col min="1547" max="1547" width="11.88671875" style="36" customWidth="1"/>
    <col min="1548" max="1548" width="12.21875" style="36" customWidth="1"/>
    <col min="1549" max="1549" width="13" style="36" customWidth="1"/>
    <col min="1550" max="1550" width="12.21875" style="36" customWidth="1"/>
    <col min="1551" max="1551" width="13" style="36" customWidth="1"/>
    <col min="1552" max="1552" width="6.77734375" style="36" customWidth="1"/>
    <col min="1553" max="1553" width="11.21875" style="36" bestFit="1" customWidth="1"/>
    <col min="1554" max="1554" width="13.77734375" style="36" bestFit="1" customWidth="1"/>
    <col min="1555" max="1555" width="11.6640625" style="36" bestFit="1" customWidth="1"/>
    <col min="1556" max="1795" width="8.77734375" style="36"/>
    <col min="1796" max="1796" width="20.6640625" style="36" customWidth="1"/>
    <col min="1797" max="1797" width="12.6640625" style="36" customWidth="1"/>
    <col min="1798" max="1798" width="6.77734375" style="36" customWidth="1"/>
    <col min="1799" max="1799" width="5.77734375" style="36" customWidth="1"/>
    <col min="1800" max="1800" width="6.21875" style="36" customWidth="1"/>
    <col min="1801" max="1801" width="14.77734375" style="36" customWidth="1"/>
    <col min="1802" max="1802" width="12.21875" style="36" customWidth="1"/>
    <col min="1803" max="1803" width="11.88671875" style="36" customWidth="1"/>
    <col min="1804" max="1804" width="12.21875" style="36" customWidth="1"/>
    <col min="1805" max="1805" width="13" style="36" customWidth="1"/>
    <col min="1806" max="1806" width="12.21875" style="36" customWidth="1"/>
    <col min="1807" max="1807" width="13" style="36" customWidth="1"/>
    <col min="1808" max="1808" width="6.77734375" style="36" customWidth="1"/>
    <col min="1809" max="1809" width="11.21875" style="36" bestFit="1" customWidth="1"/>
    <col min="1810" max="1810" width="13.77734375" style="36" bestFit="1" customWidth="1"/>
    <col min="1811" max="1811" width="11.6640625" style="36" bestFit="1" customWidth="1"/>
    <col min="1812" max="2051" width="8.77734375" style="36"/>
    <col min="2052" max="2052" width="20.6640625" style="36" customWidth="1"/>
    <col min="2053" max="2053" width="12.6640625" style="36" customWidth="1"/>
    <col min="2054" max="2054" width="6.77734375" style="36" customWidth="1"/>
    <col min="2055" max="2055" width="5.77734375" style="36" customWidth="1"/>
    <col min="2056" max="2056" width="6.21875" style="36" customWidth="1"/>
    <col min="2057" max="2057" width="14.77734375" style="36" customWidth="1"/>
    <col min="2058" max="2058" width="12.21875" style="36" customWidth="1"/>
    <col min="2059" max="2059" width="11.88671875" style="36" customWidth="1"/>
    <col min="2060" max="2060" width="12.21875" style="36" customWidth="1"/>
    <col min="2061" max="2061" width="13" style="36" customWidth="1"/>
    <col min="2062" max="2062" width="12.21875" style="36" customWidth="1"/>
    <col min="2063" max="2063" width="13" style="36" customWidth="1"/>
    <col min="2064" max="2064" width="6.77734375" style="36" customWidth="1"/>
    <col min="2065" max="2065" width="11.21875" style="36" bestFit="1" customWidth="1"/>
    <col min="2066" max="2066" width="13.77734375" style="36" bestFit="1" customWidth="1"/>
    <col min="2067" max="2067" width="11.6640625" style="36" bestFit="1" customWidth="1"/>
    <col min="2068" max="2307" width="8.77734375" style="36"/>
    <col min="2308" max="2308" width="20.6640625" style="36" customWidth="1"/>
    <col min="2309" max="2309" width="12.6640625" style="36" customWidth="1"/>
    <col min="2310" max="2310" width="6.77734375" style="36" customWidth="1"/>
    <col min="2311" max="2311" width="5.77734375" style="36" customWidth="1"/>
    <col min="2312" max="2312" width="6.21875" style="36" customWidth="1"/>
    <col min="2313" max="2313" width="14.77734375" style="36" customWidth="1"/>
    <col min="2314" max="2314" width="12.21875" style="36" customWidth="1"/>
    <col min="2315" max="2315" width="11.88671875" style="36" customWidth="1"/>
    <col min="2316" max="2316" width="12.21875" style="36" customWidth="1"/>
    <col min="2317" max="2317" width="13" style="36" customWidth="1"/>
    <col min="2318" max="2318" width="12.21875" style="36" customWidth="1"/>
    <col min="2319" max="2319" width="13" style="36" customWidth="1"/>
    <col min="2320" max="2320" width="6.77734375" style="36" customWidth="1"/>
    <col min="2321" max="2321" width="11.21875" style="36" bestFit="1" customWidth="1"/>
    <col min="2322" max="2322" width="13.77734375" style="36" bestFit="1" customWidth="1"/>
    <col min="2323" max="2323" width="11.6640625" style="36" bestFit="1" customWidth="1"/>
    <col min="2324" max="2563" width="8.77734375" style="36"/>
    <col min="2564" max="2564" width="20.6640625" style="36" customWidth="1"/>
    <col min="2565" max="2565" width="12.6640625" style="36" customWidth="1"/>
    <col min="2566" max="2566" width="6.77734375" style="36" customWidth="1"/>
    <col min="2567" max="2567" width="5.77734375" style="36" customWidth="1"/>
    <col min="2568" max="2568" width="6.21875" style="36" customWidth="1"/>
    <col min="2569" max="2569" width="14.77734375" style="36" customWidth="1"/>
    <col min="2570" max="2570" width="12.21875" style="36" customWidth="1"/>
    <col min="2571" max="2571" width="11.88671875" style="36" customWidth="1"/>
    <col min="2572" max="2572" width="12.21875" style="36" customWidth="1"/>
    <col min="2573" max="2573" width="13" style="36" customWidth="1"/>
    <col min="2574" max="2574" width="12.21875" style="36" customWidth="1"/>
    <col min="2575" max="2575" width="13" style="36" customWidth="1"/>
    <col min="2576" max="2576" width="6.77734375" style="36" customWidth="1"/>
    <col min="2577" max="2577" width="11.21875" style="36" bestFit="1" customWidth="1"/>
    <col min="2578" max="2578" width="13.77734375" style="36" bestFit="1" customWidth="1"/>
    <col min="2579" max="2579" width="11.6640625" style="36" bestFit="1" customWidth="1"/>
    <col min="2580" max="2819" width="8.77734375" style="36"/>
    <col min="2820" max="2820" width="20.6640625" style="36" customWidth="1"/>
    <col min="2821" max="2821" width="12.6640625" style="36" customWidth="1"/>
    <col min="2822" max="2822" width="6.77734375" style="36" customWidth="1"/>
    <col min="2823" max="2823" width="5.77734375" style="36" customWidth="1"/>
    <col min="2824" max="2824" width="6.21875" style="36" customWidth="1"/>
    <col min="2825" max="2825" width="14.77734375" style="36" customWidth="1"/>
    <col min="2826" max="2826" width="12.21875" style="36" customWidth="1"/>
    <col min="2827" max="2827" width="11.88671875" style="36" customWidth="1"/>
    <col min="2828" max="2828" width="12.21875" style="36" customWidth="1"/>
    <col min="2829" max="2829" width="13" style="36" customWidth="1"/>
    <col min="2830" max="2830" width="12.21875" style="36" customWidth="1"/>
    <col min="2831" max="2831" width="13" style="36" customWidth="1"/>
    <col min="2832" max="2832" width="6.77734375" style="36" customWidth="1"/>
    <col min="2833" max="2833" width="11.21875" style="36" bestFit="1" customWidth="1"/>
    <col min="2834" max="2834" width="13.77734375" style="36" bestFit="1" customWidth="1"/>
    <col min="2835" max="2835" width="11.6640625" style="36" bestFit="1" customWidth="1"/>
    <col min="2836" max="3075" width="8.77734375" style="36"/>
    <col min="3076" max="3076" width="20.6640625" style="36" customWidth="1"/>
    <col min="3077" max="3077" width="12.6640625" style="36" customWidth="1"/>
    <col min="3078" max="3078" width="6.77734375" style="36" customWidth="1"/>
    <col min="3079" max="3079" width="5.77734375" style="36" customWidth="1"/>
    <col min="3080" max="3080" width="6.21875" style="36" customWidth="1"/>
    <col min="3081" max="3081" width="14.77734375" style="36" customWidth="1"/>
    <col min="3082" max="3082" width="12.21875" style="36" customWidth="1"/>
    <col min="3083" max="3083" width="11.88671875" style="36" customWidth="1"/>
    <col min="3084" max="3084" width="12.21875" style="36" customWidth="1"/>
    <col min="3085" max="3085" width="13" style="36" customWidth="1"/>
    <col min="3086" max="3086" width="12.21875" style="36" customWidth="1"/>
    <col min="3087" max="3087" width="13" style="36" customWidth="1"/>
    <col min="3088" max="3088" width="6.77734375" style="36" customWidth="1"/>
    <col min="3089" max="3089" width="11.21875" style="36" bestFit="1" customWidth="1"/>
    <col min="3090" max="3090" width="13.77734375" style="36" bestFit="1" customWidth="1"/>
    <col min="3091" max="3091" width="11.6640625" style="36" bestFit="1" customWidth="1"/>
    <col min="3092" max="3331" width="8.77734375" style="36"/>
    <col min="3332" max="3332" width="20.6640625" style="36" customWidth="1"/>
    <col min="3333" max="3333" width="12.6640625" style="36" customWidth="1"/>
    <col min="3334" max="3334" width="6.77734375" style="36" customWidth="1"/>
    <col min="3335" max="3335" width="5.77734375" style="36" customWidth="1"/>
    <col min="3336" max="3336" width="6.21875" style="36" customWidth="1"/>
    <col min="3337" max="3337" width="14.77734375" style="36" customWidth="1"/>
    <col min="3338" max="3338" width="12.21875" style="36" customWidth="1"/>
    <col min="3339" max="3339" width="11.88671875" style="36" customWidth="1"/>
    <col min="3340" max="3340" width="12.21875" style="36" customWidth="1"/>
    <col min="3341" max="3341" width="13" style="36" customWidth="1"/>
    <col min="3342" max="3342" width="12.21875" style="36" customWidth="1"/>
    <col min="3343" max="3343" width="13" style="36" customWidth="1"/>
    <col min="3344" max="3344" width="6.77734375" style="36" customWidth="1"/>
    <col min="3345" max="3345" width="11.21875" style="36" bestFit="1" customWidth="1"/>
    <col min="3346" max="3346" width="13.77734375" style="36" bestFit="1" customWidth="1"/>
    <col min="3347" max="3347" width="11.6640625" style="36" bestFit="1" customWidth="1"/>
    <col min="3348" max="3587" width="8.77734375" style="36"/>
    <col min="3588" max="3588" width="20.6640625" style="36" customWidth="1"/>
    <col min="3589" max="3589" width="12.6640625" style="36" customWidth="1"/>
    <col min="3590" max="3590" width="6.77734375" style="36" customWidth="1"/>
    <col min="3591" max="3591" width="5.77734375" style="36" customWidth="1"/>
    <col min="3592" max="3592" width="6.21875" style="36" customWidth="1"/>
    <col min="3593" max="3593" width="14.77734375" style="36" customWidth="1"/>
    <col min="3594" max="3594" width="12.21875" style="36" customWidth="1"/>
    <col min="3595" max="3595" width="11.88671875" style="36" customWidth="1"/>
    <col min="3596" max="3596" width="12.21875" style="36" customWidth="1"/>
    <col min="3597" max="3597" width="13" style="36" customWidth="1"/>
    <col min="3598" max="3598" width="12.21875" style="36" customWidth="1"/>
    <col min="3599" max="3599" width="13" style="36" customWidth="1"/>
    <col min="3600" max="3600" width="6.77734375" style="36" customWidth="1"/>
    <col min="3601" max="3601" width="11.21875" style="36" bestFit="1" customWidth="1"/>
    <col min="3602" max="3602" width="13.77734375" style="36" bestFit="1" customWidth="1"/>
    <col min="3603" max="3603" width="11.6640625" style="36" bestFit="1" customWidth="1"/>
    <col min="3604" max="3843" width="8.77734375" style="36"/>
    <col min="3844" max="3844" width="20.6640625" style="36" customWidth="1"/>
    <col min="3845" max="3845" width="12.6640625" style="36" customWidth="1"/>
    <col min="3846" max="3846" width="6.77734375" style="36" customWidth="1"/>
    <col min="3847" max="3847" width="5.77734375" style="36" customWidth="1"/>
    <col min="3848" max="3848" width="6.21875" style="36" customWidth="1"/>
    <col min="3849" max="3849" width="14.77734375" style="36" customWidth="1"/>
    <col min="3850" max="3850" width="12.21875" style="36" customWidth="1"/>
    <col min="3851" max="3851" width="11.88671875" style="36" customWidth="1"/>
    <col min="3852" max="3852" width="12.21875" style="36" customWidth="1"/>
    <col min="3853" max="3853" width="13" style="36" customWidth="1"/>
    <col min="3854" max="3854" width="12.21875" style="36" customWidth="1"/>
    <col min="3855" max="3855" width="13" style="36" customWidth="1"/>
    <col min="3856" max="3856" width="6.77734375" style="36" customWidth="1"/>
    <col min="3857" max="3857" width="11.21875" style="36" bestFit="1" customWidth="1"/>
    <col min="3858" max="3858" width="13.77734375" style="36" bestFit="1" customWidth="1"/>
    <col min="3859" max="3859" width="11.6640625" style="36" bestFit="1" customWidth="1"/>
    <col min="3860" max="4099" width="8.77734375" style="36"/>
    <col min="4100" max="4100" width="20.6640625" style="36" customWidth="1"/>
    <col min="4101" max="4101" width="12.6640625" style="36" customWidth="1"/>
    <col min="4102" max="4102" width="6.77734375" style="36" customWidth="1"/>
    <col min="4103" max="4103" width="5.77734375" style="36" customWidth="1"/>
    <col min="4104" max="4104" width="6.21875" style="36" customWidth="1"/>
    <col min="4105" max="4105" width="14.77734375" style="36" customWidth="1"/>
    <col min="4106" max="4106" width="12.21875" style="36" customWidth="1"/>
    <col min="4107" max="4107" width="11.88671875" style="36" customWidth="1"/>
    <col min="4108" max="4108" width="12.21875" style="36" customWidth="1"/>
    <col min="4109" max="4109" width="13" style="36" customWidth="1"/>
    <col min="4110" max="4110" width="12.21875" style="36" customWidth="1"/>
    <col min="4111" max="4111" width="13" style="36" customWidth="1"/>
    <col min="4112" max="4112" width="6.77734375" style="36" customWidth="1"/>
    <col min="4113" max="4113" width="11.21875" style="36" bestFit="1" customWidth="1"/>
    <col min="4114" max="4114" width="13.77734375" style="36" bestFit="1" customWidth="1"/>
    <col min="4115" max="4115" width="11.6640625" style="36" bestFit="1" customWidth="1"/>
    <col min="4116" max="4355" width="8.77734375" style="36"/>
    <col min="4356" max="4356" width="20.6640625" style="36" customWidth="1"/>
    <col min="4357" max="4357" width="12.6640625" style="36" customWidth="1"/>
    <col min="4358" max="4358" width="6.77734375" style="36" customWidth="1"/>
    <col min="4359" max="4359" width="5.77734375" style="36" customWidth="1"/>
    <col min="4360" max="4360" width="6.21875" style="36" customWidth="1"/>
    <col min="4361" max="4361" width="14.77734375" style="36" customWidth="1"/>
    <col min="4362" max="4362" width="12.21875" style="36" customWidth="1"/>
    <col min="4363" max="4363" width="11.88671875" style="36" customWidth="1"/>
    <col min="4364" max="4364" width="12.21875" style="36" customWidth="1"/>
    <col min="4365" max="4365" width="13" style="36" customWidth="1"/>
    <col min="4366" max="4366" width="12.21875" style="36" customWidth="1"/>
    <col min="4367" max="4367" width="13" style="36" customWidth="1"/>
    <col min="4368" max="4368" width="6.77734375" style="36" customWidth="1"/>
    <col min="4369" max="4369" width="11.21875" style="36" bestFit="1" customWidth="1"/>
    <col min="4370" max="4370" width="13.77734375" style="36" bestFit="1" customWidth="1"/>
    <col min="4371" max="4371" width="11.6640625" style="36" bestFit="1" customWidth="1"/>
    <col min="4372" max="4611" width="8.77734375" style="36"/>
    <col min="4612" max="4612" width="20.6640625" style="36" customWidth="1"/>
    <col min="4613" max="4613" width="12.6640625" style="36" customWidth="1"/>
    <col min="4614" max="4614" width="6.77734375" style="36" customWidth="1"/>
    <col min="4615" max="4615" width="5.77734375" style="36" customWidth="1"/>
    <col min="4616" max="4616" width="6.21875" style="36" customWidth="1"/>
    <col min="4617" max="4617" width="14.77734375" style="36" customWidth="1"/>
    <col min="4618" max="4618" width="12.21875" style="36" customWidth="1"/>
    <col min="4619" max="4619" width="11.88671875" style="36" customWidth="1"/>
    <col min="4620" max="4620" width="12.21875" style="36" customWidth="1"/>
    <col min="4621" max="4621" width="13" style="36" customWidth="1"/>
    <col min="4622" max="4622" width="12.21875" style="36" customWidth="1"/>
    <col min="4623" max="4623" width="13" style="36" customWidth="1"/>
    <col min="4624" max="4624" width="6.77734375" style="36" customWidth="1"/>
    <col min="4625" max="4625" width="11.21875" style="36" bestFit="1" customWidth="1"/>
    <col min="4626" max="4626" width="13.77734375" style="36" bestFit="1" customWidth="1"/>
    <col min="4627" max="4627" width="11.6640625" style="36" bestFit="1" customWidth="1"/>
    <col min="4628" max="4867" width="8.77734375" style="36"/>
    <col min="4868" max="4868" width="20.6640625" style="36" customWidth="1"/>
    <col min="4869" max="4869" width="12.6640625" style="36" customWidth="1"/>
    <col min="4870" max="4870" width="6.77734375" style="36" customWidth="1"/>
    <col min="4871" max="4871" width="5.77734375" style="36" customWidth="1"/>
    <col min="4872" max="4872" width="6.21875" style="36" customWidth="1"/>
    <col min="4873" max="4873" width="14.77734375" style="36" customWidth="1"/>
    <col min="4874" max="4874" width="12.21875" style="36" customWidth="1"/>
    <col min="4875" max="4875" width="11.88671875" style="36" customWidth="1"/>
    <col min="4876" max="4876" width="12.21875" style="36" customWidth="1"/>
    <col min="4877" max="4877" width="13" style="36" customWidth="1"/>
    <col min="4878" max="4878" width="12.21875" style="36" customWidth="1"/>
    <col min="4879" max="4879" width="13" style="36" customWidth="1"/>
    <col min="4880" max="4880" width="6.77734375" style="36" customWidth="1"/>
    <col min="4881" max="4881" width="11.21875" style="36" bestFit="1" customWidth="1"/>
    <col min="4882" max="4882" width="13.77734375" style="36" bestFit="1" customWidth="1"/>
    <col min="4883" max="4883" width="11.6640625" style="36" bestFit="1" customWidth="1"/>
    <col min="4884" max="5123" width="8.77734375" style="36"/>
    <col min="5124" max="5124" width="20.6640625" style="36" customWidth="1"/>
    <col min="5125" max="5125" width="12.6640625" style="36" customWidth="1"/>
    <col min="5126" max="5126" width="6.77734375" style="36" customWidth="1"/>
    <col min="5127" max="5127" width="5.77734375" style="36" customWidth="1"/>
    <col min="5128" max="5128" width="6.21875" style="36" customWidth="1"/>
    <col min="5129" max="5129" width="14.77734375" style="36" customWidth="1"/>
    <col min="5130" max="5130" width="12.21875" style="36" customWidth="1"/>
    <col min="5131" max="5131" width="11.88671875" style="36" customWidth="1"/>
    <col min="5132" max="5132" width="12.21875" style="36" customWidth="1"/>
    <col min="5133" max="5133" width="13" style="36" customWidth="1"/>
    <col min="5134" max="5134" width="12.21875" style="36" customWidth="1"/>
    <col min="5135" max="5135" width="13" style="36" customWidth="1"/>
    <col min="5136" max="5136" width="6.77734375" style="36" customWidth="1"/>
    <col min="5137" max="5137" width="11.21875" style="36" bestFit="1" customWidth="1"/>
    <col min="5138" max="5138" width="13.77734375" style="36" bestFit="1" customWidth="1"/>
    <col min="5139" max="5139" width="11.6640625" style="36" bestFit="1" customWidth="1"/>
    <col min="5140" max="5379" width="8.77734375" style="36"/>
    <col min="5380" max="5380" width="20.6640625" style="36" customWidth="1"/>
    <col min="5381" max="5381" width="12.6640625" style="36" customWidth="1"/>
    <col min="5382" max="5382" width="6.77734375" style="36" customWidth="1"/>
    <col min="5383" max="5383" width="5.77734375" style="36" customWidth="1"/>
    <col min="5384" max="5384" width="6.21875" style="36" customWidth="1"/>
    <col min="5385" max="5385" width="14.77734375" style="36" customWidth="1"/>
    <col min="5386" max="5386" width="12.21875" style="36" customWidth="1"/>
    <col min="5387" max="5387" width="11.88671875" style="36" customWidth="1"/>
    <col min="5388" max="5388" width="12.21875" style="36" customWidth="1"/>
    <col min="5389" max="5389" width="13" style="36" customWidth="1"/>
    <col min="5390" max="5390" width="12.21875" style="36" customWidth="1"/>
    <col min="5391" max="5391" width="13" style="36" customWidth="1"/>
    <col min="5392" max="5392" width="6.77734375" style="36" customWidth="1"/>
    <col min="5393" max="5393" width="11.21875" style="36" bestFit="1" customWidth="1"/>
    <col min="5394" max="5394" width="13.77734375" style="36" bestFit="1" customWidth="1"/>
    <col min="5395" max="5395" width="11.6640625" style="36" bestFit="1" customWidth="1"/>
    <col min="5396" max="5635" width="8.77734375" style="36"/>
    <col min="5636" max="5636" width="20.6640625" style="36" customWidth="1"/>
    <col min="5637" max="5637" width="12.6640625" style="36" customWidth="1"/>
    <col min="5638" max="5638" width="6.77734375" style="36" customWidth="1"/>
    <col min="5639" max="5639" width="5.77734375" style="36" customWidth="1"/>
    <col min="5640" max="5640" width="6.21875" style="36" customWidth="1"/>
    <col min="5641" max="5641" width="14.77734375" style="36" customWidth="1"/>
    <col min="5642" max="5642" width="12.21875" style="36" customWidth="1"/>
    <col min="5643" max="5643" width="11.88671875" style="36" customWidth="1"/>
    <col min="5644" max="5644" width="12.21875" style="36" customWidth="1"/>
    <col min="5645" max="5645" width="13" style="36" customWidth="1"/>
    <col min="5646" max="5646" width="12.21875" style="36" customWidth="1"/>
    <col min="5647" max="5647" width="13" style="36" customWidth="1"/>
    <col min="5648" max="5648" width="6.77734375" style="36" customWidth="1"/>
    <col min="5649" max="5649" width="11.21875" style="36" bestFit="1" customWidth="1"/>
    <col min="5650" max="5650" width="13.77734375" style="36" bestFit="1" customWidth="1"/>
    <col min="5651" max="5651" width="11.6640625" style="36" bestFit="1" customWidth="1"/>
    <col min="5652" max="5891" width="8.77734375" style="36"/>
    <col min="5892" max="5892" width="20.6640625" style="36" customWidth="1"/>
    <col min="5893" max="5893" width="12.6640625" style="36" customWidth="1"/>
    <col min="5894" max="5894" width="6.77734375" style="36" customWidth="1"/>
    <col min="5895" max="5895" width="5.77734375" style="36" customWidth="1"/>
    <col min="5896" max="5896" width="6.21875" style="36" customWidth="1"/>
    <col min="5897" max="5897" width="14.77734375" style="36" customWidth="1"/>
    <col min="5898" max="5898" width="12.21875" style="36" customWidth="1"/>
    <col min="5899" max="5899" width="11.88671875" style="36" customWidth="1"/>
    <col min="5900" max="5900" width="12.21875" style="36" customWidth="1"/>
    <col min="5901" max="5901" width="13" style="36" customWidth="1"/>
    <col min="5902" max="5902" width="12.21875" style="36" customWidth="1"/>
    <col min="5903" max="5903" width="13" style="36" customWidth="1"/>
    <col min="5904" max="5904" width="6.77734375" style="36" customWidth="1"/>
    <col min="5905" max="5905" width="11.21875" style="36" bestFit="1" customWidth="1"/>
    <col min="5906" max="5906" width="13.77734375" style="36" bestFit="1" customWidth="1"/>
    <col min="5907" max="5907" width="11.6640625" style="36" bestFit="1" customWidth="1"/>
    <col min="5908" max="6147" width="8.77734375" style="36"/>
    <col min="6148" max="6148" width="20.6640625" style="36" customWidth="1"/>
    <col min="6149" max="6149" width="12.6640625" style="36" customWidth="1"/>
    <col min="6150" max="6150" width="6.77734375" style="36" customWidth="1"/>
    <col min="6151" max="6151" width="5.77734375" style="36" customWidth="1"/>
    <col min="6152" max="6152" width="6.21875" style="36" customWidth="1"/>
    <col min="6153" max="6153" width="14.77734375" style="36" customWidth="1"/>
    <col min="6154" max="6154" width="12.21875" style="36" customWidth="1"/>
    <col min="6155" max="6155" width="11.88671875" style="36" customWidth="1"/>
    <col min="6156" max="6156" width="12.21875" style="36" customWidth="1"/>
    <col min="6157" max="6157" width="13" style="36" customWidth="1"/>
    <col min="6158" max="6158" width="12.21875" style="36" customWidth="1"/>
    <col min="6159" max="6159" width="13" style="36" customWidth="1"/>
    <col min="6160" max="6160" width="6.77734375" style="36" customWidth="1"/>
    <col min="6161" max="6161" width="11.21875" style="36" bestFit="1" customWidth="1"/>
    <col min="6162" max="6162" width="13.77734375" style="36" bestFit="1" customWidth="1"/>
    <col min="6163" max="6163" width="11.6640625" style="36" bestFit="1" customWidth="1"/>
    <col min="6164" max="6403" width="8.77734375" style="36"/>
    <col min="6404" max="6404" width="20.6640625" style="36" customWidth="1"/>
    <col min="6405" max="6405" width="12.6640625" style="36" customWidth="1"/>
    <col min="6406" max="6406" width="6.77734375" style="36" customWidth="1"/>
    <col min="6407" max="6407" width="5.77734375" style="36" customWidth="1"/>
    <col min="6408" max="6408" width="6.21875" style="36" customWidth="1"/>
    <col min="6409" max="6409" width="14.77734375" style="36" customWidth="1"/>
    <col min="6410" max="6410" width="12.21875" style="36" customWidth="1"/>
    <col min="6411" max="6411" width="11.88671875" style="36" customWidth="1"/>
    <col min="6412" max="6412" width="12.21875" style="36" customWidth="1"/>
    <col min="6413" max="6413" width="13" style="36" customWidth="1"/>
    <col min="6414" max="6414" width="12.21875" style="36" customWidth="1"/>
    <col min="6415" max="6415" width="13" style="36" customWidth="1"/>
    <col min="6416" max="6416" width="6.77734375" style="36" customWidth="1"/>
    <col min="6417" max="6417" width="11.21875" style="36" bestFit="1" customWidth="1"/>
    <col min="6418" max="6418" width="13.77734375" style="36" bestFit="1" customWidth="1"/>
    <col min="6419" max="6419" width="11.6640625" style="36" bestFit="1" customWidth="1"/>
    <col min="6420" max="6659" width="8.77734375" style="36"/>
    <col min="6660" max="6660" width="20.6640625" style="36" customWidth="1"/>
    <col min="6661" max="6661" width="12.6640625" style="36" customWidth="1"/>
    <col min="6662" max="6662" width="6.77734375" style="36" customWidth="1"/>
    <col min="6663" max="6663" width="5.77734375" style="36" customWidth="1"/>
    <col min="6664" max="6664" width="6.21875" style="36" customWidth="1"/>
    <col min="6665" max="6665" width="14.77734375" style="36" customWidth="1"/>
    <col min="6666" max="6666" width="12.21875" style="36" customWidth="1"/>
    <col min="6667" max="6667" width="11.88671875" style="36" customWidth="1"/>
    <col min="6668" max="6668" width="12.21875" style="36" customWidth="1"/>
    <col min="6669" max="6669" width="13" style="36" customWidth="1"/>
    <col min="6670" max="6670" width="12.21875" style="36" customWidth="1"/>
    <col min="6671" max="6671" width="13" style="36" customWidth="1"/>
    <col min="6672" max="6672" width="6.77734375" style="36" customWidth="1"/>
    <col min="6673" max="6673" width="11.21875" style="36" bestFit="1" customWidth="1"/>
    <col min="6674" max="6674" width="13.77734375" style="36" bestFit="1" customWidth="1"/>
    <col min="6675" max="6675" width="11.6640625" style="36" bestFit="1" customWidth="1"/>
    <col min="6676" max="6915" width="8.77734375" style="36"/>
    <col min="6916" max="6916" width="20.6640625" style="36" customWidth="1"/>
    <col min="6917" max="6917" width="12.6640625" style="36" customWidth="1"/>
    <col min="6918" max="6918" width="6.77734375" style="36" customWidth="1"/>
    <col min="6919" max="6919" width="5.77734375" style="36" customWidth="1"/>
    <col min="6920" max="6920" width="6.21875" style="36" customWidth="1"/>
    <col min="6921" max="6921" width="14.77734375" style="36" customWidth="1"/>
    <col min="6922" max="6922" width="12.21875" style="36" customWidth="1"/>
    <col min="6923" max="6923" width="11.88671875" style="36" customWidth="1"/>
    <col min="6924" max="6924" width="12.21875" style="36" customWidth="1"/>
    <col min="6925" max="6925" width="13" style="36" customWidth="1"/>
    <col min="6926" max="6926" width="12.21875" style="36" customWidth="1"/>
    <col min="6927" max="6927" width="13" style="36" customWidth="1"/>
    <col min="6928" max="6928" width="6.77734375" style="36" customWidth="1"/>
    <col min="6929" max="6929" width="11.21875" style="36" bestFit="1" customWidth="1"/>
    <col min="6930" max="6930" width="13.77734375" style="36" bestFit="1" customWidth="1"/>
    <col min="6931" max="6931" width="11.6640625" style="36" bestFit="1" customWidth="1"/>
    <col min="6932" max="7171" width="8.77734375" style="36"/>
    <col min="7172" max="7172" width="20.6640625" style="36" customWidth="1"/>
    <col min="7173" max="7173" width="12.6640625" style="36" customWidth="1"/>
    <col min="7174" max="7174" width="6.77734375" style="36" customWidth="1"/>
    <col min="7175" max="7175" width="5.77734375" style="36" customWidth="1"/>
    <col min="7176" max="7176" width="6.21875" style="36" customWidth="1"/>
    <col min="7177" max="7177" width="14.77734375" style="36" customWidth="1"/>
    <col min="7178" max="7178" width="12.21875" style="36" customWidth="1"/>
    <col min="7179" max="7179" width="11.88671875" style="36" customWidth="1"/>
    <col min="7180" max="7180" width="12.21875" style="36" customWidth="1"/>
    <col min="7181" max="7181" width="13" style="36" customWidth="1"/>
    <col min="7182" max="7182" width="12.21875" style="36" customWidth="1"/>
    <col min="7183" max="7183" width="13" style="36" customWidth="1"/>
    <col min="7184" max="7184" width="6.77734375" style="36" customWidth="1"/>
    <col min="7185" max="7185" width="11.21875" style="36" bestFit="1" customWidth="1"/>
    <col min="7186" max="7186" width="13.77734375" style="36" bestFit="1" customWidth="1"/>
    <col min="7187" max="7187" width="11.6640625" style="36" bestFit="1" customWidth="1"/>
    <col min="7188" max="7427" width="8.77734375" style="36"/>
    <col min="7428" max="7428" width="20.6640625" style="36" customWidth="1"/>
    <col min="7429" max="7429" width="12.6640625" style="36" customWidth="1"/>
    <col min="7430" max="7430" width="6.77734375" style="36" customWidth="1"/>
    <col min="7431" max="7431" width="5.77734375" style="36" customWidth="1"/>
    <col min="7432" max="7432" width="6.21875" style="36" customWidth="1"/>
    <col min="7433" max="7433" width="14.77734375" style="36" customWidth="1"/>
    <col min="7434" max="7434" width="12.21875" style="36" customWidth="1"/>
    <col min="7435" max="7435" width="11.88671875" style="36" customWidth="1"/>
    <col min="7436" max="7436" width="12.21875" style="36" customWidth="1"/>
    <col min="7437" max="7437" width="13" style="36" customWidth="1"/>
    <col min="7438" max="7438" width="12.21875" style="36" customWidth="1"/>
    <col min="7439" max="7439" width="13" style="36" customWidth="1"/>
    <col min="7440" max="7440" width="6.77734375" style="36" customWidth="1"/>
    <col min="7441" max="7441" width="11.21875" style="36" bestFit="1" customWidth="1"/>
    <col min="7442" max="7442" width="13.77734375" style="36" bestFit="1" customWidth="1"/>
    <col min="7443" max="7443" width="11.6640625" style="36" bestFit="1" customWidth="1"/>
    <col min="7444" max="7683" width="8.77734375" style="36"/>
    <col min="7684" max="7684" width="20.6640625" style="36" customWidth="1"/>
    <col min="7685" max="7685" width="12.6640625" style="36" customWidth="1"/>
    <col min="7686" max="7686" width="6.77734375" style="36" customWidth="1"/>
    <col min="7687" max="7687" width="5.77734375" style="36" customWidth="1"/>
    <col min="7688" max="7688" width="6.21875" style="36" customWidth="1"/>
    <col min="7689" max="7689" width="14.77734375" style="36" customWidth="1"/>
    <col min="7690" max="7690" width="12.21875" style="36" customWidth="1"/>
    <col min="7691" max="7691" width="11.88671875" style="36" customWidth="1"/>
    <col min="7692" max="7692" width="12.21875" style="36" customWidth="1"/>
    <col min="7693" max="7693" width="13" style="36" customWidth="1"/>
    <col min="7694" max="7694" width="12.21875" style="36" customWidth="1"/>
    <col min="7695" max="7695" width="13" style="36" customWidth="1"/>
    <col min="7696" max="7696" width="6.77734375" style="36" customWidth="1"/>
    <col min="7697" max="7697" width="11.21875" style="36" bestFit="1" customWidth="1"/>
    <col min="7698" max="7698" width="13.77734375" style="36" bestFit="1" customWidth="1"/>
    <col min="7699" max="7699" width="11.6640625" style="36" bestFit="1" customWidth="1"/>
    <col min="7700" max="7939" width="8.77734375" style="36"/>
    <col min="7940" max="7940" width="20.6640625" style="36" customWidth="1"/>
    <col min="7941" max="7941" width="12.6640625" style="36" customWidth="1"/>
    <col min="7942" max="7942" width="6.77734375" style="36" customWidth="1"/>
    <col min="7943" max="7943" width="5.77734375" style="36" customWidth="1"/>
    <col min="7944" max="7944" width="6.21875" style="36" customWidth="1"/>
    <col min="7945" max="7945" width="14.77734375" style="36" customWidth="1"/>
    <col min="7946" max="7946" width="12.21875" style="36" customWidth="1"/>
    <col min="7947" max="7947" width="11.88671875" style="36" customWidth="1"/>
    <col min="7948" max="7948" width="12.21875" style="36" customWidth="1"/>
    <col min="7949" max="7949" width="13" style="36" customWidth="1"/>
    <col min="7950" max="7950" width="12.21875" style="36" customWidth="1"/>
    <col min="7951" max="7951" width="13" style="36" customWidth="1"/>
    <col min="7952" max="7952" width="6.77734375" style="36" customWidth="1"/>
    <col min="7953" max="7953" width="11.21875" style="36" bestFit="1" customWidth="1"/>
    <col min="7954" max="7954" width="13.77734375" style="36" bestFit="1" customWidth="1"/>
    <col min="7955" max="7955" width="11.6640625" style="36" bestFit="1" customWidth="1"/>
    <col min="7956" max="8195" width="8.77734375" style="36"/>
    <col min="8196" max="8196" width="20.6640625" style="36" customWidth="1"/>
    <col min="8197" max="8197" width="12.6640625" style="36" customWidth="1"/>
    <col min="8198" max="8198" width="6.77734375" style="36" customWidth="1"/>
    <col min="8199" max="8199" width="5.77734375" style="36" customWidth="1"/>
    <col min="8200" max="8200" width="6.21875" style="36" customWidth="1"/>
    <col min="8201" max="8201" width="14.77734375" style="36" customWidth="1"/>
    <col min="8202" max="8202" width="12.21875" style="36" customWidth="1"/>
    <col min="8203" max="8203" width="11.88671875" style="36" customWidth="1"/>
    <col min="8204" max="8204" width="12.21875" style="36" customWidth="1"/>
    <col min="8205" max="8205" width="13" style="36" customWidth="1"/>
    <col min="8206" max="8206" width="12.21875" style="36" customWidth="1"/>
    <col min="8207" max="8207" width="13" style="36" customWidth="1"/>
    <col min="8208" max="8208" width="6.77734375" style="36" customWidth="1"/>
    <col min="8209" max="8209" width="11.21875" style="36" bestFit="1" customWidth="1"/>
    <col min="8210" max="8210" width="13.77734375" style="36" bestFit="1" customWidth="1"/>
    <col min="8211" max="8211" width="11.6640625" style="36" bestFit="1" customWidth="1"/>
    <col min="8212" max="8451" width="8.77734375" style="36"/>
    <col min="8452" max="8452" width="20.6640625" style="36" customWidth="1"/>
    <col min="8453" max="8453" width="12.6640625" style="36" customWidth="1"/>
    <col min="8454" max="8454" width="6.77734375" style="36" customWidth="1"/>
    <col min="8455" max="8455" width="5.77734375" style="36" customWidth="1"/>
    <col min="8456" max="8456" width="6.21875" style="36" customWidth="1"/>
    <col min="8457" max="8457" width="14.77734375" style="36" customWidth="1"/>
    <col min="8458" max="8458" width="12.21875" style="36" customWidth="1"/>
    <col min="8459" max="8459" width="11.88671875" style="36" customWidth="1"/>
    <col min="8460" max="8460" width="12.21875" style="36" customWidth="1"/>
    <col min="8461" max="8461" width="13" style="36" customWidth="1"/>
    <col min="8462" max="8462" width="12.21875" style="36" customWidth="1"/>
    <col min="8463" max="8463" width="13" style="36" customWidth="1"/>
    <col min="8464" max="8464" width="6.77734375" style="36" customWidth="1"/>
    <col min="8465" max="8465" width="11.21875" style="36" bestFit="1" customWidth="1"/>
    <col min="8466" max="8466" width="13.77734375" style="36" bestFit="1" customWidth="1"/>
    <col min="8467" max="8467" width="11.6640625" style="36" bestFit="1" customWidth="1"/>
    <col min="8468" max="8707" width="8.77734375" style="36"/>
    <col min="8708" max="8708" width="20.6640625" style="36" customWidth="1"/>
    <col min="8709" max="8709" width="12.6640625" style="36" customWidth="1"/>
    <col min="8710" max="8710" width="6.77734375" style="36" customWidth="1"/>
    <col min="8711" max="8711" width="5.77734375" style="36" customWidth="1"/>
    <col min="8712" max="8712" width="6.21875" style="36" customWidth="1"/>
    <col min="8713" max="8713" width="14.77734375" style="36" customWidth="1"/>
    <col min="8714" max="8714" width="12.21875" style="36" customWidth="1"/>
    <col min="8715" max="8715" width="11.88671875" style="36" customWidth="1"/>
    <col min="8716" max="8716" width="12.21875" style="36" customWidth="1"/>
    <col min="8717" max="8717" width="13" style="36" customWidth="1"/>
    <col min="8718" max="8718" width="12.21875" style="36" customWidth="1"/>
    <col min="8719" max="8719" width="13" style="36" customWidth="1"/>
    <col min="8720" max="8720" width="6.77734375" style="36" customWidth="1"/>
    <col min="8721" max="8721" width="11.21875" style="36" bestFit="1" customWidth="1"/>
    <col min="8722" max="8722" width="13.77734375" style="36" bestFit="1" customWidth="1"/>
    <col min="8723" max="8723" width="11.6640625" style="36" bestFit="1" customWidth="1"/>
    <col min="8724" max="8963" width="8.77734375" style="36"/>
    <col min="8964" max="8964" width="20.6640625" style="36" customWidth="1"/>
    <col min="8965" max="8965" width="12.6640625" style="36" customWidth="1"/>
    <col min="8966" max="8966" width="6.77734375" style="36" customWidth="1"/>
    <col min="8967" max="8967" width="5.77734375" style="36" customWidth="1"/>
    <col min="8968" max="8968" width="6.21875" style="36" customWidth="1"/>
    <col min="8969" max="8969" width="14.77734375" style="36" customWidth="1"/>
    <col min="8970" max="8970" width="12.21875" style="36" customWidth="1"/>
    <col min="8971" max="8971" width="11.88671875" style="36" customWidth="1"/>
    <col min="8972" max="8972" width="12.21875" style="36" customWidth="1"/>
    <col min="8973" max="8973" width="13" style="36" customWidth="1"/>
    <col min="8974" max="8974" width="12.21875" style="36" customWidth="1"/>
    <col min="8975" max="8975" width="13" style="36" customWidth="1"/>
    <col min="8976" max="8976" width="6.77734375" style="36" customWidth="1"/>
    <col min="8977" max="8977" width="11.21875" style="36" bestFit="1" customWidth="1"/>
    <col min="8978" max="8978" width="13.77734375" style="36" bestFit="1" customWidth="1"/>
    <col min="8979" max="8979" width="11.6640625" style="36" bestFit="1" customWidth="1"/>
    <col min="8980" max="9219" width="8.77734375" style="36"/>
    <col min="9220" max="9220" width="20.6640625" style="36" customWidth="1"/>
    <col min="9221" max="9221" width="12.6640625" style="36" customWidth="1"/>
    <col min="9222" max="9222" width="6.77734375" style="36" customWidth="1"/>
    <col min="9223" max="9223" width="5.77734375" style="36" customWidth="1"/>
    <col min="9224" max="9224" width="6.21875" style="36" customWidth="1"/>
    <col min="9225" max="9225" width="14.77734375" style="36" customWidth="1"/>
    <col min="9226" max="9226" width="12.21875" style="36" customWidth="1"/>
    <col min="9227" max="9227" width="11.88671875" style="36" customWidth="1"/>
    <col min="9228" max="9228" width="12.21875" style="36" customWidth="1"/>
    <col min="9229" max="9229" width="13" style="36" customWidth="1"/>
    <col min="9230" max="9230" width="12.21875" style="36" customWidth="1"/>
    <col min="9231" max="9231" width="13" style="36" customWidth="1"/>
    <col min="9232" max="9232" width="6.77734375" style="36" customWidth="1"/>
    <col min="9233" max="9233" width="11.21875" style="36" bestFit="1" customWidth="1"/>
    <col min="9234" max="9234" width="13.77734375" style="36" bestFit="1" customWidth="1"/>
    <col min="9235" max="9235" width="11.6640625" style="36" bestFit="1" customWidth="1"/>
    <col min="9236" max="9475" width="8.77734375" style="36"/>
    <col min="9476" max="9476" width="20.6640625" style="36" customWidth="1"/>
    <col min="9477" max="9477" width="12.6640625" style="36" customWidth="1"/>
    <col min="9478" max="9478" width="6.77734375" style="36" customWidth="1"/>
    <col min="9479" max="9479" width="5.77734375" style="36" customWidth="1"/>
    <col min="9480" max="9480" width="6.21875" style="36" customWidth="1"/>
    <col min="9481" max="9481" width="14.77734375" style="36" customWidth="1"/>
    <col min="9482" max="9482" width="12.21875" style="36" customWidth="1"/>
    <col min="9483" max="9483" width="11.88671875" style="36" customWidth="1"/>
    <col min="9484" max="9484" width="12.21875" style="36" customWidth="1"/>
    <col min="9485" max="9485" width="13" style="36" customWidth="1"/>
    <col min="9486" max="9486" width="12.21875" style="36" customWidth="1"/>
    <col min="9487" max="9487" width="13" style="36" customWidth="1"/>
    <col min="9488" max="9488" width="6.77734375" style="36" customWidth="1"/>
    <col min="9489" max="9489" width="11.21875" style="36" bestFit="1" customWidth="1"/>
    <col min="9490" max="9490" width="13.77734375" style="36" bestFit="1" customWidth="1"/>
    <col min="9491" max="9491" width="11.6640625" style="36" bestFit="1" customWidth="1"/>
    <col min="9492" max="9731" width="8.77734375" style="36"/>
    <col min="9732" max="9732" width="20.6640625" style="36" customWidth="1"/>
    <col min="9733" max="9733" width="12.6640625" style="36" customWidth="1"/>
    <col min="9734" max="9734" width="6.77734375" style="36" customWidth="1"/>
    <col min="9735" max="9735" width="5.77734375" style="36" customWidth="1"/>
    <col min="9736" max="9736" width="6.21875" style="36" customWidth="1"/>
    <col min="9737" max="9737" width="14.77734375" style="36" customWidth="1"/>
    <col min="9738" max="9738" width="12.21875" style="36" customWidth="1"/>
    <col min="9739" max="9739" width="11.88671875" style="36" customWidth="1"/>
    <col min="9740" max="9740" width="12.21875" style="36" customWidth="1"/>
    <col min="9741" max="9741" width="13" style="36" customWidth="1"/>
    <col min="9742" max="9742" width="12.21875" style="36" customWidth="1"/>
    <col min="9743" max="9743" width="13" style="36" customWidth="1"/>
    <col min="9744" max="9744" width="6.77734375" style="36" customWidth="1"/>
    <col min="9745" max="9745" width="11.21875" style="36" bestFit="1" customWidth="1"/>
    <col min="9746" max="9746" width="13.77734375" style="36" bestFit="1" customWidth="1"/>
    <col min="9747" max="9747" width="11.6640625" style="36" bestFit="1" customWidth="1"/>
    <col min="9748" max="9987" width="8.77734375" style="36"/>
    <col min="9988" max="9988" width="20.6640625" style="36" customWidth="1"/>
    <col min="9989" max="9989" width="12.6640625" style="36" customWidth="1"/>
    <col min="9990" max="9990" width="6.77734375" style="36" customWidth="1"/>
    <col min="9991" max="9991" width="5.77734375" style="36" customWidth="1"/>
    <col min="9992" max="9992" width="6.21875" style="36" customWidth="1"/>
    <col min="9993" max="9993" width="14.77734375" style="36" customWidth="1"/>
    <col min="9994" max="9994" width="12.21875" style="36" customWidth="1"/>
    <col min="9995" max="9995" width="11.88671875" style="36" customWidth="1"/>
    <col min="9996" max="9996" width="12.21875" style="36" customWidth="1"/>
    <col min="9997" max="9997" width="13" style="36" customWidth="1"/>
    <col min="9998" max="9998" width="12.21875" style="36" customWidth="1"/>
    <col min="9999" max="9999" width="13" style="36" customWidth="1"/>
    <col min="10000" max="10000" width="6.77734375" style="36" customWidth="1"/>
    <col min="10001" max="10001" width="11.21875" style="36" bestFit="1" customWidth="1"/>
    <col min="10002" max="10002" width="13.77734375" style="36" bestFit="1" customWidth="1"/>
    <col min="10003" max="10003" width="11.6640625" style="36" bestFit="1" customWidth="1"/>
    <col min="10004" max="10243" width="8.77734375" style="36"/>
    <col min="10244" max="10244" width="20.6640625" style="36" customWidth="1"/>
    <col min="10245" max="10245" width="12.6640625" style="36" customWidth="1"/>
    <col min="10246" max="10246" width="6.77734375" style="36" customWidth="1"/>
    <col min="10247" max="10247" width="5.77734375" style="36" customWidth="1"/>
    <col min="10248" max="10248" width="6.21875" style="36" customWidth="1"/>
    <col min="10249" max="10249" width="14.77734375" style="36" customWidth="1"/>
    <col min="10250" max="10250" width="12.21875" style="36" customWidth="1"/>
    <col min="10251" max="10251" width="11.88671875" style="36" customWidth="1"/>
    <col min="10252" max="10252" width="12.21875" style="36" customWidth="1"/>
    <col min="10253" max="10253" width="13" style="36" customWidth="1"/>
    <col min="10254" max="10254" width="12.21875" style="36" customWidth="1"/>
    <col min="10255" max="10255" width="13" style="36" customWidth="1"/>
    <col min="10256" max="10256" width="6.77734375" style="36" customWidth="1"/>
    <col min="10257" max="10257" width="11.21875" style="36" bestFit="1" customWidth="1"/>
    <col min="10258" max="10258" width="13.77734375" style="36" bestFit="1" customWidth="1"/>
    <col min="10259" max="10259" width="11.6640625" style="36" bestFit="1" customWidth="1"/>
    <col min="10260" max="10499" width="8.77734375" style="36"/>
    <col min="10500" max="10500" width="20.6640625" style="36" customWidth="1"/>
    <col min="10501" max="10501" width="12.6640625" style="36" customWidth="1"/>
    <col min="10502" max="10502" width="6.77734375" style="36" customWidth="1"/>
    <col min="10503" max="10503" width="5.77734375" style="36" customWidth="1"/>
    <col min="10504" max="10504" width="6.21875" style="36" customWidth="1"/>
    <col min="10505" max="10505" width="14.77734375" style="36" customWidth="1"/>
    <col min="10506" max="10506" width="12.21875" style="36" customWidth="1"/>
    <col min="10507" max="10507" width="11.88671875" style="36" customWidth="1"/>
    <col min="10508" max="10508" width="12.21875" style="36" customWidth="1"/>
    <col min="10509" max="10509" width="13" style="36" customWidth="1"/>
    <col min="10510" max="10510" width="12.21875" style="36" customWidth="1"/>
    <col min="10511" max="10511" width="13" style="36" customWidth="1"/>
    <col min="10512" max="10512" width="6.77734375" style="36" customWidth="1"/>
    <col min="10513" max="10513" width="11.21875" style="36" bestFit="1" customWidth="1"/>
    <col min="10514" max="10514" width="13.77734375" style="36" bestFit="1" customWidth="1"/>
    <col min="10515" max="10515" width="11.6640625" style="36" bestFit="1" customWidth="1"/>
    <col min="10516" max="10755" width="8.77734375" style="36"/>
    <col min="10756" max="10756" width="20.6640625" style="36" customWidth="1"/>
    <col min="10757" max="10757" width="12.6640625" style="36" customWidth="1"/>
    <col min="10758" max="10758" width="6.77734375" style="36" customWidth="1"/>
    <col min="10759" max="10759" width="5.77734375" style="36" customWidth="1"/>
    <col min="10760" max="10760" width="6.21875" style="36" customWidth="1"/>
    <col min="10761" max="10761" width="14.77734375" style="36" customWidth="1"/>
    <col min="10762" max="10762" width="12.21875" style="36" customWidth="1"/>
    <col min="10763" max="10763" width="11.88671875" style="36" customWidth="1"/>
    <col min="10764" max="10764" width="12.21875" style="36" customWidth="1"/>
    <col min="10765" max="10765" width="13" style="36" customWidth="1"/>
    <col min="10766" max="10766" width="12.21875" style="36" customWidth="1"/>
    <col min="10767" max="10767" width="13" style="36" customWidth="1"/>
    <col min="10768" max="10768" width="6.77734375" style="36" customWidth="1"/>
    <col min="10769" max="10769" width="11.21875" style="36" bestFit="1" customWidth="1"/>
    <col min="10770" max="10770" width="13.77734375" style="36" bestFit="1" customWidth="1"/>
    <col min="10771" max="10771" width="11.6640625" style="36" bestFit="1" customWidth="1"/>
    <col min="10772" max="11011" width="8.77734375" style="36"/>
    <col min="11012" max="11012" width="20.6640625" style="36" customWidth="1"/>
    <col min="11013" max="11013" width="12.6640625" style="36" customWidth="1"/>
    <col min="11014" max="11014" width="6.77734375" style="36" customWidth="1"/>
    <col min="11015" max="11015" width="5.77734375" style="36" customWidth="1"/>
    <col min="11016" max="11016" width="6.21875" style="36" customWidth="1"/>
    <col min="11017" max="11017" width="14.77734375" style="36" customWidth="1"/>
    <col min="11018" max="11018" width="12.21875" style="36" customWidth="1"/>
    <col min="11019" max="11019" width="11.88671875" style="36" customWidth="1"/>
    <col min="11020" max="11020" width="12.21875" style="36" customWidth="1"/>
    <col min="11021" max="11021" width="13" style="36" customWidth="1"/>
    <col min="11022" max="11022" width="12.21875" style="36" customWidth="1"/>
    <col min="11023" max="11023" width="13" style="36" customWidth="1"/>
    <col min="11024" max="11024" width="6.77734375" style="36" customWidth="1"/>
    <col min="11025" max="11025" width="11.21875" style="36" bestFit="1" customWidth="1"/>
    <col min="11026" max="11026" width="13.77734375" style="36" bestFit="1" customWidth="1"/>
    <col min="11027" max="11027" width="11.6640625" style="36" bestFit="1" customWidth="1"/>
    <col min="11028" max="11267" width="8.77734375" style="36"/>
    <col min="11268" max="11268" width="20.6640625" style="36" customWidth="1"/>
    <col min="11269" max="11269" width="12.6640625" style="36" customWidth="1"/>
    <col min="11270" max="11270" width="6.77734375" style="36" customWidth="1"/>
    <col min="11271" max="11271" width="5.77734375" style="36" customWidth="1"/>
    <col min="11272" max="11272" width="6.21875" style="36" customWidth="1"/>
    <col min="11273" max="11273" width="14.77734375" style="36" customWidth="1"/>
    <col min="11274" max="11274" width="12.21875" style="36" customWidth="1"/>
    <col min="11275" max="11275" width="11.88671875" style="36" customWidth="1"/>
    <col min="11276" max="11276" width="12.21875" style="36" customWidth="1"/>
    <col min="11277" max="11277" width="13" style="36" customWidth="1"/>
    <col min="11278" max="11278" width="12.21875" style="36" customWidth="1"/>
    <col min="11279" max="11279" width="13" style="36" customWidth="1"/>
    <col min="11280" max="11280" width="6.77734375" style="36" customWidth="1"/>
    <col min="11281" max="11281" width="11.21875" style="36" bestFit="1" customWidth="1"/>
    <col min="11282" max="11282" width="13.77734375" style="36" bestFit="1" customWidth="1"/>
    <col min="11283" max="11283" width="11.6640625" style="36" bestFit="1" customWidth="1"/>
    <col min="11284" max="11523" width="8.77734375" style="36"/>
    <col min="11524" max="11524" width="20.6640625" style="36" customWidth="1"/>
    <col min="11525" max="11525" width="12.6640625" style="36" customWidth="1"/>
    <col min="11526" max="11526" width="6.77734375" style="36" customWidth="1"/>
    <col min="11527" max="11527" width="5.77734375" style="36" customWidth="1"/>
    <col min="11528" max="11528" width="6.21875" style="36" customWidth="1"/>
    <col min="11529" max="11529" width="14.77734375" style="36" customWidth="1"/>
    <col min="11530" max="11530" width="12.21875" style="36" customWidth="1"/>
    <col min="11531" max="11531" width="11.88671875" style="36" customWidth="1"/>
    <col min="11532" max="11532" width="12.21875" style="36" customWidth="1"/>
    <col min="11533" max="11533" width="13" style="36" customWidth="1"/>
    <col min="11534" max="11534" width="12.21875" style="36" customWidth="1"/>
    <col min="11535" max="11535" width="13" style="36" customWidth="1"/>
    <col min="11536" max="11536" width="6.77734375" style="36" customWidth="1"/>
    <col min="11537" max="11537" width="11.21875" style="36" bestFit="1" customWidth="1"/>
    <col min="11538" max="11538" width="13.77734375" style="36" bestFit="1" customWidth="1"/>
    <col min="11539" max="11539" width="11.6640625" style="36" bestFit="1" customWidth="1"/>
    <col min="11540" max="11779" width="8.77734375" style="36"/>
    <col min="11780" max="11780" width="20.6640625" style="36" customWidth="1"/>
    <col min="11781" max="11781" width="12.6640625" style="36" customWidth="1"/>
    <col min="11782" max="11782" width="6.77734375" style="36" customWidth="1"/>
    <col min="11783" max="11783" width="5.77734375" style="36" customWidth="1"/>
    <col min="11784" max="11784" width="6.21875" style="36" customWidth="1"/>
    <col min="11785" max="11785" width="14.77734375" style="36" customWidth="1"/>
    <col min="11786" max="11786" width="12.21875" style="36" customWidth="1"/>
    <col min="11787" max="11787" width="11.88671875" style="36" customWidth="1"/>
    <col min="11788" max="11788" width="12.21875" style="36" customWidth="1"/>
    <col min="11789" max="11789" width="13" style="36" customWidth="1"/>
    <col min="11790" max="11790" width="12.21875" style="36" customWidth="1"/>
    <col min="11791" max="11791" width="13" style="36" customWidth="1"/>
    <col min="11792" max="11792" width="6.77734375" style="36" customWidth="1"/>
    <col min="11793" max="11793" width="11.21875" style="36" bestFit="1" customWidth="1"/>
    <col min="11794" max="11794" width="13.77734375" style="36" bestFit="1" customWidth="1"/>
    <col min="11795" max="11795" width="11.6640625" style="36" bestFit="1" customWidth="1"/>
    <col min="11796" max="12035" width="8.77734375" style="36"/>
    <col min="12036" max="12036" width="20.6640625" style="36" customWidth="1"/>
    <col min="12037" max="12037" width="12.6640625" style="36" customWidth="1"/>
    <col min="12038" max="12038" width="6.77734375" style="36" customWidth="1"/>
    <col min="12039" max="12039" width="5.77734375" style="36" customWidth="1"/>
    <col min="12040" max="12040" width="6.21875" style="36" customWidth="1"/>
    <col min="12041" max="12041" width="14.77734375" style="36" customWidth="1"/>
    <col min="12042" max="12042" width="12.21875" style="36" customWidth="1"/>
    <col min="12043" max="12043" width="11.88671875" style="36" customWidth="1"/>
    <col min="12044" max="12044" width="12.21875" style="36" customWidth="1"/>
    <col min="12045" max="12045" width="13" style="36" customWidth="1"/>
    <col min="12046" max="12046" width="12.21875" style="36" customWidth="1"/>
    <col min="12047" max="12047" width="13" style="36" customWidth="1"/>
    <col min="12048" max="12048" width="6.77734375" style="36" customWidth="1"/>
    <col min="12049" max="12049" width="11.21875" style="36" bestFit="1" customWidth="1"/>
    <col min="12050" max="12050" width="13.77734375" style="36" bestFit="1" customWidth="1"/>
    <col min="12051" max="12051" width="11.6640625" style="36" bestFit="1" customWidth="1"/>
    <col min="12052" max="12291" width="8.77734375" style="36"/>
    <col min="12292" max="12292" width="20.6640625" style="36" customWidth="1"/>
    <col min="12293" max="12293" width="12.6640625" style="36" customWidth="1"/>
    <col min="12294" max="12294" width="6.77734375" style="36" customWidth="1"/>
    <col min="12295" max="12295" width="5.77734375" style="36" customWidth="1"/>
    <col min="12296" max="12296" width="6.21875" style="36" customWidth="1"/>
    <col min="12297" max="12297" width="14.77734375" style="36" customWidth="1"/>
    <col min="12298" max="12298" width="12.21875" style="36" customWidth="1"/>
    <col min="12299" max="12299" width="11.88671875" style="36" customWidth="1"/>
    <col min="12300" max="12300" width="12.21875" style="36" customWidth="1"/>
    <col min="12301" max="12301" width="13" style="36" customWidth="1"/>
    <col min="12302" max="12302" width="12.21875" style="36" customWidth="1"/>
    <col min="12303" max="12303" width="13" style="36" customWidth="1"/>
    <col min="12304" max="12304" width="6.77734375" style="36" customWidth="1"/>
    <col min="12305" max="12305" width="11.21875" style="36" bestFit="1" customWidth="1"/>
    <col min="12306" max="12306" width="13.77734375" style="36" bestFit="1" customWidth="1"/>
    <col min="12307" max="12307" width="11.6640625" style="36" bestFit="1" customWidth="1"/>
    <col min="12308" max="12547" width="8.77734375" style="36"/>
    <col min="12548" max="12548" width="20.6640625" style="36" customWidth="1"/>
    <col min="12549" max="12549" width="12.6640625" style="36" customWidth="1"/>
    <col min="12550" max="12550" width="6.77734375" style="36" customWidth="1"/>
    <col min="12551" max="12551" width="5.77734375" style="36" customWidth="1"/>
    <col min="12552" max="12552" width="6.21875" style="36" customWidth="1"/>
    <col min="12553" max="12553" width="14.77734375" style="36" customWidth="1"/>
    <col min="12554" max="12554" width="12.21875" style="36" customWidth="1"/>
    <col min="12555" max="12555" width="11.88671875" style="36" customWidth="1"/>
    <col min="12556" max="12556" width="12.21875" style="36" customWidth="1"/>
    <col min="12557" max="12557" width="13" style="36" customWidth="1"/>
    <col min="12558" max="12558" width="12.21875" style="36" customWidth="1"/>
    <col min="12559" max="12559" width="13" style="36" customWidth="1"/>
    <col min="12560" max="12560" width="6.77734375" style="36" customWidth="1"/>
    <col min="12561" max="12561" width="11.21875" style="36" bestFit="1" customWidth="1"/>
    <col min="12562" max="12562" width="13.77734375" style="36" bestFit="1" customWidth="1"/>
    <col min="12563" max="12563" width="11.6640625" style="36" bestFit="1" customWidth="1"/>
    <col min="12564" max="12803" width="8.77734375" style="36"/>
    <col min="12804" max="12804" width="20.6640625" style="36" customWidth="1"/>
    <col min="12805" max="12805" width="12.6640625" style="36" customWidth="1"/>
    <col min="12806" max="12806" width="6.77734375" style="36" customWidth="1"/>
    <col min="12807" max="12807" width="5.77734375" style="36" customWidth="1"/>
    <col min="12808" max="12808" width="6.21875" style="36" customWidth="1"/>
    <col min="12809" max="12809" width="14.77734375" style="36" customWidth="1"/>
    <col min="12810" max="12810" width="12.21875" style="36" customWidth="1"/>
    <col min="12811" max="12811" width="11.88671875" style="36" customWidth="1"/>
    <col min="12812" max="12812" width="12.21875" style="36" customWidth="1"/>
    <col min="12813" max="12813" width="13" style="36" customWidth="1"/>
    <col min="12814" max="12814" width="12.21875" style="36" customWidth="1"/>
    <col min="12815" max="12815" width="13" style="36" customWidth="1"/>
    <col min="12816" max="12816" width="6.77734375" style="36" customWidth="1"/>
    <col min="12817" max="12817" width="11.21875" style="36" bestFit="1" customWidth="1"/>
    <col min="12818" max="12818" width="13.77734375" style="36" bestFit="1" customWidth="1"/>
    <col min="12819" max="12819" width="11.6640625" style="36" bestFit="1" customWidth="1"/>
    <col min="12820" max="13059" width="8.77734375" style="36"/>
    <col min="13060" max="13060" width="20.6640625" style="36" customWidth="1"/>
    <col min="13061" max="13061" width="12.6640625" style="36" customWidth="1"/>
    <col min="13062" max="13062" width="6.77734375" style="36" customWidth="1"/>
    <col min="13063" max="13063" width="5.77734375" style="36" customWidth="1"/>
    <col min="13064" max="13064" width="6.21875" style="36" customWidth="1"/>
    <col min="13065" max="13065" width="14.77734375" style="36" customWidth="1"/>
    <col min="13066" max="13066" width="12.21875" style="36" customWidth="1"/>
    <col min="13067" max="13067" width="11.88671875" style="36" customWidth="1"/>
    <col min="13068" max="13068" width="12.21875" style="36" customWidth="1"/>
    <col min="13069" max="13069" width="13" style="36" customWidth="1"/>
    <col min="13070" max="13070" width="12.21875" style="36" customWidth="1"/>
    <col min="13071" max="13071" width="13" style="36" customWidth="1"/>
    <col min="13072" max="13072" width="6.77734375" style="36" customWidth="1"/>
    <col min="13073" max="13073" width="11.21875" style="36" bestFit="1" customWidth="1"/>
    <col min="13074" max="13074" width="13.77734375" style="36" bestFit="1" customWidth="1"/>
    <col min="13075" max="13075" width="11.6640625" style="36" bestFit="1" customWidth="1"/>
    <col min="13076" max="13315" width="8.77734375" style="36"/>
    <col min="13316" max="13316" width="20.6640625" style="36" customWidth="1"/>
    <col min="13317" max="13317" width="12.6640625" style="36" customWidth="1"/>
    <col min="13318" max="13318" width="6.77734375" style="36" customWidth="1"/>
    <col min="13319" max="13319" width="5.77734375" style="36" customWidth="1"/>
    <col min="13320" max="13320" width="6.21875" style="36" customWidth="1"/>
    <col min="13321" max="13321" width="14.77734375" style="36" customWidth="1"/>
    <col min="13322" max="13322" width="12.21875" style="36" customWidth="1"/>
    <col min="13323" max="13323" width="11.88671875" style="36" customWidth="1"/>
    <col min="13324" max="13324" width="12.21875" style="36" customWidth="1"/>
    <col min="13325" max="13325" width="13" style="36" customWidth="1"/>
    <col min="13326" max="13326" width="12.21875" style="36" customWidth="1"/>
    <col min="13327" max="13327" width="13" style="36" customWidth="1"/>
    <col min="13328" max="13328" width="6.77734375" style="36" customWidth="1"/>
    <col min="13329" max="13329" width="11.21875" style="36" bestFit="1" customWidth="1"/>
    <col min="13330" max="13330" width="13.77734375" style="36" bestFit="1" customWidth="1"/>
    <col min="13331" max="13331" width="11.6640625" style="36" bestFit="1" customWidth="1"/>
    <col min="13332" max="13571" width="8.77734375" style="36"/>
    <col min="13572" max="13572" width="20.6640625" style="36" customWidth="1"/>
    <col min="13573" max="13573" width="12.6640625" style="36" customWidth="1"/>
    <col min="13574" max="13574" width="6.77734375" style="36" customWidth="1"/>
    <col min="13575" max="13575" width="5.77734375" style="36" customWidth="1"/>
    <col min="13576" max="13576" width="6.21875" style="36" customWidth="1"/>
    <col min="13577" max="13577" width="14.77734375" style="36" customWidth="1"/>
    <col min="13578" max="13578" width="12.21875" style="36" customWidth="1"/>
    <col min="13579" max="13579" width="11.88671875" style="36" customWidth="1"/>
    <col min="13580" max="13580" width="12.21875" style="36" customWidth="1"/>
    <col min="13581" max="13581" width="13" style="36" customWidth="1"/>
    <col min="13582" max="13582" width="12.21875" style="36" customWidth="1"/>
    <col min="13583" max="13583" width="13" style="36" customWidth="1"/>
    <col min="13584" max="13584" width="6.77734375" style="36" customWidth="1"/>
    <col min="13585" max="13585" width="11.21875" style="36" bestFit="1" customWidth="1"/>
    <col min="13586" max="13586" width="13.77734375" style="36" bestFit="1" customWidth="1"/>
    <col min="13587" max="13587" width="11.6640625" style="36" bestFit="1" customWidth="1"/>
    <col min="13588" max="13827" width="8.77734375" style="36"/>
    <col min="13828" max="13828" width="20.6640625" style="36" customWidth="1"/>
    <col min="13829" max="13829" width="12.6640625" style="36" customWidth="1"/>
    <col min="13830" max="13830" width="6.77734375" style="36" customWidth="1"/>
    <col min="13831" max="13831" width="5.77734375" style="36" customWidth="1"/>
    <col min="13832" max="13832" width="6.21875" style="36" customWidth="1"/>
    <col min="13833" max="13833" width="14.77734375" style="36" customWidth="1"/>
    <col min="13834" max="13834" width="12.21875" style="36" customWidth="1"/>
    <col min="13835" max="13835" width="11.88671875" style="36" customWidth="1"/>
    <col min="13836" max="13836" width="12.21875" style="36" customWidth="1"/>
    <col min="13837" max="13837" width="13" style="36" customWidth="1"/>
    <col min="13838" max="13838" width="12.21875" style="36" customWidth="1"/>
    <col min="13839" max="13839" width="13" style="36" customWidth="1"/>
    <col min="13840" max="13840" width="6.77734375" style="36" customWidth="1"/>
    <col min="13841" max="13841" width="11.21875" style="36" bestFit="1" customWidth="1"/>
    <col min="13842" max="13842" width="13.77734375" style="36" bestFit="1" customWidth="1"/>
    <col min="13843" max="13843" width="11.6640625" style="36" bestFit="1" customWidth="1"/>
    <col min="13844" max="14083" width="8.77734375" style="36"/>
    <col min="14084" max="14084" width="20.6640625" style="36" customWidth="1"/>
    <col min="14085" max="14085" width="12.6640625" style="36" customWidth="1"/>
    <col min="14086" max="14086" width="6.77734375" style="36" customWidth="1"/>
    <col min="14087" max="14087" width="5.77734375" style="36" customWidth="1"/>
    <col min="14088" max="14088" width="6.21875" style="36" customWidth="1"/>
    <col min="14089" max="14089" width="14.77734375" style="36" customWidth="1"/>
    <col min="14090" max="14090" width="12.21875" style="36" customWidth="1"/>
    <col min="14091" max="14091" width="11.88671875" style="36" customWidth="1"/>
    <col min="14092" max="14092" width="12.21875" style="36" customWidth="1"/>
    <col min="14093" max="14093" width="13" style="36" customWidth="1"/>
    <col min="14094" max="14094" width="12.21875" style="36" customWidth="1"/>
    <col min="14095" max="14095" width="13" style="36" customWidth="1"/>
    <col min="14096" max="14096" width="6.77734375" style="36" customWidth="1"/>
    <col min="14097" max="14097" width="11.21875" style="36" bestFit="1" customWidth="1"/>
    <col min="14098" max="14098" width="13.77734375" style="36" bestFit="1" customWidth="1"/>
    <col min="14099" max="14099" width="11.6640625" style="36" bestFit="1" customWidth="1"/>
    <col min="14100" max="14339" width="8.77734375" style="36"/>
    <col min="14340" max="14340" width="20.6640625" style="36" customWidth="1"/>
    <col min="14341" max="14341" width="12.6640625" style="36" customWidth="1"/>
    <col min="14342" max="14342" width="6.77734375" style="36" customWidth="1"/>
    <col min="14343" max="14343" width="5.77734375" style="36" customWidth="1"/>
    <col min="14344" max="14344" width="6.21875" style="36" customWidth="1"/>
    <col min="14345" max="14345" width="14.77734375" style="36" customWidth="1"/>
    <col min="14346" max="14346" width="12.21875" style="36" customWidth="1"/>
    <col min="14347" max="14347" width="11.88671875" style="36" customWidth="1"/>
    <col min="14348" max="14348" width="12.21875" style="36" customWidth="1"/>
    <col min="14349" max="14349" width="13" style="36" customWidth="1"/>
    <col min="14350" max="14350" width="12.21875" style="36" customWidth="1"/>
    <col min="14351" max="14351" width="13" style="36" customWidth="1"/>
    <col min="14352" max="14352" width="6.77734375" style="36" customWidth="1"/>
    <col min="14353" max="14353" width="11.21875" style="36" bestFit="1" customWidth="1"/>
    <col min="14354" max="14354" width="13.77734375" style="36" bestFit="1" customWidth="1"/>
    <col min="14355" max="14355" width="11.6640625" style="36" bestFit="1" customWidth="1"/>
    <col min="14356" max="14595" width="8.77734375" style="36"/>
    <col min="14596" max="14596" width="20.6640625" style="36" customWidth="1"/>
    <col min="14597" max="14597" width="12.6640625" style="36" customWidth="1"/>
    <col min="14598" max="14598" width="6.77734375" style="36" customWidth="1"/>
    <col min="14599" max="14599" width="5.77734375" style="36" customWidth="1"/>
    <col min="14600" max="14600" width="6.21875" style="36" customWidth="1"/>
    <col min="14601" max="14601" width="14.77734375" style="36" customWidth="1"/>
    <col min="14602" max="14602" width="12.21875" style="36" customWidth="1"/>
    <col min="14603" max="14603" width="11.88671875" style="36" customWidth="1"/>
    <col min="14604" max="14604" width="12.21875" style="36" customWidth="1"/>
    <col min="14605" max="14605" width="13" style="36" customWidth="1"/>
    <col min="14606" max="14606" width="12.21875" style="36" customWidth="1"/>
    <col min="14607" max="14607" width="13" style="36" customWidth="1"/>
    <col min="14608" max="14608" width="6.77734375" style="36" customWidth="1"/>
    <col min="14609" max="14609" width="11.21875" style="36" bestFit="1" customWidth="1"/>
    <col min="14610" max="14610" width="13.77734375" style="36" bestFit="1" customWidth="1"/>
    <col min="14611" max="14611" width="11.6640625" style="36" bestFit="1" customWidth="1"/>
    <col min="14612" max="14851" width="8.77734375" style="36"/>
    <col min="14852" max="14852" width="20.6640625" style="36" customWidth="1"/>
    <col min="14853" max="14853" width="12.6640625" style="36" customWidth="1"/>
    <col min="14854" max="14854" width="6.77734375" style="36" customWidth="1"/>
    <col min="14855" max="14855" width="5.77734375" style="36" customWidth="1"/>
    <col min="14856" max="14856" width="6.21875" style="36" customWidth="1"/>
    <col min="14857" max="14857" width="14.77734375" style="36" customWidth="1"/>
    <col min="14858" max="14858" width="12.21875" style="36" customWidth="1"/>
    <col min="14859" max="14859" width="11.88671875" style="36" customWidth="1"/>
    <col min="14860" max="14860" width="12.21875" style="36" customWidth="1"/>
    <col min="14861" max="14861" width="13" style="36" customWidth="1"/>
    <col min="14862" max="14862" width="12.21875" style="36" customWidth="1"/>
    <col min="14863" max="14863" width="13" style="36" customWidth="1"/>
    <col min="14864" max="14864" width="6.77734375" style="36" customWidth="1"/>
    <col min="14865" max="14865" width="11.21875" style="36" bestFit="1" customWidth="1"/>
    <col min="14866" max="14866" width="13.77734375" style="36" bestFit="1" customWidth="1"/>
    <col min="14867" max="14867" width="11.6640625" style="36" bestFit="1" customWidth="1"/>
    <col min="14868" max="15107" width="8.77734375" style="36"/>
    <col min="15108" max="15108" width="20.6640625" style="36" customWidth="1"/>
    <col min="15109" max="15109" width="12.6640625" style="36" customWidth="1"/>
    <col min="15110" max="15110" width="6.77734375" style="36" customWidth="1"/>
    <col min="15111" max="15111" width="5.77734375" style="36" customWidth="1"/>
    <col min="15112" max="15112" width="6.21875" style="36" customWidth="1"/>
    <col min="15113" max="15113" width="14.77734375" style="36" customWidth="1"/>
    <col min="15114" max="15114" width="12.21875" style="36" customWidth="1"/>
    <col min="15115" max="15115" width="11.88671875" style="36" customWidth="1"/>
    <col min="15116" max="15116" width="12.21875" style="36" customWidth="1"/>
    <col min="15117" max="15117" width="13" style="36" customWidth="1"/>
    <col min="15118" max="15118" width="12.21875" style="36" customWidth="1"/>
    <col min="15119" max="15119" width="13" style="36" customWidth="1"/>
    <col min="15120" max="15120" width="6.77734375" style="36" customWidth="1"/>
    <col min="15121" max="15121" width="11.21875" style="36" bestFit="1" customWidth="1"/>
    <col min="15122" max="15122" width="13.77734375" style="36" bestFit="1" customWidth="1"/>
    <col min="15123" max="15123" width="11.6640625" style="36" bestFit="1" customWidth="1"/>
    <col min="15124" max="15363" width="8.77734375" style="36"/>
    <col min="15364" max="15364" width="20.6640625" style="36" customWidth="1"/>
    <col min="15365" max="15365" width="12.6640625" style="36" customWidth="1"/>
    <col min="15366" max="15366" width="6.77734375" style="36" customWidth="1"/>
    <col min="15367" max="15367" width="5.77734375" style="36" customWidth="1"/>
    <col min="15368" max="15368" width="6.21875" style="36" customWidth="1"/>
    <col min="15369" max="15369" width="14.77734375" style="36" customWidth="1"/>
    <col min="15370" max="15370" width="12.21875" style="36" customWidth="1"/>
    <col min="15371" max="15371" width="11.88671875" style="36" customWidth="1"/>
    <col min="15372" max="15372" width="12.21875" style="36" customWidth="1"/>
    <col min="15373" max="15373" width="13" style="36" customWidth="1"/>
    <col min="15374" max="15374" width="12.21875" style="36" customWidth="1"/>
    <col min="15375" max="15375" width="13" style="36" customWidth="1"/>
    <col min="15376" max="15376" width="6.77734375" style="36" customWidth="1"/>
    <col min="15377" max="15377" width="11.21875" style="36" bestFit="1" customWidth="1"/>
    <col min="15378" max="15378" width="13.77734375" style="36" bestFit="1" customWidth="1"/>
    <col min="15379" max="15379" width="11.6640625" style="36" bestFit="1" customWidth="1"/>
    <col min="15380" max="15619" width="8.77734375" style="36"/>
    <col min="15620" max="15620" width="20.6640625" style="36" customWidth="1"/>
    <col min="15621" max="15621" width="12.6640625" style="36" customWidth="1"/>
    <col min="15622" max="15622" width="6.77734375" style="36" customWidth="1"/>
    <col min="15623" max="15623" width="5.77734375" style="36" customWidth="1"/>
    <col min="15624" max="15624" width="6.21875" style="36" customWidth="1"/>
    <col min="15625" max="15625" width="14.77734375" style="36" customWidth="1"/>
    <col min="15626" max="15626" width="12.21875" style="36" customWidth="1"/>
    <col min="15627" max="15627" width="11.88671875" style="36" customWidth="1"/>
    <col min="15628" max="15628" width="12.21875" style="36" customWidth="1"/>
    <col min="15629" max="15629" width="13" style="36" customWidth="1"/>
    <col min="15630" max="15630" width="12.21875" style="36" customWidth="1"/>
    <col min="15631" max="15631" width="13" style="36" customWidth="1"/>
    <col min="15632" max="15632" width="6.77734375" style="36" customWidth="1"/>
    <col min="15633" max="15633" width="11.21875" style="36" bestFit="1" customWidth="1"/>
    <col min="15634" max="15634" width="13.77734375" style="36" bestFit="1" customWidth="1"/>
    <col min="15635" max="15635" width="11.6640625" style="36" bestFit="1" customWidth="1"/>
    <col min="15636" max="15875" width="8.77734375" style="36"/>
    <col min="15876" max="15876" width="20.6640625" style="36" customWidth="1"/>
    <col min="15877" max="15877" width="12.6640625" style="36" customWidth="1"/>
    <col min="15878" max="15878" width="6.77734375" style="36" customWidth="1"/>
    <col min="15879" max="15879" width="5.77734375" style="36" customWidth="1"/>
    <col min="15880" max="15880" width="6.21875" style="36" customWidth="1"/>
    <col min="15881" max="15881" width="14.77734375" style="36" customWidth="1"/>
    <col min="15882" max="15882" width="12.21875" style="36" customWidth="1"/>
    <col min="15883" max="15883" width="11.88671875" style="36" customWidth="1"/>
    <col min="15884" max="15884" width="12.21875" style="36" customWidth="1"/>
    <col min="15885" max="15885" width="13" style="36" customWidth="1"/>
    <col min="15886" max="15886" width="12.21875" style="36" customWidth="1"/>
    <col min="15887" max="15887" width="13" style="36" customWidth="1"/>
    <col min="15888" max="15888" width="6.77734375" style="36" customWidth="1"/>
    <col min="15889" max="15889" width="11.21875" style="36" bestFit="1" customWidth="1"/>
    <col min="15890" max="15890" width="13.77734375" style="36" bestFit="1" customWidth="1"/>
    <col min="15891" max="15891" width="11.6640625" style="36" bestFit="1" customWidth="1"/>
    <col min="15892" max="16131" width="8.77734375" style="36"/>
    <col min="16132" max="16132" width="20.6640625" style="36" customWidth="1"/>
    <col min="16133" max="16133" width="12.6640625" style="36" customWidth="1"/>
    <col min="16134" max="16134" width="6.77734375" style="36" customWidth="1"/>
    <col min="16135" max="16135" width="5.77734375" style="36" customWidth="1"/>
    <col min="16136" max="16136" width="6.21875" style="36" customWidth="1"/>
    <col min="16137" max="16137" width="14.77734375" style="36" customWidth="1"/>
    <col min="16138" max="16138" width="12.21875" style="36" customWidth="1"/>
    <col min="16139" max="16139" width="11.88671875" style="36" customWidth="1"/>
    <col min="16140" max="16140" width="12.21875" style="36" customWidth="1"/>
    <col min="16141" max="16141" width="13" style="36" customWidth="1"/>
    <col min="16142" max="16142" width="12.21875" style="36" customWidth="1"/>
    <col min="16143" max="16143" width="13" style="36" customWidth="1"/>
    <col min="16144" max="16144" width="6.77734375" style="36" customWidth="1"/>
    <col min="16145" max="16145" width="11.21875" style="36" bestFit="1" customWidth="1"/>
    <col min="16146" max="16146" width="13.77734375" style="36" bestFit="1" customWidth="1"/>
    <col min="16147" max="16147" width="11.6640625" style="36" bestFit="1" customWidth="1"/>
    <col min="16148" max="16384" width="8.77734375" style="36"/>
  </cols>
  <sheetData>
    <row r="1" spans="2:17" ht="24.95" customHeight="1">
      <c r="B1" s="1767" t="s">
        <v>153</v>
      </c>
      <c r="C1" s="1768"/>
      <c r="D1" s="1769"/>
      <c r="E1" s="1712" t="s">
        <v>157</v>
      </c>
      <c r="F1" s="1714" t="s">
        <v>155</v>
      </c>
      <c r="G1" s="1712" t="s">
        <v>49</v>
      </c>
      <c r="H1" s="1707" t="s">
        <v>167</v>
      </c>
      <c r="I1" s="1707"/>
      <c r="J1" s="1707" t="s">
        <v>173</v>
      </c>
      <c r="K1" s="1707"/>
      <c r="L1" s="1707" t="s">
        <v>164</v>
      </c>
      <c r="M1" s="1707"/>
      <c r="N1" s="1707" t="s">
        <v>154</v>
      </c>
      <c r="O1" s="1707"/>
      <c r="P1" s="1708" t="s">
        <v>42</v>
      </c>
    </row>
    <row r="2" spans="2:17" ht="24.95" customHeight="1" thickBot="1">
      <c r="B2" s="1770"/>
      <c r="C2" s="1771"/>
      <c r="D2" s="1772"/>
      <c r="E2" s="1713"/>
      <c r="F2" s="1713"/>
      <c r="G2" s="1713"/>
      <c r="H2" s="37" t="s">
        <v>75</v>
      </c>
      <c r="I2" s="37" t="s">
        <v>71</v>
      </c>
      <c r="J2" s="37" t="s">
        <v>75</v>
      </c>
      <c r="K2" s="37" t="s">
        <v>71</v>
      </c>
      <c r="L2" s="37" t="s">
        <v>75</v>
      </c>
      <c r="M2" s="37" t="s">
        <v>71</v>
      </c>
      <c r="N2" s="37" t="s">
        <v>75</v>
      </c>
      <c r="O2" s="37" t="s">
        <v>71</v>
      </c>
      <c r="P2" s="1709"/>
    </row>
    <row r="3" spans="2:17" ht="30" customHeight="1" thickTop="1">
      <c r="B3" s="38" t="s">
        <v>1171</v>
      </c>
      <c r="C3" s="1320"/>
      <c r="D3" s="1440"/>
      <c r="E3" s="1441"/>
      <c r="F3" s="1441"/>
      <c r="G3" s="1441"/>
      <c r="H3" s="1442"/>
      <c r="I3" s="1442"/>
      <c r="J3" s="1442"/>
      <c r="K3" s="1442"/>
      <c r="L3" s="1442"/>
      <c r="M3" s="1442"/>
      <c r="N3" s="1442"/>
      <c r="O3" s="1442"/>
      <c r="P3" s="1443"/>
    </row>
    <row r="4" spans="2:17" ht="30" customHeight="1">
      <c r="B4" s="1764" t="s">
        <v>1269</v>
      </c>
      <c r="C4" s="1765"/>
      <c r="D4" s="1766"/>
      <c r="E4" s="1437"/>
      <c r="F4" s="1437"/>
      <c r="G4" s="1437"/>
      <c r="H4" s="1438"/>
      <c r="I4" s="1435">
        <f t="shared" ref="I4:I47" si="0">K4+M4+O4</f>
        <v>99571741.400000006</v>
      </c>
      <c r="J4" s="1438"/>
      <c r="K4" s="1438">
        <f>SUM(K5,K39,K57)</f>
        <v>0</v>
      </c>
      <c r="L4" s="1438"/>
      <c r="M4" s="1444">
        <f>SUM(M5,M39,M57)</f>
        <v>99571741.400000006</v>
      </c>
      <c r="N4" s="1438"/>
      <c r="O4" s="1438">
        <f>SUM(O5,O39,O57)</f>
        <v>0</v>
      </c>
      <c r="P4" s="1439"/>
    </row>
    <row r="5" spans="2:17" s="47" customFormat="1" ht="30" customHeight="1">
      <c r="B5" s="1764" t="str">
        <f>'하천기본계획(기준소요인력)'!A68</f>
        <v>Ⅰ. 하천기본계획</v>
      </c>
      <c r="C5" s="1765"/>
      <c r="D5" s="1766"/>
      <c r="E5" s="1433"/>
      <c r="F5" s="1434"/>
      <c r="G5" s="1434"/>
      <c r="H5" s="1435"/>
      <c r="I5" s="1435">
        <f t="shared" si="0"/>
        <v>78484766</v>
      </c>
      <c r="J5" s="1435"/>
      <c r="K5" s="1435">
        <f>SUM(K6,K8,K17,K29,K34,K37)</f>
        <v>0</v>
      </c>
      <c r="L5" s="1435"/>
      <c r="M5" s="1435">
        <f>SUM(M6,M8,M17,M29,M34,M37)</f>
        <v>78484766</v>
      </c>
      <c r="N5" s="1435"/>
      <c r="O5" s="1435">
        <f>SUM(O6,O8,O17,O29,O34,O37)</f>
        <v>0</v>
      </c>
      <c r="P5" s="1436"/>
    </row>
    <row r="6" spans="2:17" s="47" customFormat="1" ht="30" customHeight="1">
      <c r="B6" s="1761" t="str">
        <f>'하천기본계획(기준소요인력)'!A8</f>
        <v>1. 개요</v>
      </c>
      <c r="C6" s="1762"/>
      <c r="D6" s="1763"/>
      <c r="E6" s="48"/>
      <c r="F6" s="49"/>
      <c r="G6" s="50"/>
      <c r="H6" s="51"/>
      <c r="I6" s="51">
        <f t="shared" si="0"/>
        <v>390573</v>
      </c>
      <c r="J6" s="51"/>
      <c r="K6" s="51"/>
      <c r="L6" s="51"/>
      <c r="M6" s="51">
        <f>M7</f>
        <v>390573</v>
      </c>
      <c r="N6" s="51"/>
      <c r="O6" s="51"/>
      <c r="P6" s="52"/>
      <c r="Q6" s="53"/>
    </row>
    <row r="7" spans="2:17" s="47" customFormat="1" ht="30" customHeight="1">
      <c r="B7" s="1325"/>
      <c r="C7" s="1322" t="str">
        <f>'하천기본계획(기준소요인력)'!B9</f>
        <v>가. 계획 목적, 범위, 기본원칙, 현황도</v>
      </c>
      <c r="D7" s="1322"/>
      <c r="E7" s="48"/>
      <c r="F7" s="1332">
        <f>'하천기본계획(기준소요인력)'!Q9</f>
        <v>2.7</v>
      </c>
      <c r="G7" s="1332" t="str">
        <f>'하천기본계획(기준소요인력)'!G70</f>
        <v>1㎞</v>
      </c>
      <c r="H7" s="51"/>
      <c r="I7" s="56">
        <f t="shared" si="0"/>
        <v>390573</v>
      </c>
      <c r="J7" s="51"/>
      <c r="K7" s="51"/>
      <c r="L7" s="56">
        <f>'일위대가2 (하천기본계획)'!H11</f>
        <v>144657</v>
      </c>
      <c r="M7" s="56">
        <f>INT(L7*F7)</f>
        <v>390573</v>
      </c>
      <c r="N7" s="51"/>
      <c r="O7" s="51"/>
      <c r="P7" s="52" t="s">
        <v>1222</v>
      </c>
    </row>
    <row r="8" spans="2:17" s="47" customFormat="1" ht="30" customHeight="1">
      <c r="B8" s="57" t="str">
        <f>'하천기본계획(기준소요인력)'!A10</f>
        <v>2. 유역 및 하천현황</v>
      </c>
      <c r="C8" s="1321"/>
      <c r="D8" s="1321"/>
      <c r="E8" s="48"/>
      <c r="F8" s="54"/>
      <c r="G8" s="55"/>
      <c r="H8" s="51"/>
      <c r="I8" s="51">
        <f t="shared" si="0"/>
        <v>4546083</v>
      </c>
      <c r="J8" s="51"/>
      <c r="K8" s="51">
        <f>K9</f>
        <v>0</v>
      </c>
      <c r="L8" s="51"/>
      <c r="M8" s="51">
        <f>SUM(M9,M10)</f>
        <v>4546083</v>
      </c>
      <c r="N8" s="51"/>
      <c r="O8" s="51">
        <f>SUM(O9,O10)</f>
        <v>0</v>
      </c>
      <c r="P8" s="52"/>
      <c r="Q8" s="53"/>
    </row>
    <row r="9" spans="2:17" s="47" customFormat="1" ht="30" customHeight="1">
      <c r="B9" s="1325"/>
      <c r="C9" s="1322" t="str">
        <f>'하천기본계획(기준소요인력)'!B11</f>
        <v>가. 유역현황</v>
      </c>
      <c r="D9" s="1322"/>
      <c r="E9" s="48"/>
      <c r="F9" s="1332">
        <f>'하천기본계획(기준소요인력)'!Q11</f>
        <v>1.34</v>
      </c>
      <c r="G9" s="1332" t="str">
        <f>'하천기본계획(기준소요인력)'!G72</f>
        <v>10㎢</v>
      </c>
      <c r="H9" s="51"/>
      <c r="I9" s="56">
        <f t="shared" si="0"/>
        <v>315515</v>
      </c>
      <c r="J9" s="51"/>
      <c r="K9" s="51"/>
      <c r="L9" s="56">
        <f>'일위대가2 (하천기본계획)'!E17</f>
        <v>235459</v>
      </c>
      <c r="M9" s="56">
        <f>INT(L9*F9)</f>
        <v>315515</v>
      </c>
      <c r="N9" s="51"/>
      <c r="O9" s="51"/>
      <c r="P9" s="52" t="s">
        <v>1223</v>
      </c>
    </row>
    <row r="10" spans="2:17" s="47" customFormat="1" ht="30" customHeight="1">
      <c r="B10" s="1326"/>
      <c r="C10" s="1322" t="str">
        <f>'하천기본계획(기준소요인력)'!B12</f>
        <v>나. 하천특성</v>
      </c>
      <c r="D10" s="1321"/>
      <c r="E10" s="48"/>
      <c r="F10" s="54"/>
      <c r="G10" s="55"/>
      <c r="H10" s="51"/>
      <c r="I10" s="56">
        <f t="shared" si="0"/>
        <v>4230568</v>
      </c>
      <c r="J10" s="56"/>
      <c r="K10" s="56">
        <f>SUM(K11:K16)</f>
        <v>0</v>
      </c>
      <c r="L10" s="56"/>
      <c r="M10" s="56">
        <f>SUM(M11:M16)</f>
        <v>4230568</v>
      </c>
      <c r="N10" s="51"/>
      <c r="O10" s="51">
        <f>SUM(O11:O16)</f>
        <v>0</v>
      </c>
      <c r="P10" s="52"/>
    </row>
    <row r="11" spans="2:17" s="47" customFormat="1" ht="30" customHeight="1">
      <c r="B11" s="1325"/>
      <c r="C11" s="1327"/>
      <c r="D11" s="1322" t="str">
        <f>'하천기본계획(기준소요인력)'!C13</f>
        <v>1) 하도특성 조사</v>
      </c>
      <c r="E11" s="48"/>
      <c r="F11" s="1332">
        <f>'하천기본계획(기준소요인력)'!Q13</f>
        <v>2.7</v>
      </c>
      <c r="G11" s="1332" t="str">
        <f>'하천기본계획(기준소요인력)'!G74</f>
        <v>1㎞</v>
      </c>
      <c r="H11" s="51"/>
      <c r="I11" s="56">
        <f t="shared" si="0"/>
        <v>638887</v>
      </c>
      <c r="J11" s="51"/>
      <c r="K11" s="51"/>
      <c r="L11" s="56">
        <f>'일위대가2 (하천기본계획)'!H27</f>
        <v>236625</v>
      </c>
      <c r="M11" s="56">
        <f t="shared" ref="M11:M16" si="1">INT(L11*F11)</f>
        <v>638887</v>
      </c>
      <c r="N11" s="51"/>
      <c r="O11" s="51"/>
      <c r="P11" s="52" t="s">
        <v>1224</v>
      </c>
    </row>
    <row r="12" spans="2:17" s="47" customFormat="1" ht="30" customHeight="1">
      <c r="B12" s="1325"/>
      <c r="C12" s="1327"/>
      <c r="D12" s="1322" t="str">
        <f>'하천기본계획(기준소요인력)'!C14</f>
        <v>2) 하천의 치수특성 조사</v>
      </c>
      <c r="E12" s="48"/>
      <c r="F12" s="1332">
        <f>'하천기본계획(기준소요인력)'!Q14</f>
        <v>1.34</v>
      </c>
      <c r="G12" s="1332" t="str">
        <f>'하천기본계획(기준소요인력)'!G75</f>
        <v>10㎢</v>
      </c>
      <c r="H12" s="51"/>
      <c r="I12" s="56">
        <f t="shared" si="0"/>
        <v>500937</v>
      </c>
      <c r="J12" s="56"/>
      <c r="K12" s="56"/>
      <c r="L12" s="56">
        <f>'일위대가2 (하천기본계획)'!H35</f>
        <v>373834</v>
      </c>
      <c r="M12" s="56">
        <f t="shared" si="1"/>
        <v>500937</v>
      </c>
      <c r="N12" s="51"/>
      <c r="O12" s="51"/>
      <c r="P12" s="52" t="s">
        <v>1225</v>
      </c>
      <c r="Q12" s="53"/>
    </row>
    <row r="13" spans="2:17" s="47" customFormat="1" ht="30" customHeight="1">
      <c r="B13" s="1325"/>
      <c r="C13" s="1327"/>
      <c r="D13" s="1322" t="str">
        <f>'하천기본계획(기준소요인력)'!C15</f>
        <v>3) 하천의 이수특성 조사</v>
      </c>
      <c r="E13" s="48"/>
      <c r="F13" s="1332">
        <f>'하천기본계획(기준소요인력)'!Q15</f>
        <v>1.34</v>
      </c>
      <c r="G13" s="1332" t="str">
        <f>'하천기본계획(기준소요인력)'!G76</f>
        <v>10㎢</v>
      </c>
      <c r="H13" s="51"/>
      <c r="I13" s="56">
        <f t="shared" si="0"/>
        <v>440801</v>
      </c>
      <c r="J13" s="51"/>
      <c r="K13" s="51">
        <f>K14+K15</f>
        <v>0</v>
      </c>
      <c r="L13" s="59">
        <f>'일위대가2 (하천기본계획)'!H43</f>
        <v>328956</v>
      </c>
      <c r="M13" s="56">
        <f t="shared" si="1"/>
        <v>440801</v>
      </c>
      <c r="N13" s="51"/>
      <c r="O13" s="51">
        <f>O14+O15</f>
        <v>0</v>
      </c>
      <c r="P13" s="52" t="s">
        <v>1226</v>
      </c>
    </row>
    <row r="14" spans="2:17" s="47" customFormat="1" ht="30" customHeight="1">
      <c r="B14" s="1325"/>
      <c r="C14" s="1327"/>
      <c r="D14" s="1322" t="str">
        <f>'하천기본계획(기준소요인력)'!C16</f>
        <v>4) 하천환경 특성 조사</v>
      </c>
      <c r="E14" s="48"/>
      <c r="F14" s="1332">
        <f>'하천기본계획(기준소요인력)'!Q16</f>
        <v>1.34</v>
      </c>
      <c r="G14" s="1332" t="str">
        <f>'하천기본계획(기준소요인력)'!G77</f>
        <v>10㎢</v>
      </c>
      <c r="H14" s="51"/>
      <c r="I14" s="56">
        <f t="shared" si="0"/>
        <v>595096</v>
      </c>
      <c r="J14" s="51"/>
      <c r="K14" s="51"/>
      <c r="L14" s="59">
        <f>'일위대가2 (하천기본계획)'!H51</f>
        <v>444102</v>
      </c>
      <c r="M14" s="56">
        <f t="shared" si="1"/>
        <v>595096</v>
      </c>
      <c r="N14" s="51"/>
      <c r="O14" s="51"/>
      <c r="P14" s="52" t="s">
        <v>1227</v>
      </c>
    </row>
    <row r="15" spans="2:17" s="47" customFormat="1" ht="30" customHeight="1">
      <c r="B15" s="1325"/>
      <c r="C15" s="1327"/>
      <c r="D15" s="1322" t="str">
        <f>'하천기본계획(기준소요인력)'!C17</f>
        <v>5) 하천이용 현황 조사</v>
      </c>
      <c r="E15" s="48"/>
      <c r="F15" s="1332">
        <f>'하천기본계획(기준소요인력)'!Q17</f>
        <v>1.34</v>
      </c>
      <c r="G15" s="1332" t="str">
        <f>'하천기본계획(기준소요인력)'!G78</f>
        <v>10㎢</v>
      </c>
      <c r="H15" s="51"/>
      <c r="I15" s="56">
        <f t="shared" si="0"/>
        <v>595592</v>
      </c>
      <c r="J15" s="56"/>
      <c r="K15" s="56">
        <f>SUM(K16:K21)</f>
        <v>0</v>
      </c>
      <c r="L15" s="56">
        <f>'일위대가2 (하천기본계획)'!H60</f>
        <v>444472</v>
      </c>
      <c r="M15" s="56">
        <f t="shared" si="1"/>
        <v>595592</v>
      </c>
      <c r="N15" s="51"/>
      <c r="O15" s="51">
        <f>SUM(O16:O21)</f>
        <v>0</v>
      </c>
      <c r="P15" s="52" t="s">
        <v>1228</v>
      </c>
    </row>
    <row r="16" spans="2:17" s="47" customFormat="1" ht="30" customHeight="1">
      <c r="B16" s="1325"/>
      <c r="C16" s="1327"/>
      <c r="D16" s="1322" t="str">
        <f>'하천기본계획(기준소요인력)'!C18</f>
        <v>6) 관련계획 검토 및 조정</v>
      </c>
      <c r="E16" s="48"/>
      <c r="F16" s="1332">
        <f>'하천기본계획(기준소요인력)'!Q18</f>
        <v>2.7</v>
      </c>
      <c r="G16" s="1332" t="str">
        <f>'하천기본계획(기준소요인력)'!G79</f>
        <v>1㎞</v>
      </c>
      <c r="H16" s="51"/>
      <c r="I16" s="56">
        <f t="shared" si="0"/>
        <v>1459255</v>
      </c>
      <c r="J16" s="51"/>
      <c r="K16" s="51"/>
      <c r="L16" s="56">
        <f>'일위대가2 (하천기본계획)'!H68</f>
        <v>540465</v>
      </c>
      <c r="M16" s="56">
        <f t="shared" si="1"/>
        <v>1459255</v>
      </c>
      <c r="N16" s="51"/>
      <c r="O16" s="51"/>
      <c r="P16" s="52" t="s">
        <v>1229</v>
      </c>
    </row>
    <row r="17" spans="1:17" s="47" customFormat="1" ht="30" customHeight="1">
      <c r="B17" s="57" t="str">
        <f>'하천기본계획(기준소요인력)'!A19</f>
        <v>3. 종합검토</v>
      </c>
      <c r="C17" s="1322"/>
      <c r="D17" s="1322"/>
      <c r="E17" s="48"/>
      <c r="F17" s="54"/>
      <c r="G17" s="55"/>
      <c r="H17" s="51"/>
      <c r="I17" s="51">
        <f t="shared" si="0"/>
        <v>29112499</v>
      </c>
      <c r="J17" s="51"/>
      <c r="K17" s="56">
        <f>SUM(K18,K24,K28)</f>
        <v>0</v>
      </c>
      <c r="L17" s="56"/>
      <c r="M17" s="51">
        <f>SUM(M18,M24,M28)</f>
        <v>29112499</v>
      </c>
      <c r="N17" s="51"/>
      <c r="O17" s="56">
        <f>SUM(O18,O24,O28)</f>
        <v>0</v>
      </c>
      <c r="P17" s="52"/>
    </row>
    <row r="18" spans="1:17" s="47" customFormat="1" ht="30" customHeight="1">
      <c r="B18" s="1325"/>
      <c r="C18" s="1322" t="str">
        <f>'하천기본계획(기준소요인력)'!B20</f>
        <v>가. 치수특성분석</v>
      </c>
      <c r="D18" s="1322"/>
      <c r="E18" s="48"/>
      <c r="F18" s="1332"/>
      <c r="G18" s="55"/>
      <c r="H18" s="51"/>
      <c r="I18" s="56">
        <f t="shared" si="0"/>
        <v>24282586</v>
      </c>
      <c r="J18" s="56"/>
      <c r="K18" s="56">
        <f>SUM(K19:K23)</f>
        <v>0</v>
      </c>
      <c r="L18" s="56"/>
      <c r="M18" s="56">
        <f>SUM(M19:M23)</f>
        <v>24282586</v>
      </c>
      <c r="N18" s="51"/>
      <c r="O18" s="56">
        <f>SUM(O19:O23)</f>
        <v>0</v>
      </c>
      <c r="P18" s="52"/>
      <c r="Q18" s="53"/>
    </row>
    <row r="19" spans="1:17" s="47" customFormat="1" ht="30" customHeight="1">
      <c r="B19" s="1325"/>
      <c r="C19" s="1327"/>
      <c r="D19" s="1322" t="str">
        <f>'하천기본계획(기준소요인력)'!C21</f>
        <v>1) 홍수량</v>
      </c>
      <c r="E19" s="48"/>
      <c r="F19" s="1332">
        <f>'하천기본계획(기준소요인력)'!Q21</f>
        <v>1.34</v>
      </c>
      <c r="G19" s="1332" t="str">
        <f>'하천기본계획(기준소요인력)'!G82</f>
        <v>10㎢</v>
      </c>
      <c r="H19" s="56"/>
      <c r="I19" s="56">
        <f t="shared" si="0"/>
        <v>540486</v>
      </c>
      <c r="J19" s="56"/>
      <c r="K19" s="56"/>
      <c r="L19" s="59">
        <f>'일위대가2 (하천기본계획)'!H76</f>
        <v>403348</v>
      </c>
      <c r="M19" s="56">
        <f>INT(L19*F19)</f>
        <v>540486</v>
      </c>
      <c r="N19" s="51"/>
      <c r="O19" s="51"/>
      <c r="P19" s="52" t="s">
        <v>1230</v>
      </c>
    </row>
    <row r="20" spans="1:17" s="47" customFormat="1" ht="30" customHeight="1">
      <c r="B20" s="1325"/>
      <c r="C20" s="1327"/>
      <c r="D20" s="1322" t="str">
        <f>'하천기본계획(기준소요인력)'!C22</f>
        <v>2) 홍수위</v>
      </c>
      <c r="E20" s="48"/>
      <c r="F20" s="1332">
        <f>'하천기본계획(기준소요인력)'!Q22</f>
        <v>2.7</v>
      </c>
      <c r="G20" s="1332" t="str">
        <f>'하천기본계획(기준소요인력)'!G83</f>
        <v>1㎞</v>
      </c>
      <c r="H20" s="56"/>
      <c r="I20" s="56">
        <f t="shared" si="0"/>
        <v>7226099</v>
      </c>
      <c r="J20" s="56"/>
      <c r="K20" s="56"/>
      <c r="L20" s="59">
        <f>'일위대가2 (하천기본계획)'!H85</f>
        <v>2676333</v>
      </c>
      <c r="M20" s="56">
        <f>INT(L20*F20)</f>
        <v>7226099</v>
      </c>
      <c r="N20" s="51"/>
      <c r="O20" s="51"/>
      <c r="P20" s="52" t="s">
        <v>1231</v>
      </c>
    </row>
    <row r="21" spans="1:17" s="47" customFormat="1" ht="30" customHeight="1">
      <c r="B21" s="1325"/>
      <c r="C21" s="1327"/>
      <c r="D21" s="1322" t="str">
        <f>'하천기본계획(기준소요인력)'!C23</f>
        <v>3) 계획하폭</v>
      </c>
      <c r="E21" s="48"/>
      <c r="F21" s="1332">
        <f>'하천기본계획(기준소요인력)'!Q23</f>
        <v>2.7</v>
      </c>
      <c r="G21" s="1332" t="str">
        <f>'하천기본계획(기준소요인력)'!G84</f>
        <v>1㎞</v>
      </c>
      <c r="H21" s="56"/>
      <c r="I21" s="56">
        <f t="shared" si="0"/>
        <v>2241661</v>
      </c>
      <c r="J21" s="56"/>
      <c r="K21" s="56"/>
      <c r="L21" s="59">
        <f>'일위대가2 (하천기본계획)'!H93</f>
        <v>830245</v>
      </c>
      <c r="M21" s="56">
        <f>INT(L21*F21)</f>
        <v>2241661</v>
      </c>
      <c r="N21" s="51"/>
      <c r="O21" s="51"/>
      <c r="P21" s="52" t="s">
        <v>1232</v>
      </c>
    </row>
    <row r="22" spans="1:17" s="47" customFormat="1" ht="30" customHeight="1">
      <c r="B22" s="1326"/>
      <c r="C22" s="1328"/>
      <c r="D22" s="1322" t="str">
        <f>'하천기본계획(기준소요인력)'!C24</f>
        <v>4) 하상변동</v>
      </c>
      <c r="E22" s="48"/>
      <c r="F22" s="1332">
        <f>'하천기본계획(기준소요인력)'!Q24</f>
        <v>2.7</v>
      </c>
      <c r="G22" s="1332" t="str">
        <f>'하천기본계획(기준소요인력)'!G85</f>
        <v>1㎞</v>
      </c>
      <c r="H22" s="56"/>
      <c r="I22" s="56">
        <f t="shared" si="0"/>
        <v>5366730</v>
      </c>
      <c r="J22" s="51"/>
      <c r="K22" s="51"/>
      <c r="L22" s="59">
        <f>'일위대가2 (하천기본계획)'!H101</f>
        <v>1987678</v>
      </c>
      <c r="M22" s="56">
        <f>INT(L22*F22)</f>
        <v>5366730</v>
      </c>
      <c r="N22" s="51"/>
      <c r="O22" s="51"/>
      <c r="P22" s="52" t="s">
        <v>1233</v>
      </c>
    </row>
    <row r="23" spans="1:17" s="47" customFormat="1" ht="30" customHeight="1">
      <c r="B23" s="1326"/>
      <c r="C23" s="1328"/>
      <c r="D23" s="1322" t="str">
        <f>'하천기본계획(기준소요인력)'!C25</f>
        <v>5) 시설물 능력검토</v>
      </c>
      <c r="E23" s="48"/>
      <c r="F23" s="1332">
        <f>'하천기본계획(기준소요인력)'!Q25</f>
        <v>2.7</v>
      </c>
      <c r="G23" s="1332" t="str">
        <f>'하천기본계획(기준소요인력)'!G86</f>
        <v>1㎞</v>
      </c>
      <c r="H23" s="56"/>
      <c r="I23" s="56">
        <f t="shared" si="0"/>
        <v>8907610</v>
      </c>
      <c r="J23" s="56"/>
      <c r="K23" s="56"/>
      <c r="L23" s="59">
        <f>'일위대가2 (하천기본계획)'!H110</f>
        <v>3299115</v>
      </c>
      <c r="M23" s="56">
        <f>INT(L23*F23)</f>
        <v>8907610</v>
      </c>
      <c r="N23" s="51"/>
      <c r="O23" s="56"/>
      <c r="P23" s="52" t="s">
        <v>1234</v>
      </c>
    </row>
    <row r="24" spans="1:17" s="47" customFormat="1" ht="30" customHeight="1">
      <c r="B24" s="1325"/>
      <c r="C24" s="1322" t="str">
        <f>'하천기본계획(기준소요인력)'!B87</f>
        <v>나. 이수특성분석</v>
      </c>
      <c r="D24" s="1322"/>
      <c r="E24" s="48"/>
      <c r="F24" s="54"/>
      <c r="G24" s="55"/>
      <c r="H24" s="56"/>
      <c r="I24" s="56">
        <f t="shared" si="0"/>
        <v>3980691</v>
      </c>
      <c r="J24" s="56"/>
      <c r="K24" s="56"/>
      <c r="L24" s="59"/>
      <c r="M24" s="56">
        <f>SUM(M25:M27)</f>
        <v>3980691</v>
      </c>
      <c r="N24" s="51"/>
      <c r="O24" s="51"/>
      <c r="P24" s="52"/>
    </row>
    <row r="25" spans="1:17" s="47" customFormat="1" ht="30" customHeight="1">
      <c r="B25" s="1325"/>
      <c r="C25" s="1327"/>
      <c r="D25" s="1322" t="str">
        <f>'하천기본계획(기준소요인력)'!C88</f>
        <v>1) 수자원 부존량 산정</v>
      </c>
      <c r="E25" s="48"/>
      <c r="F25" s="1332">
        <f>'하천기본계획(기준소요인력)'!Q27</f>
        <v>1.34</v>
      </c>
      <c r="G25" s="1332" t="str">
        <f>'하천기본계획(기준소요인력)'!G88</f>
        <v>10㎢</v>
      </c>
      <c r="H25" s="56"/>
      <c r="I25" s="56">
        <f t="shared" si="0"/>
        <v>1377845</v>
      </c>
      <c r="J25" s="56"/>
      <c r="K25" s="56"/>
      <c r="L25" s="59">
        <f>'일위대가2 (하천기본계획)'!H118</f>
        <v>1028243</v>
      </c>
      <c r="M25" s="56">
        <f>INT(L25*F25)</f>
        <v>1377845</v>
      </c>
      <c r="N25" s="51"/>
      <c r="O25" s="51"/>
      <c r="P25" s="52" t="s">
        <v>1235</v>
      </c>
    </row>
    <row r="26" spans="1:17" s="162" customFormat="1" ht="30" customHeight="1">
      <c r="B26" s="1329"/>
      <c r="C26" s="1330"/>
      <c r="D26" s="1322" t="str">
        <f>'하천기본계획(기준소요인력)'!C89</f>
        <v>2) 하천관리유량 산정</v>
      </c>
      <c r="E26" s="227"/>
      <c r="F26" s="1332">
        <f>'하천기본계획(기준소요인력)'!Q28</f>
        <v>2.7</v>
      </c>
      <c r="G26" s="1332" t="str">
        <f>'하천기본계획(기준소요인력)'!G89</f>
        <v>1㎞</v>
      </c>
      <c r="H26" s="163"/>
      <c r="I26" s="163">
        <f t="shared" si="0"/>
        <v>924660</v>
      </c>
      <c r="J26" s="163"/>
      <c r="K26" s="163"/>
      <c r="L26" s="164">
        <f>'일위대가2 (하천기본계획)'!H126</f>
        <v>342467</v>
      </c>
      <c r="M26" s="56">
        <f>INT(L26*F26)</f>
        <v>924660</v>
      </c>
      <c r="N26" s="165"/>
      <c r="O26" s="165"/>
      <c r="P26" s="166" t="s">
        <v>1236</v>
      </c>
    </row>
    <row r="27" spans="1:17" s="162" customFormat="1" ht="30" customHeight="1">
      <c r="B27" s="1329"/>
      <c r="C27" s="1330"/>
      <c r="D27" s="1322" t="str">
        <f>'하천기본계획(기준소요인력)'!C90</f>
        <v>3) 하천수 사용시설물 수요·공급량 추정</v>
      </c>
      <c r="E27" s="227"/>
      <c r="F27" s="1332">
        <f>'하천기본계획(기준소요인력)'!Q29</f>
        <v>1.34</v>
      </c>
      <c r="G27" s="1332" t="str">
        <f>'하천기본계획(기준소요인력)'!G90</f>
        <v>10㎢</v>
      </c>
      <c r="H27" s="163"/>
      <c r="I27" s="163">
        <f t="shared" si="0"/>
        <v>1678186</v>
      </c>
      <c r="J27" s="163"/>
      <c r="K27" s="163"/>
      <c r="L27" s="164">
        <f>'일위대가2 (하천기본계획)'!H135</f>
        <v>1252378</v>
      </c>
      <c r="M27" s="56">
        <f>INT(L27*F27)</f>
        <v>1678186</v>
      </c>
      <c r="N27" s="165"/>
      <c r="O27" s="165"/>
      <c r="P27" s="166" t="s">
        <v>1237</v>
      </c>
    </row>
    <row r="28" spans="1:17" s="167" customFormat="1" ht="30" customHeight="1">
      <c r="A28" s="162"/>
      <c r="B28" s="1329"/>
      <c r="C28" s="1323" t="str">
        <f>'하천기본계획(기준소요인력)'!B91</f>
        <v>다. 하천환경특성 분석</v>
      </c>
      <c r="D28" s="1323"/>
      <c r="E28" s="227"/>
      <c r="F28" s="1332">
        <f>'하천기본계획(기준소요인력)'!Q30</f>
        <v>2.7</v>
      </c>
      <c r="G28" s="1332" t="str">
        <f>'하천기본계획(기준소요인력)'!G91</f>
        <v>1㎞</v>
      </c>
      <c r="H28" s="163"/>
      <c r="I28" s="163">
        <f t="shared" si="0"/>
        <v>849222</v>
      </c>
      <c r="J28" s="163"/>
      <c r="K28" s="163"/>
      <c r="L28" s="163">
        <f>'일위대가2 (하천기본계획)'!H143</f>
        <v>314527</v>
      </c>
      <c r="M28" s="56">
        <f>INT(L28*F28)</f>
        <v>849222</v>
      </c>
      <c r="N28" s="163"/>
      <c r="O28" s="163"/>
      <c r="P28" s="166" t="s">
        <v>1238</v>
      </c>
    </row>
    <row r="29" spans="1:17" s="167" customFormat="1" ht="30" customHeight="1">
      <c r="A29" s="162"/>
      <c r="B29" s="228" t="str">
        <f>'하천기본계획(기준소요인력)'!A92</f>
        <v>4. 하천 정비 및 관리계획</v>
      </c>
      <c r="C29" s="1323"/>
      <c r="D29" s="1323"/>
      <c r="E29" s="227"/>
      <c r="F29" s="1382"/>
      <c r="G29" s="1381"/>
      <c r="H29" s="165"/>
      <c r="I29" s="165">
        <f t="shared" si="0"/>
        <v>32121199</v>
      </c>
      <c r="J29" s="165"/>
      <c r="K29" s="165"/>
      <c r="L29" s="165"/>
      <c r="M29" s="165">
        <f>SUM(M30:M33)</f>
        <v>32121199</v>
      </c>
      <c r="N29" s="165"/>
      <c r="O29" s="165"/>
      <c r="P29" s="166"/>
    </row>
    <row r="30" spans="1:17" s="167" customFormat="1" ht="30" customHeight="1">
      <c r="A30" s="162"/>
      <c r="B30" s="1329"/>
      <c r="C30" s="1323" t="str">
        <f>'하천기본계획(기준소요인력)'!B93</f>
        <v>가. 치수 종합계획</v>
      </c>
      <c r="D30" s="1323"/>
      <c r="E30" s="227"/>
      <c r="F30" s="1332">
        <f>'하천기본계획(기준소요인력)'!Q32</f>
        <v>2.7</v>
      </c>
      <c r="G30" s="1332" t="str">
        <f>'하천기본계획(기준소요인력)'!G93</f>
        <v>1㎞</v>
      </c>
      <c r="H30" s="163"/>
      <c r="I30" s="163">
        <f t="shared" si="0"/>
        <v>13421964</v>
      </c>
      <c r="J30" s="165"/>
      <c r="K30" s="165"/>
      <c r="L30" s="163">
        <f>'일위대가2 (하천기본계획)'!H151</f>
        <v>4971098</v>
      </c>
      <c r="M30" s="56">
        <f>INT(L30*F30)</f>
        <v>13421964</v>
      </c>
      <c r="N30" s="163"/>
      <c r="O30" s="163"/>
      <c r="P30" s="166" t="s">
        <v>1239</v>
      </c>
    </row>
    <row r="31" spans="1:17" s="167" customFormat="1" ht="30" customHeight="1">
      <c r="A31" s="162"/>
      <c r="B31" s="1329"/>
      <c r="C31" s="1323" t="str">
        <f>'하천기본계획(기준소요인력)'!B94</f>
        <v>나. 이수 종합계획</v>
      </c>
      <c r="D31" s="1323"/>
      <c r="E31" s="227"/>
      <c r="F31" s="1332">
        <f>'하천기본계획(기준소요인력)'!Q33</f>
        <v>1.34</v>
      </c>
      <c r="G31" s="1332" t="str">
        <f>'하천기본계획(기준소요인력)'!G94</f>
        <v>10㎢</v>
      </c>
      <c r="H31" s="163"/>
      <c r="I31" s="163">
        <f t="shared" si="0"/>
        <v>6485334</v>
      </c>
      <c r="J31" s="165"/>
      <c r="K31" s="165"/>
      <c r="L31" s="163">
        <f>'일위대가2 (하천기본계획)'!H160</f>
        <v>4839802</v>
      </c>
      <c r="M31" s="56">
        <f>INT(L31*F31)</f>
        <v>6485334</v>
      </c>
      <c r="N31" s="163"/>
      <c r="O31" s="163"/>
      <c r="P31" s="166" t="s">
        <v>1240</v>
      </c>
    </row>
    <row r="32" spans="1:17" s="167" customFormat="1" ht="30" customHeight="1">
      <c r="A32" s="162"/>
      <c r="B32" s="1329"/>
      <c r="C32" s="1323" t="str">
        <f>'하천기본계획(기준소요인력)'!B95</f>
        <v>다. 하천환경 종합계획</v>
      </c>
      <c r="D32" s="1323"/>
      <c r="E32" s="227"/>
      <c r="F32" s="1332">
        <f>'하천기본계획(기준소요인력)'!Q34</f>
        <v>1.34</v>
      </c>
      <c r="G32" s="1332" t="str">
        <f>'하천기본계획(기준소요인력)'!G95</f>
        <v>10㎢</v>
      </c>
      <c r="H32" s="163"/>
      <c r="I32" s="163">
        <f t="shared" si="0"/>
        <v>6232092</v>
      </c>
      <c r="J32" s="165"/>
      <c r="K32" s="165"/>
      <c r="L32" s="163">
        <f>'일위대가2 (하천기본계획)'!H168</f>
        <v>4650815</v>
      </c>
      <c r="M32" s="56">
        <f>INT(L32*F32)</f>
        <v>6232092</v>
      </c>
      <c r="N32" s="163"/>
      <c r="O32" s="163"/>
      <c r="P32" s="166" t="s">
        <v>1241</v>
      </c>
    </row>
    <row r="33" spans="1:16" s="47" customFormat="1" ht="30" customHeight="1">
      <c r="B33" s="1331"/>
      <c r="C33" s="1323" t="str">
        <f>'하천기본계획(기준소요인력)'!B96</f>
        <v>라. 하천공간 관리계획</v>
      </c>
      <c r="D33" s="1324"/>
      <c r="E33" s="227"/>
      <c r="F33" s="1332">
        <f>'하천기본계획(기준소요인력)'!Q35</f>
        <v>2.7</v>
      </c>
      <c r="G33" s="1332" t="str">
        <f>'하천기본계획(기준소요인력)'!G96</f>
        <v>1㎞</v>
      </c>
      <c r="H33" s="51"/>
      <c r="I33" s="56">
        <f t="shared" si="0"/>
        <v>5981809</v>
      </c>
      <c r="J33" s="56"/>
      <c r="K33" s="56"/>
      <c r="L33" s="56">
        <f>'일위대가2 (하천기본계획)'!H176</f>
        <v>2215485</v>
      </c>
      <c r="M33" s="56">
        <f>INT(L33*F33)</f>
        <v>5981809</v>
      </c>
      <c r="N33" s="56"/>
      <c r="O33" s="51"/>
      <c r="P33" s="52" t="s">
        <v>1242</v>
      </c>
    </row>
    <row r="34" spans="1:16" s="47" customFormat="1" ht="30" customHeight="1">
      <c r="B34" s="1331" t="str">
        <f>'하천기본계획(기준소요인력)'!A97</f>
        <v>5. 시행계획 및 기대효과</v>
      </c>
      <c r="C34" s="1323"/>
      <c r="D34" s="1323"/>
      <c r="E34" s="227"/>
      <c r="F34" s="158"/>
      <c r="G34" s="1381"/>
      <c r="H34" s="51"/>
      <c r="I34" s="51">
        <f t="shared" si="0"/>
        <v>10076447</v>
      </c>
      <c r="J34" s="51"/>
      <c r="K34" s="51">
        <f>SUM(K35:K36)</f>
        <v>0</v>
      </c>
      <c r="L34" s="51"/>
      <c r="M34" s="51">
        <f>SUM(M35:M36)</f>
        <v>10076447</v>
      </c>
      <c r="N34" s="51"/>
      <c r="O34" s="51">
        <f>SUM(O35:O36)</f>
        <v>0</v>
      </c>
      <c r="P34" s="52"/>
    </row>
    <row r="35" spans="1:16" s="47" customFormat="1" ht="30" customHeight="1">
      <c r="B35" s="1329"/>
      <c r="C35" s="1323" t="str">
        <f>'하천기본계획(기준소요인력)'!B98</f>
        <v>가. 경제성 분석 및 소요재원 산정</v>
      </c>
      <c r="D35" s="1323"/>
      <c r="E35" s="227"/>
      <c r="F35" s="1332">
        <f>'하천기본계획(기준소요인력)'!Q37</f>
        <v>2.7</v>
      </c>
      <c r="G35" s="1332" t="str">
        <f>'하천기본계획(기준소요인력)'!G98</f>
        <v>1㎞</v>
      </c>
      <c r="H35" s="51"/>
      <c r="I35" s="56">
        <f t="shared" si="0"/>
        <v>6552740</v>
      </c>
      <c r="J35" s="51"/>
      <c r="K35" s="51"/>
      <c r="L35" s="56">
        <f>'일위대가2 (하천기본계획)'!H185</f>
        <v>2426941</v>
      </c>
      <c r="M35" s="56">
        <f>INT(L35*F35)</f>
        <v>6552740</v>
      </c>
      <c r="N35" s="51"/>
      <c r="O35" s="51"/>
      <c r="P35" s="52" t="s">
        <v>1243</v>
      </c>
    </row>
    <row r="36" spans="1:16" s="47" customFormat="1" ht="30" customHeight="1">
      <c r="B36" s="1329"/>
      <c r="C36" s="1323" t="str">
        <f>'하천기본계획(기준소요인력)'!B99</f>
        <v>나. 투자우선순위, 결론 및 기대효과</v>
      </c>
      <c r="D36" s="1323"/>
      <c r="E36" s="227"/>
      <c r="F36" s="1332">
        <f>'하천기본계획(기준소요인력)'!Q38</f>
        <v>2.7</v>
      </c>
      <c r="G36" s="1332" t="str">
        <f>'하천기본계획(기준소요인력)'!G99</f>
        <v>1㎞</v>
      </c>
      <c r="H36" s="51"/>
      <c r="I36" s="56">
        <f t="shared" si="0"/>
        <v>3523707</v>
      </c>
      <c r="J36" s="51"/>
      <c r="K36" s="51"/>
      <c r="L36" s="56">
        <f>'일위대가2 (하천기본계획)'!H193</f>
        <v>1305077</v>
      </c>
      <c r="M36" s="56">
        <f>INT(L36*F36)</f>
        <v>3523707</v>
      </c>
      <c r="N36" s="51"/>
      <c r="O36" s="51"/>
      <c r="P36" s="52" t="s">
        <v>1244</v>
      </c>
    </row>
    <row r="37" spans="1:16" s="47" customFormat="1" ht="30" customHeight="1">
      <c r="B37" s="1331" t="str">
        <f>'하천기본계획(기준소요인력)'!A100</f>
        <v>6. 보고서 작성</v>
      </c>
      <c r="C37" s="1323"/>
      <c r="D37" s="1323"/>
      <c r="E37" s="227"/>
      <c r="F37" s="158"/>
      <c r="G37" s="187"/>
      <c r="H37" s="51"/>
      <c r="I37" s="51">
        <f t="shared" si="0"/>
        <v>2237965</v>
      </c>
      <c r="J37" s="51"/>
      <c r="K37" s="56">
        <f>SUM(K38)</f>
        <v>0</v>
      </c>
      <c r="L37" s="56"/>
      <c r="M37" s="51">
        <f>SUM(M38)</f>
        <v>2237965</v>
      </c>
      <c r="N37" s="51"/>
      <c r="O37" s="56">
        <f>SUM(O38)</f>
        <v>0</v>
      </c>
      <c r="P37" s="52"/>
    </row>
    <row r="38" spans="1:16" s="47" customFormat="1" ht="30" customHeight="1">
      <c r="B38" s="1329"/>
      <c r="C38" s="1323" t="str">
        <f>'하천기본계획(기준소요인력)'!B101</f>
        <v>가. 보고서 작성</v>
      </c>
      <c r="D38" s="1323"/>
      <c r="E38" s="227"/>
      <c r="F38" s="1332">
        <f>'하천기본계획(기준소요인력)'!Q40</f>
        <v>2.7</v>
      </c>
      <c r="G38" s="1332" t="str">
        <f>'하천기본계획(기준소요인력)'!G101</f>
        <v>1㎞</v>
      </c>
      <c r="H38" s="51"/>
      <c r="I38" s="56">
        <f t="shared" si="0"/>
        <v>2237965</v>
      </c>
      <c r="J38" s="51"/>
      <c r="K38" s="51"/>
      <c r="L38" s="56">
        <f>'일위대가2 (하천기본계획)'!H201</f>
        <v>828876</v>
      </c>
      <c r="M38" s="56">
        <f>INT(L38*F38)</f>
        <v>2237965</v>
      </c>
      <c r="N38" s="51"/>
      <c r="O38" s="51"/>
      <c r="P38" s="52" t="s">
        <v>1245</v>
      </c>
    </row>
    <row r="39" spans="1:16" s="47" customFormat="1" ht="30" customHeight="1">
      <c r="B39" s="228" t="str">
        <f>'하천기본계획(기준소요인력)'!A102</f>
        <v>Ⅱ. 하천시설관리대장</v>
      </c>
      <c r="C39" s="1323"/>
      <c r="D39" s="1323"/>
      <c r="E39" s="227"/>
      <c r="F39" s="1382"/>
      <c r="G39" s="1381"/>
      <c r="H39" s="51"/>
      <c r="I39" s="51">
        <f t="shared" si="0"/>
        <v>15000916.4</v>
      </c>
      <c r="J39" s="51"/>
      <c r="K39" s="51">
        <f>SUM(K40,K48)</f>
        <v>0</v>
      </c>
      <c r="L39" s="51"/>
      <c r="M39" s="51">
        <f>SUM(M40,M48)</f>
        <v>15000916.4</v>
      </c>
      <c r="N39" s="51"/>
      <c r="O39" s="51">
        <f>SUM(O40,O48)</f>
        <v>0</v>
      </c>
      <c r="P39" s="52"/>
    </row>
    <row r="40" spans="1:16" s="47" customFormat="1" ht="30" customHeight="1">
      <c r="B40" s="228" t="str">
        <f>'하천기본계획(기준소요인력)'!A103</f>
        <v>1. 하천시설대장</v>
      </c>
      <c r="C40" s="1323"/>
      <c r="D40" s="1323"/>
      <c r="E40" s="227"/>
      <c r="F40" s="1382"/>
      <c r="G40" s="1381"/>
      <c r="H40" s="51"/>
      <c r="I40" s="51">
        <f t="shared" si="0"/>
        <v>4542204</v>
      </c>
      <c r="J40" s="51"/>
      <c r="K40" s="51">
        <f>SUM(K41,K42)</f>
        <v>0</v>
      </c>
      <c r="L40" s="51"/>
      <c r="M40" s="51">
        <f>SUM(M41,M42)</f>
        <v>4542204</v>
      </c>
      <c r="N40" s="51"/>
      <c r="O40" s="51">
        <f>SUM(O41,O42)</f>
        <v>0</v>
      </c>
      <c r="P40" s="52"/>
    </row>
    <row r="41" spans="1:16" s="47" customFormat="1" ht="30" customHeight="1">
      <c r="B41" s="1329" t="s">
        <v>247</v>
      </c>
      <c r="C41" s="1323" t="str">
        <f>'하천기본계획(기준소요인력)'!B104</f>
        <v>가. 하천시설물도</v>
      </c>
      <c r="D41" s="1323"/>
      <c r="E41" s="227"/>
      <c r="F41" s="1332">
        <f>'하천기본계획(기준소요인력)'!Q43</f>
        <v>2.7</v>
      </c>
      <c r="G41" s="1332" t="str">
        <f>'하천기본계획(기준소요인력)'!G104</f>
        <v>1㎞</v>
      </c>
      <c r="H41" s="51"/>
      <c r="I41" s="56">
        <f t="shared" si="0"/>
        <v>2090485</v>
      </c>
      <c r="J41" s="51"/>
      <c r="K41" s="51"/>
      <c r="L41" s="56">
        <f>'일위대가2 (하천기본계획)'!H210</f>
        <v>774254</v>
      </c>
      <c r="M41" s="56">
        <f>INT(L41*F41)</f>
        <v>2090485</v>
      </c>
      <c r="N41" s="51"/>
      <c r="O41" s="51"/>
      <c r="P41" s="52" t="s">
        <v>1246</v>
      </c>
    </row>
    <row r="42" spans="1:16" s="47" customFormat="1" ht="30" customHeight="1">
      <c r="B42" s="1329" t="s">
        <v>248</v>
      </c>
      <c r="C42" s="1323" t="str">
        <f>'하천기본계획(기준소요인력)'!B105</f>
        <v>나. 하천시설대장 조서</v>
      </c>
      <c r="D42" s="1323"/>
      <c r="E42" s="227"/>
      <c r="F42" s="1332">
        <f>'하천기본계획(기준소요인력)'!Q44</f>
        <v>2.7</v>
      </c>
      <c r="G42" s="1332" t="str">
        <f>'하천기본계획(기준소요인력)'!G105</f>
        <v>1㎞</v>
      </c>
      <c r="H42" s="51"/>
      <c r="I42" s="56">
        <f t="shared" si="0"/>
        <v>2451719</v>
      </c>
      <c r="J42" s="51"/>
      <c r="K42" s="56">
        <f>SUM(K43:K47)</f>
        <v>0</v>
      </c>
      <c r="L42" s="56"/>
      <c r="M42" s="56">
        <f>SUM(M43:M47)</f>
        <v>2451719</v>
      </c>
      <c r="N42" s="51"/>
      <c r="O42" s="56">
        <f>SUM(O43:O47)</f>
        <v>0</v>
      </c>
      <c r="P42" s="52"/>
    </row>
    <row r="43" spans="1:16" s="47" customFormat="1" ht="30" customHeight="1">
      <c r="B43" s="1329"/>
      <c r="C43" s="1330"/>
      <c r="D43" s="1323" t="str">
        <f>'하천기본계획(기준소요인력)'!C106</f>
        <v>1) 제방 및 호안 현황</v>
      </c>
      <c r="E43" s="227"/>
      <c r="F43" s="1332">
        <f>'하천기본계획(기준소요인력)'!Q45</f>
        <v>2.7</v>
      </c>
      <c r="G43" s="1332" t="str">
        <f>'하천기본계획(기준소요인력)'!G106</f>
        <v>1㎞</v>
      </c>
      <c r="H43" s="51"/>
      <c r="I43" s="56">
        <f t="shared" si="0"/>
        <v>1829457</v>
      </c>
      <c r="J43" s="51"/>
      <c r="K43" s="51"/>
      <c r="L43" s="56">
        <f>'일위대가2 (하천기본계획)'!H218</f>
        <v>677577</v>
      </c>
      <c r="M43" s="56">
        <f>INT(L43*F43)</f>
        <v>1829457</v>
      </c>
      <c r="N43" s="51"/>
      <c r="O43" s="51"/>
      <c r="P43" s="52" t="s">
        <v>1247</v>
      </c>
    </row>
    <row r="44" spans="1:16" s="47" customFormat="1" ht="30" customHeight="1">
      <c r="B44" s="1329"/>
      <c r="C44" s="1330"/>
      <c r="D44" s="1323" t="str">
        <f>'하천기본계획(기준소요인력)'!C107</f>
        <v>2) 댐, 홍수조절지, 저류지 등 현황</v>
      </c>
      <c r="E44" s="227"/>
      <c r="F44" s="1332">
        <f>'하천기본계획(기준소요인력)'!Q46</f>
        <v>2.7</v>
      </c>
      <c r="G44" s="1332" t="str">
        <f>'하천기본계획(기준소요인력)'!G107</f>
        <v>1㎞</v>
      </c>
      <c r="H44" s="51"/>
      <c r="I44" s="56">
        <f t="shared" si="0"/>
        <v>227194</v>
      </c>
      <c r="J44" s="51"/>
      <c r="K44" s="51"/>
      <c r="L44" s="56">
        <f>'일위대가2 (하천기본계획)'!H226</f>
        <v>84146</v>
      </c>
      <c r="M44" s="56">
        <f>INT(L44*F44)</f>
        <v>227194</v>
      </c>
      <c r="N44" s="51"/>
      <c r="O44" s="51"/>
      <c r="P44" s="52" t="s">
        <v>1248</v>
      </c>
    </row>
    <row r="45" spans="1:16" s="47" customFormat="1" ht="30" customHeight="1">
      <c r="A45" s="157"/>
      <c r="B45" s="1329"/>
      <c r="C45" s="1330"/>
      <c r="D45" s="1323" t="str">
        <f>'하천기본계획(기준소요인력)'!C108</f>
        <v>3) 지하하천 및 방수로 현황</v>
      </c>
      <c r="E45" s="227"/>
      <c r="F45" s="1332">
        <f>'하천기본계획(기준소요인력)'!Q47</f>
        <v>2.7</v>
      </c>
      <c r="G45" s="1332" t="str">
        <f>'하천기본계획(기준소요인력)'!G108</f>
        <v>1㎞</v>
      </c>
      <c r="H45" s="51"/>
      <c r="I45" s="56">
        <f t="shared" si="0"/>
        <v>83937</v>
      </c>
      <c r="J45" s="51"/>
      <c r="K45" s="51"/>
      <c r="L45" s="56">
        <f>'일위대가2 (하천기본계획)'!H235</f>
        <v>31088</v>
      </c>
      <c r="M45" s="56">
        <f>INT(L45*F45)</f>
        <v>83937</v>
      </c>
      <c r="N45" s="51"/>
      <c r="O45" s="51"/>
      <c r="P45" s="52" t="s">
        <v>1249</v>
      </c>
    </row>
    <row r="46" spans="1:16" s="47" customFormat="1" ht="30" customHeight="1">
      <c r="B46" s="1331"/>
      <c r="C46" s="1385"/>
      <c r="D46" s="1323" t="str">
        <f>'하천기본계획(기준소요인력)'!C109</f>
        <v>4) 배수펌프장 현황</v>
      </c>
      <c r="E46" s="227"/>
      <c r="F46" s="1332">
        <f>'하천기본계획(기준소요인력)'!Q48</f>
        <v>2.7</v>
      </c>
      <c r="G46" s="1332" t="str">
        <f>'하천기본계획(기준소요인력)'!G109</f>
        <v>1㎞</v>
      </c>
      <c r="H46" s="51"/>
      <c r="I46" s="56">
        <f t="shared" si="0"/>
        <v>227194</v>
      </c>
      <c r="J46" s="51"/>
      <c r="K46" s="51"/>
      <c r="L46" s="56">
        <f>'일위대가2 (하천기본계획)'!H243</f>
        <v>84146</v>
      </c>
      <c r="M46" s="56">
        <f>INT(L46*F46)</f>
        <v>227194</v>
      </c>
      <c r="N46" s="56"/>
      <c r="O46" s="51">
        <f>SUM(O47:O60)</f>
        <v>0</v>
      </c>
      <c r="P46" s="52" t="s">
        <v>1250</v>
      </c>
    </row>
    <row r="47" spans="1:16" s="47" customFormat="1" ht="30" customHeight="1">
      <c r="B47" s="1329"/>
      <c r="C47" s="1330"/>
      <c r="D47" s="1323" t="str">
        <f>'하천기본계획(기준소요인력)'!C110</f>
        <v>5) 하구둑 현황</v>
      </c>
      <c r="E47" s="227"/>
      <c r="F47" s="1332">
        <f>'하천기본계획(기준소요인력)'!Q49</f>
        <v>2.7</v>
      </c>
      <c r="G47" s="1332" t="str">
        <f>'하천기본계획(기준소요인력)'!G110</f>
        <v>1㎞</v>
      </c>
      <c r="H47" s="51"/>
      <c r="I47" s="56">
        <f t="shared" si="0"/>
        <v>83937</v>
      </c>
      <c r="J47" s="51"/>
      <c r="K47" s="51"/>
      <c r="L47" s="56">
        <f>'일위대가2 (하천기본계획)'!H251</f>
        <v>31088</v>
      </c>
      <c r="M47" s="56">
        <f>INT(L47*F47)</f>
        <v>83937</v>
      </c>
      <c r="N47" s="51"/>
      <c r="O47" s="51"/>
      <c r="P47" s="52" t="s">
        <v>1251</v>
      </c>
    </row>
    <row r="48" spans="1:16" s="47" customFormat="1" ht="30" customHeight="1">
      <c r="B48" s="228" t="str">
        <f>'하천기본계획(기준소요인력)'!A111</f>
        <v>2. 하천현황대장</v>
      </c>
      <c r="C48" s="1323"/>
      <c r="D48" s="1323"/>
      <c r="E48" s="227"/>
      <c r="F48" s="1382"/>
      <c r="G48" s="1381"/>
      <c r="H48" s="51"/>
      <c r="I48" s="51">
        <f t="shared" ref="I48:I60" si="2">K48+M48+O48</f>
        <v>10458712.4</v>
      </c>
      <c r="J48" s="51"/>
      <c r="K48" s="51">
        <f>SUM(K49,K50)</f>
        <v>0</v>
      </c>
      <c r="L48" s="51"/>
      <c r="M48" s="51">
        <f>SUM(M49,M50)</f>
        <v>10458712.4</v>
      </c>
      <c r="N48" s="51"/>
      <c r="O48" s="51">
        <f>SUM(O49,O50)</f>
        <v>0</v>
      </c>
      <c r="P48" s="52"/>
    </row>
    <row r="49" spans="2:16" s="47" customFormat="1" ht="30" customHeight="1">
      <c r="B49" s="1329"/>
      <c r="C49" s="1323" t="str">
        <f>'하천기본계획(기준소요인력)'!B112</f>
        <v>가. 하천현황도</v>
      </c>
      <c r="D49" s="1323"/>
      <c r="E49" s="227"/>
      <c r="F49" s="1332">
        <f>'하천기본계획(기준소요인력)'!Q51</f>
        <v>2.7</v>
      </c>
      <c r="G49" s="1332" t="str">
        <f>'하천기본계획(기준소요인력)'!G112</f>
        <v>1㎞</v>
      </c>
      <c r="H49" s="51"/>
      <c r="I49" s="56">
        <f t="shared" si="2"/>
        <v>2993036.4000000004</v>
      </c>
      <c r="J49" s="51"/>
      <c r="K49" s="51"/>
      <c r="L49" s="56">
        <f>'일위대가2 (하천기본계획)'!H260</f>
        <v>1108532</v>
      </c>
      <c r="M49" s="56">
        <f t="shared" ref="M49" si="3">L49*F49</f>
        <v>2993036.4000000004</v>
      </c>
      <c r="N49" s="51"/>
      <c r="O49" s="51"/>
      <c r="P49" s="52" t="s">
        <v>1252</v>
      </c>
    </row>
    <row r="50" spans="2:16" s="47" customFormat="1" ht="30" customHeight="1">
      <c r="B50" s="1329"/>
      <c r="C50" s="1323" t="str">
        <f>'하천기본계획(기준소요인력)'!B113</f>
        <v>나. 하천현황대장 조서</v>
      </c>
      <c r="D50" s="1323"/>
      <c r="E50" s="227"/>
      <c r="F50" s="1332">
        <f>'하천기본계획(기준소요인력)'!Q52</f>
        <v>2.7</v>
      </c>
      <c r="G50" s="1332" t="str">
        <f>'하천기본계획(기준소요인력)'!G113</f>
        <v>1㎞</v>
      </c>
      <c r="H50" s="51"/>
      <c r="I50" s="56">
        <f t="shared" si="2"/>
        <v>7465676</v>
      </c>
      <c r="J50" s="51"/>
      <c r="K50" s="56">
        <f>SUM(K51:K56)</f>
        <v>0</v>
      </c>
      <c r="L50" s="56"/>
      <c r="M50" s="56">
        <f>SUM(M51:M56)</f>
        <v>7465676</v>
      </c>
      <c r="N50" s="51"/>
      <c r="O50" s="56">
        <f>SUM(O51:O56)</f>
        <v>0</v>
      </c>
      <c r="P50" s="52"/>
    </row>
    <row r="51" spans="2:16" s="47" customFormat="1" ht="30" customHeight="1">
      <c r="B51" s="1329"/>
      <c r="C51" s="1330"/>
      <c r="D51" s="1323" t="str">
        <f>'하천기본계획(기준소요인력)'!C114</f>
        <v>1) 하천개황</v>
      </c>
      <c r="E51" s="227"/>
      <c r="F51" s="1332">
        <f>'하천기본계획(기준소요인력)'!Q53</f>
        <v>2.7</v>
      </c>
      <c r="G51" s="1332" t="str">
        <f>'하천기본계획(기준소요인력)'!G114</f>
        <v>1㎞</v>
      </c>
      <c r="H51" s="51"/>
      <c r="I51" s="56">
        <f t="shared" si="2"/>
        <v>724804</v>
      </c>
      <c r="J51" s="51"/>
      <c r="K51" s="51"/>
      <c r="L51" s="56">
        <f>'일위대가2 (하천기본계획)'!H268</f>
        <v>268446</v>
      </c>
      <c r="M51" s="56">
        <f t="shared" ref="M51:M56" si="4">INT(L51*F51)</f>
        <v>724804</v>
      </c>
      <c r="N51" s="51"/>
      <c r="O51" s="51"/>
      <c r="P51" s="52" t="s">
        <v>1253</v>
      </c>
    </row>
    <row r="52" spans="2:16" s="47" customFormat="1" ht="30" customHeight="1">
      <c r="B52" s="1329"/>
      <c r="C52" s="1330"/>
      <c r="D52" s="1323" t="str">
        <f>'하천기본계획(기준소요인력)'!C115</f>
        <v>2) 측량기준점</v>
      </c>
      <c r="E52" s="227"/>
      <c r="F52" s="1332">
        <f>'하천기본계획(기준소요인력)'!Q54</f>
        <v>2.7</v>
      </c>
      <c r="G52" s="1332" t="str">
        <f>'하천기본계획(기준소요인력)'!G115</f>
        <v>1㎞</v>
      </c>
      <c r="H52" s="51"/>
      <c r="I52" s="56">
        <f t="shared" si="2"/>
        <v>290768</v>
      </c>
      <c r="J52" s="51"/>
      <c r="K52" s="51"/>
      <c r="L52" s="56">
        <f>'일위대가2 (하천기본계획)'!H276</f>
        <v>107692</v>
      </c>
      <c r="M52" s="56">
        <f t="shared" si="4"/>
        <v>290768</v>
      </c>
      <c r="N52" s="51"/>
      <c r="O52" s="51"/>
      <c r="P52" s="52" t="s">
        <v>1254</v>
      </c>
    </row>
    <row r="53" spans="2:16" s="47" customFormat="1" ht="30" customHeight="1">
      <c r="B53" s="1329"/>
      <c r="C53" s="1330"/>
      <c r="D53" s="1323" t="str">
        <f>'하천기본계획(기준소요인력)'!C116</f>
        <v>3) 하천수 상황</v>
      </c>
      <c r="E53" s="227"/>
      <c r="F53" s="1332">
        <f>'하천기본계획(기준소요인력)'!Q55</f>
        <v>2.7</v>
      </c>
      <c r="G53" s="1332" t="str">
        <f>'하천기본계획(기준소요인력)'!G116</f>
        <v>1㎞</v>
      </c>
      <c r="H53" s="51"/>
      <c r="I53" s="56">
        <f t="shared" si="2"/>
        <v>581542</v>
      </c>
      <c r="J53" s="51"/>
      <c r="K53" s="51"/>
      <c r="L53" s="56">
        <f>'일위대가2 (하천기본계획)'!H285</f>
        <v>215386</v>
      </c>
      <c r="M53" s="56">
        <f t="shared" si="4"/>
        <v>581542</v>
      </c>
      <c r="N53" s="51"/>
      <c r="O53" s="51"/>
      <c r="P53" s="52" t="s">
        <v>1255</v>
      </c>
    </row>
    <row r="54" spans="2:16" s="47" customFormat="1" ht="30" customHeight="1">
      <c r="B54" s="1329"/>
      <c r="C54" s="1330"/>
      <c r="D54" s="1323" t="str">
        <f>'하천기본계획(기준소요인력)'!C117</f>
        <v>4) 하천구역 현황</v>
      </c>
      <c r="E54" s="227"/>
      <c r="F54" s="1332">
        <f>'하천기본계획(기준소요인력)'!Q56</f>
        <v>2.7</v>
      </c>
      <c r="G54" s="1332" t="str">
        <f>'하천기본계획(기준소요인력)'!G117</f>
        <v>1㎞</v>
      </c>
      <c r="H54" s="51"/>
      <c r="I54" s="56">
        <f t="shared" si="2"/>
        <v>3277945</v>
      </c>
      <c r="J54" s="51"/>
      <c r="K54" s="51"/>
      <c r="L54" s="56">
        <f>'일위대가2 (하천기본계획)'!H293</f>
        <v>1214054</v>
      </c>
      <c r="M54" s="56">
        <f t="shared" si="4"/>
        <v>3277945</v>
      </c>
      <c r="N54" s="51"/>
      <c r="O54" s="51"/>
      <c r="P54" s="52" t="s">
        <v>1256</v>
      </c>
    </row>
    <row r="55" spans="2:16" s="47" customFormat="1" ht="30" customHeight="1">
      <c r="B55" s="1329"/>
      <c r="C55" s="1330"/>
      <c r="D55" s="1323" t="str">
        <f>'하천기본계획(기준소요인력)'!C118</f>
        <v>5) 홍수관리구역 현황</v>
      </c>
      <c r="E55" s="227"/>
      <c r="F55" s="1332">
        <f>'하천기본계획(기준소요인력)'!Q57</f>
        <v>2.7</v>
      </c>
      <c r="G55" s="1332" t="str">
        <f>'하천기본계획(기준소요인력)'!G118</f>
        <v>1㎞</v>
      </c>
      <c r="H55" s="51"/>
      <c r="I55" s="56">
        <f t="shared" si="2"/>
        <v>1407159</v>
      </c>
      <c r="J55" s="51"/>
      <c r="K55" s="51"/>
      <c r="L55" s="56">
        <f>'일위대가2 (하천기본계획)'!H301</f>
        <v>521170</v>
      </c>
      <c r="M55" s="56">
        <f t="shared" si="4"/>
        <v>1407159</v>
      </c>
      <c r="N55" s="51"/>
      <c r="O55" s="51"/>
      <c r="P55" s="52" t="s">
        <v>1257</v>
      </c>
    </row>
    <row r="56" spans="2:16" s="47" customFormat="1" ht="30" customHeight="1">
      <c r="B56" s="1329"/>
      <c r="C56" s="1330"/>
      <c r="D56" s="1323" t="str">
        <f>'하천기본계획(기준소요인력)'!C119</f>
        <v>6) 하천개수 현황</v>
      </c>
      <c r="E56" s="227"/>
      <c r="F56" s="1332">
        <f>'하천기본계획(기준소요인력)'!Q58</f>
        <v>2.7</v>
      </c>
      <c r="G56" s="1332" t="str">
        <f>'하천기본계획(기준소요인력)'!G119</f>
        <v>1㎞</v>
      </c>
      <c r="H56" s="51"/>
      <c r="I56" s="56">
        <f t="shared" si="2"/>
        <v>1183458</v>
      </c>
      <c r="J56" s="51"/>
      <c r="K56" s="51"/>
      <c r="L56" s="56">
        <f>'일위대가2 (하천기본계획)'!H310</f>
        <v>438318</v>
      </c>
      <c r="M56" s="56">
        <f t="shared" si="4"/>
        <v>1183458</v>
      </c>
      <c r="N56" s="51"/>
      <c r="O56" s="51"/>
      <c r="P56" s="52" t="s">
        <v>1258</v>
      </c>
    </row>
    <row r="57" spans="2:16" s="47" customFormat="1" ht="30" customHeight="1">
      <c r="B57" s="228" t="str">
        <f>'하천기본계획(기준소요인력)'!A120</f>
        <v>Ⅲ. 하천기본계획 전산화</v>
      </c>
      <c r="C57" s="1323"/>
      <c r="D57" s="1323"/>
      <c r="E57" s="227"/>
      <c r="F57" s="1382"/>
      <c r="G57" s="1381"/>
      <c r="H57" s="51"/>
      <c r="I57" s="51">
        <f t="shared" si="2"/>
        <v>6086059</v>
      </c>
      <c r="J57" s="51"/>
      <c r="K57" s="51">
        <f>SUM(K58:K60)</f>
        <v>0</v>
      </c>
      <c r="L57" s="51"/>
      <c r="M57" s="51">
        <f>SUM(M58:M60)</f>
        <v>6086059</v>
      </c>
      <c r="N57" s="51"/>
      <c r="O57" s="51">
        <f>SUM(O58:O60)</f>
        <v>0</v>
      </c>
      <c r="P57" s="52"/>
    </row>
    <row r="58" spans="2:16" s="47" customFormat="1" ht="30" customHeight="1">
      <c r="B58" s="1329"/>
      <c r="C58" s="1323" t="str">
        <f>'하천기본계획(기준소요인력)'!B121</f>
        <v>가. 하천기본계획 전산화</v>
      </c>
      <c r="D58" s="1323"/>
      <c r="E58" s="227"/>
      <c r="F58" s="1332">
        <f>'하천기본계획(기준소요인력)'!Q60</f>
        <v>2.7</v>
      </c>
      <c r="G58" s="1332" t="str">
        <f>'하천기본계획(기준소요인력)'!G121</f>
        <v>1㎞</v>
      </c>
      <c r="H58" s="51"/>
      <c r="I58" s="56">
        <f t="shared" si="2"/>
        <v>2802284</v>
      </c>
      <c r="J58" s="51"/>
      <c r="K58" s="51"/>
      <c r="L58" s="56">
        <f>'일위대가2 (하천기본계획)'!H318</f>
        <v>1037883</v>
      </c>
      <c r="M58" s="56">
        <f>INT(L58*F58)</f>
        <v>2802284</v>
      </c>
      <c r="N58" s="51"/>
      <c r="O58" s="51"/>
      <c r="P58" s="52" t="s">
        <v>1259</v>
      </c>
    </row>
    <row r="59" spans="2:16" s="47" customFormat="1" ht="30" customHeight="1">
      <c r="B59" s="1329"/>
      <c r="C59" s="1323" t="str">
        <f>'하천기본계획(기준소요인력)'!B122</f>
        <v>나. 하천시설관리대장 전산화</v>
      </c>
      <c r="D59" s="1323"/>
      <c r="E59" s="227"/>
      <c r="F59" s="1332">
        <f>'하천기본계획(기준소요인력)'!Q61</f>
        <v>2.7</v>
      </c>
      <c r="G59" s="1332" t="str">
        <f>'하천기본계획(기준소요인력)'!G122</f>
        <v>1㎞</v>
      </c>
      <c r="H59" s="51"/>
      <c r="I59" s="56">
        <f t="shared" si="2"/>
        <v>2802284</v>
      </c>
      <c r="J59" s="51"/>
      <c r="K59" s="51"/>
      <c r="L59" s="56">
        <f>'일위대가2 (하천기본계획)'!H326</f>
        <v>1037883</v>
      </c>
      <c r="M59" s="56">
        <f>INT(L59*F59)</f>
        <v>2802284</v>
      </c>
      <c r="N59" s="51"/>
      <c r="O59" s="51"/>
      <c r="P59" s="52" t="s">
        <v>1260</v>
      </c>
    </row>
    <row r="60" spans="2:16" s="47" customFormat="1" ht="30" customHeight="1">
      <c r="B60" s="1329"/>
      <c r="C60" s="1323" t="str">
        <f>'하천기본계획(기준소요인력)'!B123</f>
        <v>다. 전산화 성과 검수 지원</v>
      </c>
      <c r="D60" s="1323"/>
      <c r="E60" s="227"/>
      <c r="F60" s="1332">
        <f>'하천기본계획(기준소요인력)'!Q62</f>
        <v>2.7</v>
      </c>
      <c r="G60" s="1332" t="str">
        <f>'하천기본계획(기준소요인력)'!G123</f>
        <v>1㎞</v>
      </c>
      <c r="H60" s="51"/>
      <c r="I60" s="56">
        <f t="shared" si="2"/>
        <v>481491</v>
      </c>
      <c r="J60" s="51"/>
      <c r="K60" s="51"/>
      <c r="L60" s="56">
        <f>'일위대가2 (하천기본계획)'!H335</f>
        <v>178330</v>
      </c>
      <c r="M60" s="56">
        <f>INT(L60*F60)</f>
        <v>481491</v>
      </c>
      <c r="N60" s="51"/>
      <c r="O60" s="51"/>
      <c r="P60" s="52" t="s">
        <v>1261</v>
      </c>
    </row>
    <row r="61" spans="2:16" ht="24.95" customHeight="1">
      <c r="B61" s="1383" t="s">
        <v>1270</v>
      </c>
      <c r="C61" s="87"/>
      <c r="D61" s="87"/>
      <c r="E61" s="87"/>
      <c r="F61" s="87"/>
      <c r="G61" s="87"/>
      <c r="H61" s="88"/>
      <c r="I61" s="51">
        <f t="shared" ref="I61:I62" si="5">K61+M61+O61</f>
        <v>7744080</v>
      </c>
      <c r="J61" s="88"/>
      <c r="K61" s="88">
        <f>SUM(K62,K66,K70)</f>
        <v>0</v>
      </c>
      <c r="L61" s="88"/>
      <c r="M61" s="88">
        <f>SUM(M62,M66,M70)</f>
        <v>0</v>
      </c>
      <c r="N61" s="88"/>
      <c r="O61" s="1386">
        <f>SUM(O62,O66,O70)</f>
        <v>7744080</v>
      </c>
      <c r="P61" s="87"/>
    </row>
    <row r="62" spans="2:16" ht="24.95" customHeight="1">
      <c r="B62" s="48" t="s">
        <v>1159</v>
      </c>
      <c r="C62" s="87"/>
      <c r="D62" s="48"/>
      <c r="E62" s="48"/>
      <c r="F62" s="48"/>
      <c r="G62" s="48"/>
      <c r="H62" s="1386"/>
      <c r="I62" s="51">
        <f t="shared" si="5"/>
        <v>6410000</v>
      </c>
      <c r="J62" s="1386"/>
      <c r="K62" s="1386">
        <f>SUM(K63:K65)</f>
        <v>0</v>
      </c>
      <c r="L62" s="1386"/>
      <c r="M62" s="1386">
        <f>SUM(M63:M65)</f>
        <v>0</v>
      </c>
      <c r="N62" s="1386"/>
      <c r="O62" s="1386">
        <f>SUM(O63:O65)</f>
        <v>6410000</v>
      </c>
      <c r="P62" s="87"/>
    </row>
    <row r="63" spans="2:16" ht="24.95" customHeight="1">
      <c r="B63" s="1384"/>
      <c r="C63" s="86" t="s">
        <v>1160</v>
      </c>
      <c r="D63" s="87"/>
      <c r="E63" s="87"/>
      <c r="F63" s="1332">
        <f>ROUND('산근2-0(하천기본계획-수량)'!$M$17/10,2)</f>
        <v>0.32</v>
      </c>
      <c r="G63" s="1332" t="s">
        <v>1169</v>
      </c>
      <c r="H63" s="88"/>
      <c r="I63" s="56">
        <f t="shared" ref="I63:I66" si="6">K63+M63+O63</f>
        <v>2980800</v>
      </c>
      <c r="J63" s="88"/>
      <c r="K63" s="88"/>
      <c r="L63" s="88"/>
      <c r="M63" s="88"/>
      <c r="N63" s="88">
        <f>'일위대가2 (하천기본계획)'!L345</f>
        <v>9315000</v>
      </c>
      <c r="O63" s="88">
        <f>INT(F63*N63)</f>
        <v>2980800</v>
      </c>
      <c r="P63" s="52" t="s">
        <v>1262</v>
      </c>
    </row>
    <row r="64" spans="2:16" ht="24.95" customHeight="1">
      <c r="B64" s="1384"/>
      <c r="C64" s="86" t="s">
        <v>1161</v>
      </c>
      <c r="D64" s="87"/>
      <c r="E64" s="87"/>
      <c r="F64" s="1332">
        <f>ROUND('산근2-0(하천기본계획-수량)'!$M$17/10,2)</f>
        <v>0.32</v>
      </c>
      <c r="G64" s="1332" t="s">
        <v>1169</v>
      </c>
      <c r="H64" s="88"/>
      <c r="I64" s="56">
        <f t="shared" si="6"/>
        <v>979200</v>
      </c>
      <c r="J64" s="88"/>
      <c r="K64" s="88"/>
      <c r="L64" s="88"/>
      <c r="M64" s="88"/>
      <c r="N64" s="88">
        <f>'일위대가2 (하천기본계획)'!L359</f>
        <v>3060000</v>
      </c>
      <c r="O64" s="88">
        <f t="shared" ref="O64:O71" si="7">INT(F64*N64)</f>
        <v>979200</v>
      </c>
      <c r="P64" s="52" t="s">
        <v>1263</v>
      </c>
    </row>
    <row r="65" spans="2:16" ht="24.95" customHeight="1">
      <c r="B65" s="1384"/>
      <c r="C65" s="86" t="s">
        <v>1162</v>
      </c>
      <c r="D65" s="87"/>
      <c r="E65" s="87"/>
      <c r="F65" s="1332">
        <v>1</v>
      </c>
      <c r="G65" s="141" t="s">
        <v>1170</v>
      </c>
      <c r="H65" s="88"/>
      <c r="I65" s="56">
        <f t="shared" si="6"/>
        <v>2450000</v>
      </c>
      <c r="J65" s="88"/>
      <c r="K65" s="88"/>
      <c r="L65" s="88"/>
      <c r="M65" s="88"/>
      <c r="N65" s="88">
        <f>'일위대가2 (하천기본계획)'!L369</f>
        <v>2450000</v>
      </c>
      <c r="O65" s="88">
        <f t="shared" si="7"/>
        <v>2450000</v>
      </c>
      <c r="P65" s="52" t="s">
        <v>1264</v>
      </c>
    </row>
    <row r="66" spans="2:16" ht="24.95" customHeight="1">
      <c r="B66" s="48" t="s">
        <v>1163</v>
      </c>
      <c r="C66" s="48"/>
      <c r="D66" s="48"/>
      <c r="E66" s="48"/>
      <c r="F66" s="1382"/>
      <c r="G66" s="48"/>
      <c r="H66" s="1386"/>
      <c r="I66" s="51">
        <f t="shared" si="6"/>
        <v>334080</v>
      </c>
      <c r="J66" s="1386"/>
      <c r="K66" s="1386">
        <f>SUM(K67:K69)</f>
        <v>0</v>
      </c>
      <c r="L66" s="1386"/>
      <c r="M66" s="1386">
        <f>SUM(M67:M69)</f>
        <v>0</v>
      </c>
      <c r="N66" s="1386"/>
      <c r="O66" s="1386">
        <f>SUM(O67:O69)</f>
        <v>334080</v>
      </c>
      <c r="P66" s="87"/>
    </row>
    <row r="67" spans="2:16" ht="24.95" customHeight="1">
      <c r="B67" s="1384"/>
      <c r="C67" s="86" t="s">
        <v>1164</v>
      </c>
      <c r="D67" s="87"/>
      <c r="E67" s="87"/>
      <c r="F67" s="1332">
        <f>ROUND('산근2-0(하천기본계획-수량)'!$M$17/10,2)</f>
        <v>0.32</v>
      </c>
      <c r="G67" s="1332" t="s">
        <v>1169</v>
      </c>
      <c r="H67" s="88"/>
      <c r="I67" s="56">
        <f t="shared" ref="I67:I69" si="8">K67+M67+O67</f>
        <v>116160</v>
      </c>
      <c r="J67" s="88"/>
      <c r="K67" s="88"/>
      <c r="L67" s="88"/>
      <c r="M67" s="88"/>
      <c r="N67" s="88">
        <f>'산근2-45(출장비)'!F3</f>
        <v>363000</v>
      </c>
      <c r="O67" s="88">
        <f t="shared" si="7"/>
        <v>116160</v>
      </c>
      <c r="P67" s="52" t="s">
        <v>1265</v>
      </c>
    </row>
    <row r="68" spans="2:16" ht="24.95" customHeight="1">
      <c r="B68" s="1384"/>
      <c r="C68" s="86" t="s">
        <v>1165</v>
      </c>
      <c r="D68" s="87"/>
      <c r="E68" s="87"/>
      <c r="F68" s="1332">
        <f>ROUND('산근2-0(하천기본계획-수량)'!$M$17/10,2)</f>
        <v>0.32</v>
      </c>
      <c r="G68" s="1332" t="s">
        <v>1169</v>
      </c>
      <c r="H68" s="88"/>
      <c r="I68" s="56">
        <f t="shared" si="8"/>
        <v>162240</v>
      </c>
      <c r="J68" s="88"/>
      <c r="K68" s="88"/>
      <c r="L68" s="88"/>
      <c r="M68" s="88"/>
      <c r="N68" s="88">
        <f>'산근2-45(출장비)'!F15</f>
        <v>507000</v>
      </c>
      <c r="O68" s="88">
        <f t="shared" si="7"/>
        <v>162240</v>
      </c>
      <c r="P68" s="52" t="s">
        <v>1266</v>
      </c>
    </row>
    <row r="69" spans="2:16" ht="24.95" customHeight="1">
      <c r="B69" s="1384"/>
      <c r="C69" s="86" t="s">
        <v>1166</v>
      </c>
      <c r="D69" s="87"/>
      <c r="E69" s="87"/>
      <c r="F69" s="1332">
        <f>ROUND('산근2-0(하천기본계획-수량)'!$M$17/10,2)</f>
        <v>0.32</v>
      </c>
      <c r="G69" s="1332" t="s">
        <v>1169</v>
      </c>
      <c r="H69" s="88"/>
      <c r="I69" s="56">
        <f t="shared" si="8"/>
        <v>55680</v>
      </c>
      <c r="J69" s="88"/>
      <c r="K69" s="88"/>
      <c r="L69" s="88"/>
      <c r="M69" s="88"/>
      <c r="N69" s="88">
        <f>'산근2-45(출장비)'!F27</f>
        <v>174000</v>
      </c>
      <c r="O69" s="88">
        <f t="shared" si="7"/>
        <v>55680</v>
      </c>
      <c r="P69" s="52" t="s">
        <v>1267</v>
      </c>
    </row>
    <row r="70" spans="2:16" ht="24.95" customHeight="1">
      <c r="B70" s="48" t="s">
        <v>1167</v>
      </c>
      <c r="C70" s="48"/>
      <c r="D70" s="48"/>
      <c r="E70" s="48"/>
      <c r="F70" s="1382"/>
      <c r="G70" s="48"/>
      <c r="H70" s="1386"/>
      <c r="I70" s="51">
        <f t="shared" ref="I70:I71" si="9">K70+M70+O70</f>
        <v>1000000</v>
      </c>
      <c r="J70" s="1386"/>
      <c r="K70" s="1386">
        <f>SUM(K71)</f>
        <v>0</v>
      </c>
      <c r="L70" s="1386"/>
      <c r="M70" s="1386">
        <f>SUM(M71)</f>
        <v>0</v>
      </c>
      <c r="N70" s="1386"/>
      <c r="O70" s="1386">
        <f>SUM(O71)</f>
        <v>1000000</v>
      </c>
      <c r="P70" s="87"/>
    </row>
    <row r="71" spans="2:16" ht="24.95" customHeight="1">
      <c r="B71" s="1384"/>
      <c r="C71" s="86" t="s">
        <v>1168</v>
      </c>
      <c r="D71" s="87"/>
      <c r="E71" s="87"/>
      <c r="F71" s="1332">
        <v>1</v>
      </c>
      <c r="G71" s="1332" t="s">
        <v>1170</v>
      </c>
      <c r="H71" s="88"/>
      <c r="I71" s="56">
        <f t="shared" si="9"/>
        <v>1000000</v>
      </c>
      <c r="J71" s="88"/>
      <c r="K71" s="88"/>
      <c r="L71" s="88"/>
      <c r="M71" s="88"/>
      <c r="N71" s="88">
        <f>'산근2-45(출장비)'!E50</f>
        <v>1000000</v>
      </c>
      <c r="O71" s="88">
        <f t="shared" si="7"/>
        <v>1000000</v>
      </c>
      <c r="P71" s="52" t="s">
        <v>1268</v>
      </c>
    </row>
  </sheetData>
  <mergeCells count="12">
    <mergeCell ref="L1:M1"/>
    <mergeCell ref="N1:O1"/>
    <mergeCell ref="P1:P2"/>
    <mergeCell ref="B1:D2"/>
    <mergeCell ref="B5:D5"/>
    <mergeCell ref="J1:K1"/>
    <mergeCell ref="B6:D6"/>
    <mergeCell ref="E1:E2"/>
    <mergeCell ref="F1:F2"/>
    <mergeCell ref="G1:G2"/>
    <mergeCell ref="H1:I1"/>
    <mergeCell ref="B4:D4"/>
  </mergeCells>
  <phoneticPr fontId="181" type="noConversion"/>
  <printOptions horizontalCentered="1"/>
  <pageMargins left="0.47244094488188981" right="0.47244094488188981" top="0.78740157480314965" bottom="0.59055118110236227" header="0.39370078740157483" footer="0.39370078740157483"/>
  <pageSetup paperSize="9" scale="57" fitToWidth="0" fitToHeight="0" orientation="landscape" r:id="rId1"/>
  <rowBreaks count="2" manualBreakCount="2">
    <brk id="23" min="1" max="15" man="1"/>
    <brk id="50" min="1" max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4">
    <tabColor theme="3" tint="0.59999389629810485"/>
  </sheetPr>
  <dimension ref="A1:AC23"/>
  <sheetViews>
    <sheetView view="pageBreakPreview" zoomScale="115" zoomScaleNormal="115" zoomScaleSheetLayoutView="115" workbookViewId="0">
      <selection activeCell="AA49" sqref="AA49"/>
    </sheetView>
  </sheetViews>
  <sheetFormatPr defaultColWidth="8" defaultRowHeight="13.5"/>
  <cols>
    <col min="1" max="1" width="4.44140625" style="1045" customWidth="1"/>
    <col min="2" max="2" width="5.88671875" style="1045" customWidth="1"/>
    <col min="3" max="3" width="6.5546875" style="1045" bestFit="1" customWidth="1"/>
    <col min="4" max="4" width="6.109375" style="1045" bestFit="1" customWidth="1"/>
    <col min="5" max="5" width="5" style="1045" customWidth="1"/>
    <col min="6" max="6" width="7.33203125" style="1045" bestFit="1" customWidth="1"/>
    <col min="7" max="7" width="3.88671875" style="1045" customWidth="1"/>
    <col min="8" max="8" width="3.88671875" style="1045" bestFit="1" customWidth="1"/>
    <col min="9" max="9" width="3.5546875" style="1045" bestFit="1" customWidth="1"/>
    <col min="10" max="10" width="4.109375" style="1045" customWidth="1"/>
    <col min="11" max="12" width="5.88671875" style="1045" customWidth="1"/>
    <col min="13" max="13" width="5.77734375" style="1045" customWidth="1"/>
    <col min="14" max="14" width="5.109375" style="1045" customWidth="1"/>
    <col min="15" max="15" width="5.44140625" style="1045" bestFit="1" customWidth="1"/>
    <col min="16" max="16" width="4.6640625" style="1045" bestFit="1" customWidth="1"/>
    <col min="17" max="17" width="4.21875" style="1045" bestFit="1" customWidth="1"/>
    <col min="18" max="18" width="5.33203125" style="1045" bestFit="1" customWidth="1"/>
    <col min="19" max="19" width="6.44140625" style="1045" bestFit="1" customWidth="1"/>
    <col min="20" max="20" width="5.6640625" style="1045" bestFit="1" customWidth="1"/>
    <col min="21" max="21" width="4.5546875" style="1045" customWidth="1"/>
    <col min="22" max="22" width="4.6640625" style="1045" bestFit="1" customWidth="1"/>
    <col min="23" max="23" width="5" style="1045" bestFit="1" customWidth="1"/>
    <col min="24" max="26" width="9" style="1045" bestFit="1" customWidth="1"/>
    <col min="27" max="27" width="8" style="1045"/>
    <col min="28" max="29" width="9" style="1045" bestFit="1" customWidth="1"/>
    <col min="30" max="16384" width="8" style="1045"/>
  </cols>
  <sheetData>
    <row r="1" spans="1:29" ht="24.95" customHeight="1">
      <c r="A1" s="1178" t="s">
        <v>1015</v>
      </c>
      <c r="B1" s="1275"/>
      <c r="C1" s="1276"/>
      <c r="D1" s="1276"/>
      <c r="E1" s="1276"/>
      <c r="F1" s="1276"/>
      <c r="G1" s="1276"/>
      <c r="H1" s="1276"/>
      <c r="I1" s="1276"/>
      <c r="J1" s="1276"/>
      <c r="K1" s="1276"/>
      <c r="L1" s="1276"/>
      <c r="M1" s="1276"/>
      <c r="N1" s="1276"/>
      <c r="O1" s="1276"/>
      <c r="P1" s="1276"/>
      <c r="Q1" s="1276"/>
      <c r="R1" s="1276"/>
      <c r="S1" s="1276"/>
      <c r="T1" s="1276"/>
      <c r="U1" s="1276"/>
      <c r="V1" s="1276"/>
      <c r="W1" s="1276"/>
      <c r="X1" s="1276"/>
      <c r="Y1" s="1276"/>
      <c r="Z1" s="1333" t="s">
        <v>1109</v>
      </c>
      <c r="AA1" s="1276"/>
      <c r="AB1" s="1276"/>
      <c r="AC1" s="1277"/>
    </row>
    <row r="2" spans="1:29" ht="15.95" customHeight="1">
      <c r="A2" s="1773" t="s">
        <v>1016</v>
      </c>
      <c r="B2" s="1774"/>
      <c r="C2" s="1774"/>
      <c r="D2" s="1774"/>
      <c r="E2" s="1775"/>
      <c r="F2" s="1776" t="s">
        <v>1017</v>
      </c>
      <c r="G2" s="1776" t="s">
        <v>1018</v>
      </c>
      <c r="H2" s="1776" t="s">
        <v>564</v>
      </c>
      <c r="I2" s="1278" t="s">
        <v>1019</v>
      </c>
      <c r="J2" s="1279"/>
      <c r="K2" s="1279"/>
      <c r="L2" s="1279"/>
      <c r="M2" s="1279"/>
      <c r="N2" s="1279"/>
      <c r="O2" s="1279"/>
      <c r="P2" s="1279"/>
      <c r="Q2" s="1279"/>
      <c r="R2" s="1279"/>
      <c r="S2" s="1280"/>
      <c r="U2" s="1281"/>
      <c r="V2" s="1281"/>
      <c r="W2" s="1282"/>
      <c r="X2" s="1283"/>
      <c r="Y2" s="1283"/>
      <c r="Z2" s="1283"/>
      <c r="AA2" s="1284"/>
      <c r="AB2" s="1283"/>
      <c r="AC2" s="1283"/>
    </row>
    <row r="3" spans="1:29" ht="15.95" customHeight="1">
      <c r="A3" s="1779" t="s">
        <v>1020</v>
      </c>
      <c r="B3" s="1781" t="s">
        <v>1021</v>
      </c>
      <c r="C3" s="1783" t="s">
        <v>1022</v>
      </c>
      <c r="D3" s="1783" t="s">
        <v>1023</v>
      </c>
      <c r="E3" s="1785" t="s">
        <v>1024</v>
      </c>
      <c r="F3" s="1777"/>
      <c r="G3" s="1777"/>
      <c r="H3" s="1777"/>
      <c r="I3" s="1807" t="s">
        <v>1025</v>
      </c>
      <c r="J3" s="1773" t="s">
        <v>1026</v>
      </c>
      <c r="K3" s="1774"/>
      <c r="L3" s="1775"/>
      <c r="M3" s="1773" t="s">
        <v>451</v>
      </c>
      <c r="N3" s="1774"/>
      <c r="O3" s="1774"/>
      <c r="P3" s="1774"/>
      <c r="Q3" s="1774"/>
      <c r="R3" s="1774"/>
      <c r="S3" s="1775"/>
      <c r="U3" s="1281"/>
      <c r="V3" s="1281"/>
      <c r="W3" s="1282"/>
      <c r="X3" s="1285" t="s">
        <v>1027</v>
      </c>
      <c r="Y3" s="1281">
        <v>25</v>
      </c>
      <c r="Z3" s="1787"/>
      <c r="AA3" s="1789"/>
      <c r="AB3" s="1789"/>
      <c r="AC3" s="1789"/>
    </row>
    <row r="4" spans="1:29" ht="15.95" customHeight="1">
      <c r="A4" s="1779"/>
      <c r="B4" s="1781"/>
      <c r="C4" s="1783"/>
      <c r="D4" s="1783"/>
      <c r="E4" s="1785"/>
      <c r="F4" s="1777"/>
      <c r="G4" s="1777"/>
      <c r="H4" s="1777"/>
      <c r="I4" s="1807"/>
      <c r="J4" s="1790" t="s">
        <v>1028</v>
      </c>
      <c r="K4" s="1792" t="s">
        <v>1029</v>
      </c>
      <c r="L4" s="1792" t="s">
        <v>1030</v>
      </c>
      <c r="M4" s="1794" t="s">
        <v>1031</v>
      </c>
      <c r="N4" s="1795"/>
      <c r="O4" s="1796"/>
      <c r="P4" s="1792" t="s">
        <v>1032</v>
      </c>
      <c r="Q4" s="1792"/>
      <c r="R4" s="1792" t="s">
        <v>1033</v>
      </c>
      <c r="S4" s="1798"/>
      <c r="U4" s="1281"/>
      <c r="V4" s="1281"/>
      <c r="W4" s="1282"/>
      <c r="X4" s="1285" t="s">
        <v>1034</v>
      </c>
      <c r="Y4" s="1281">
        <v>5</v>
      </c>
      <c r="Z4" s="1787"/>
      <c r="AA4" s="1286"/>
      <c r="AB4" s="1286"/>
      <c r="AC4" s="1286"/>
    </row>
    <row r="5" spans="1:29" ht="24" customHeight="1">
      <c r="A5" s="1780"/>
      <c r="B5" s="1782"/>
      <c r="C5" s="1784"/>
      <c r="D5" s="1784"/>
      <c r="E5" s="1786"/>
      <c r="F5" s="1778"/>
      <c r="G5" s="1778"/>
      <c r="H5" s="1778"/>
      <c r="I5" s="1808"/>
      <c r="J5" s="1791"/>
      <c r="K5" s="1793"/>
      <c r="L5" s="1793"/>
      <c r="M5" s="1287" t="s">
        <v>1035</v>
      </c>
      <c r="N5" s="1288" t="s">
        <v>1036</v>
      </c>
      <c r="O5" s="1289" t="s">
        <v>1037</v>
      </c>
      <c r="P5" s="1797"/>
      <c r="Q5" s="1797"/>
      <c r="R5" s="1797"/>
      <c r="S5" s="1799"/>
      <c r="U5" s="1281"/>
      <c r="V5" s="1281"/>
      <c r="W5" s="1282"/>
      <c r="X5" s="1285" t="s">
        <v>1038</v>
      </c>
      <c r="Y5" s="1285">
        <v>5</v>
      </c>
      <c r="Z5" s="1788"/>
      <c r="AA5" s="1284"/>
      <c r="AB5" s="1283"/>
      <c r="AC5" s="1290"/>
    </row>
    <row r="6" spans="1:29" ht="50.1" customHeight="1">
      <c r="A6" s="1179" t="s">
        <v>1803</v>
      </c>
      <c r="B6" s="1291"/>
      <c r="C6" s="1292"/>
      <c r="D6" s="1293" t="s">
        <v>1108</v>
      </c>
      <c r="E6" s="1294" t="s">
        <v>1275</v>
      </c>
      <c r="F6" s="1295">
        <v>2012</v>
      </c>
      <c r="G6" s="1296" t="s">
        <v>1039</v>
      </c>
      <c r="H6" s="1297" t="s">
        <v>1040</v>
      </c>
      <c r="I6" s="1298">
        <f>'산근2-0(하천기본계획-수량)'!P17</f>
        <v>1</v>
      </c>
      <c r="J6" s="1299">
        <f>ROUND(M17^0.85,2)</f>
        <v>2.7</v>
      </c>
      <c r="K6" s="1300">
        <f>ROUND(M17^0.85,2)</f>
        <v>2.7</v>
      </c>
      <c r="L6" s="1300">
        <f>ROUND((V15/10)^(0.7),2)</f>
        <v>1.68</v>
      </c>
      <c r="M6" s="1301">
        <v>0</v>
      </c>
      <c r="N6" s="1180">
        <v>3.84</v>
      </c>
      <c r="O6" s="1181">
        <f>IF(N6&lt;=15,0.8,IF(N6&lt;=25,0.9,IF(N6&lt;=35,1,IF(N6&lt;=100,1.2))))</f>
        <v>0.8</v>
      </c>
      <c r="P6" s="1821">
        <f>IF(I15&lt;5,0.6,IF(I15&lt;10,0.8,1))</f>
        <v>1</v>
      </c>
      <c r="Q6" s="1822"/>
      <c r="R6" s="1823">
        <f>IF(I15&lt;5,0.6,IF(I15&lt;10,0.8,1))</f>
        <v>1</v>
      </c>
      <c r="S6" s="1824"/>
      <c r="U6" s="1182"/>
      <c r="V6" s="1182"/>
      <c r="W6" s="1183"/>
      <c r="X6" s="1283"/>
      <c r="Y6" s="1283"/>
      <c r="Z6" s="1302"/>
      <c r="AA6" s="1302"/>
      <c r="AB6" s="1302"/>
      <c r="AC6" s="1302"/>
    </row>
    <row r="7" spans="1:29" ht="15.95" customHeight="1">
      <c r="A7" s="1184"/>
      <c r="B7" s="1303"/>
      <c r="C7" s="1304"/>
      <c r="D7" s="1304"/>
      <c r="E7" s="1303"/>
      <c r="F7" s="1303"/>
      <c r="G7" s="1303"/>
      <c r="H7" s="1303"/>
      <c r="I7" s="1305"/>
      <c r="J7" s="1306"/>
      <c r="K7" s="1306"/>
      <c r="L7" s="1306"/>
      <c r="M7" s="1306"/>
      <c r="N7" s="1306"/>
      <c r="O7" s="1307"/>
      <c r="P7" s="1185"/>
      <c r="Q7" s="1186"/>
      <c r="R7" s="1185"/>
      <c r="S7" s="1306"/>
      <c r="T7" s="1306"/>
      <c r="U7" s="1306"/>
      <c r="V7" s="1182"/>
      <c r="W7" s="1182"/>
      <c r="X7" s="1183"/>
      <c r="Y7" s="1183"/>
      <c r="Z7" s="1283"/>
      <c r="AA7" s="1283"/>
      <c r="AB7" s="1302"/>
      <c r="AC7" s="1302"/>
    </row>
    <row r="8" spans="1:29" ht="15.95" customHeight="1">
      <c r="A8" s="1184"/>
      <c r="B8" s="1303"/>
      <c r="C8" s="1304"/>
      <c r="D8" s="1304"/>
      <c r="E8" s="1303"/>
      <c r="F8" s="1303"/>
      <c r="G8" s="1303"/>
      <c r="H8" s="1303"/>
      <c r="I8" s="1305"/>
      <c r="J8" s="1308"/>
      <c r="K8" s="1308"/>
      <c r="L8" s="1308"/>
      <c r="M8" s="1308"/>
      <c r="N8" s="1308"/>
      <c r="O8" s="1307"/>
      <c r="P8" s="1185"/>
      <c r="Q8" s="1186"/>
      <c r="R8" s="1185"/>
      <c r="S8" s="1306"/>
      <c r="T8" s="1306"/>
      <c r="U8" s="1306"/>
      <c r="V8" s="1182"/>
      <c r="W8" s="1182"/>
      <c r="X8" s="1183"/>
      <c r="Y8" s="1183"/>
      <c r="Z8" s="1283"/>
      <c r="AA8" s="1283"/>
      <c r="AB8" s="1302"/>
      <c r="AC8" s="1302"/>
    </row>
    <row r="9" spans="1:29" ht="15.95" customHeight="1">
      <c r="A9" s="1187"/>
      <c r="B9" s="1187"/>
      <c r="C9" s="1309"/>
      <c r="D9" s="1310"/>
      <c r="E9" s="1311"/>
      <c r="F9" s="1312"/>
      <c r="G9" s="1800"/>
      <c r="H9" s="1800"/>
      <c r="I9" s="1305"/>
      <c r="J9" s="1306"/>
      <c r="K9" s="1306"/>
      <c r="L9" s="1306"/>
      <c r="M9" s="1306"/>
      <c r="N9" s="1306"/>
      <c r="O9" s="1307"/>
      <c r="P9" s="1185"/>
      <c r="Q9" s="1186"/>
      <c r="R9" s="1185"/>
      <c r="S9" s="1306"/>
      <c r="T9" s="1306"/>
      <c r="U9" s="1306"/>
      <c r="V9" s="1182"/>
      <c r="W9" s="1182"/>
      <c r="X9" s="1183"/>
      <c r="Y9" s="1183"/>
      <c r="Z9" s="1283"/>
      <c r="AA9" s="1283"/>
      <c r="AB9" s="1302"/>
      <c r="AC9" s="1302"/>
    </row>
    <row r="10" spans="1:29" s="1191" customFormat="1" ht="15.95" customHeight="1">
      <c r="A10" s="1178" t="s">
        <v>1041</v>
      </c>
      <c r="B10" s="1045"/>
      <c r="C10" s="1045"/>
      <c r="D10" s="1045"/>
      <c r="E10" s="1045"/>
      <c r="F10" s="1045"/>
      <c r="G10" s="1045"/>
      <c r="H10" s="1045"/>
      <c r="I10" s="1045"/>
      <c r="J10" s="1045"/>
      <c r="K10" s="1045"/>
      <c r="L10" s="1045"/>
      <c r="M10" s="1045"/>
      <c r="N10" s="1045"/>
      <c r="O10" s="1045"/>
      <c r="P10" s="1045"/>
      <c r="Q10" s="1045"/>
      <c r="R10" s="1045"/>
      <c r="S10" s="1045"/>
      <c r="T10" s="1045"/>
      <c r="U10" s="1045"/>
      <c r="V10" s="1045"/>
      <c r="W10" s="1188"/>
      <c r="X10" s="1188"/>
      <c r="Y10" s="1189"/>
      <c r="Z10" s="1190"/>
      <c r="AA10" s="1190"/>
      <c r="AB10" s="1190"/>
      <c r="AC10" s="1190"/>
    </row>
    <row r="11" spans="1:29" s="1191" customFormat="1" ht="19.5" customHeight="1">
      <c r="A11" s="1801" t="s">
        <v>1042</v>
      </c>
      <c r="B11" s="1802"/>
      <c r="C11" s="1803"/>
      <c r="D11" s="1801" t="s">
        <v>1043</v>
      </c>
      <c r="E11" s="1802"/>
      <c r="F11" s="1803"/>
      <c r="G11" s="1801" t="s">
        <v>1044</v>
      </c>
      <c r="H11" s="1802"/>
      <c r="I11" s="1802"/>
      <c r="J11" s="1802"/>
      <c r="K11" s="1802"/>
      <c r="L11" s="1802"/>
      <c r="M11" s="1803"/>
      <c r="N11" s="1801" t="s">
        <v>1045</v>
      </c>
      <c r="O11" s="1802"/>
      <c r="P11" s="1802"/>
      <c r="Q11" s="1803"/>
      <c r="R11" s="1825" t="s">
        <v>1046</v>
      </c>
      <c r="S11" s="1826"/>
      <c r="T11" s="1826"/>
      <c r="U11" s="1827"/>
      <c r="V11" s="1809" t="s">
        <v>1047</v>
      </c>
      <c r="W11" s="1188"/>
      <c r="X11" s="1188"/>
      <c r="Y11" s="1189"/>
      <c r="Z11" s="1192"/>
      <c r="AA11" s="1192"/>
      <c r="AB11" s="1190"/>
      <c r="AC11" s="1190"/>
    </row>
    <row r="12" spans="1:29" s="1191" customFormat="1" ht="19.5" customHeight="1">
      <c r="A12" s="1804"/>
      <c r="B12" s="1805"/>
      <c r="C12" s="1806"/>
      <c r="D12" s="1804"/>
      <c r="E12" s="1805"/>
      <c r="F12" s="1806"/>
      <c r="G12" s="1804"/>
      <c r="H12" s="1805"/>
      <c r="I12" s="1805"/>
      <c r="J12" s="1805"/>
      <c r="K12" s="1805"/>
      <c r="L12" s="1805"/>
      <c r="M12" s="1806"/>
      <c r="N12" s="1804"/>
      <c r="O12" s="1805"/>
      <c r="P12" s="1805"/>
      <c r="Q12" s="1806"/>
      <c r="R12" s="1812" t="s">
        <v>1048</v>
      </c>
      <c r="S12" s="1815" t="s">
        <v>1049</v>
      </c>
      <c r="T12" s="1816"/>
      <c r="U12" s="1817"/>
      <c r="V12" s="1810"/>
      <c r="W12" s="1190"/>
      <c r="X12" s="1190"/>
      <c r="Y12" s="1189"/>
      <c r="Z12" s="1190"/>
      <c r="AA12" s="1190"/>
      <c r="AC12" s="1193"/>
    </row>
    <row r="13" spans="1:29" s="1191" customFormat="1" ht="19.5" customHeight="1">
      <c r="A13" s="1804" t="s">
        <v>1050</v>
      </c>
      <c r="B13" s="1805" t="s">
        <v>1051</v>
      </c>
      <c r="C13" s="1806" t="s">
        <v>1052</v>
      </c>
      <c r="D13" s="1804" t="s">
        <v>1053</v>
      </c>
      <c r="E13" s="1805" t="s">
        <v>1054</v>
      </c>
      <c r="F13" s="1806" t="s">
        <v>1055</v>
      </c>
      <c r="G13" s="1804" t="s">
        <v>1056</v>
      </c>
      <c r="H13" s="1805"/>
      <c r="I13" s="1805"/>
      <c r="J13" s="1805"/>
      <c r="K13" s="1805" t="s">
        <v>1057</v>
      </c>
      <c r="L13" s="1805"/>
      <c r="M13" s="1806"/>
      <c r="N13" s="1804" t="s">
        <v>1058</v>
      </c>
      <c r="O13" s="1805" t="s">
        <v>1059</v>
      </c>
      <c r="P13" s="1805" t="s">
        <v>1060</v>
      </c>
      <c r="Q13" s="1806" t="s">
        <v>1061</v>
      </c>
      <c r="R13" s="1813"/>
      <c r="S13" s="1815" t="s">
        <v>1062</v>
      </c>
      <c r="T13" s="1820"/>
      <c r="U13" s="1818" t="s">
        <v>1063</v>
      </c>
      <c r="V13" s="1810"/>
      <c r="W13" s="1190"/>
      <c r="X13" s="1190"/>
      <c r="Y13" s="1189"/>
      <c r="Z13" s="1190"/>
      <c r="AA13" s="1194"/>
      <c r="AC13" s="1193"/>
    </row>
    <row r="14" spans="1:29" s="1191" customFormat="1" ht="19.5" customHeight="1">
      <c r="A14" s="1838"/>
      <c r="B14" s="1839"/>
      <c r="C14" s="1819"/>
      <c r="D14" s="1838"/>
      <c r="E14" s="1839"/>
      <c r="F14" s="1819"/>
      <c r="G14" s="1195" t="s">
        <v>1064</v>
      </c>
      <c r="H14" s="1196" t="s">
        <v>1017</v>
      </c>
      <c r="I14" s="1196" t="s">
        <v>1065</v>
      </c>
      <c r="J14" s="1196" t="s">
        <v>1066</v>
      </c>
      <c r="K14" s="1196" t="s">
        <v>1067</v>
      </c>
      <c r="L14" s="1196" t="s">
        <v>1068</v>
      </c>
      <c r="M14" s="1197" t="s">
        <v>1069</v>
      </c>
      <c r="N14" s="1838"/>
      <c r="O14" s="1839"/>
      <c r="P14" s="1839"/>
      <c r="Q14" s="1819"/>
      <c r="R14" s="1814"/>
      <c r="S14" s="1198" t="s">
        <v>1070</v>
      </c>
      <c r="T14" s="1196" t="s">
        <v>1071</v>
      </c>
      <c r="U14" s="1811"/>
      <c r="V14" s="1811"/>
      <c r="W14" s="1190"/>
      <c r="X14" s="1199" t="s">
        <v>1072</v>
      </c>
      <c r="Y14" s="1200" t="s">
        <v>1073</v>
      </c>
      <c r="Z14" s="1201"/>
      <c r="AA14" s="1202"/>
      <c r="AC14" s="1193"/>
    </row>
    <row r="15" spans="1:29" s="1191" customFormat="1" ht="19.5" customHeight="1">
      <c r="A15" s="1203" t="s">
        <v>1857</v>
      </c>
      <c r="B15" s="1204" t="s">
        <v>1858</v>
      </c>
      <c r="C15" s="1205"/>
      <c r="D15" s="1206">
        <v>20.95</v>
      </c>
      <c r="E15" s="1207"/>
      <c r="F15" s="1208">
        <f>D15</f>
        <v>20.95</v>
      </c>
      <c r="G15" s="1203">
        <v>2012</v>
      </c>
      <c r="H15" s="1209">
        <v>2024</v>
      </c>
      <c r="I15" s="1210">
        <v>12</v>
      </c>
      <c r="J15" s="1211">
        <f>IF(I15&lt;5,0.6,IF(I15&lt;10,0.8,1))</f>
        <v>1</v>
      </c>
      <c r="K15" s="1212">
        <v>3.22</v>
      </c>
      <c r="L15" s="1212">
        <f>5.67-3.22</f>
        <v>2.4499999999999997</v>
      </c>
      <c r="M15" s="1213">
        <v>3.22</v>
      </c>
      <c r="N15" s="1214" t="s">
        <v>1803</v>
      </c>
      <c r="O15" s="1215">
        <v>5120300</v>
      </c>
      <c r="P15" s="1216">
        <v>1</v>
      </c>
      <c r="Q15" s="1217" t="s">
        <v>1074</v>
      </c>
      <c r="R15" s="1218">
        <f>K15+L15</f>
        <v>5.67</v>
      </c>
      <c r="S15" s="1219">
        <v>2012</v>
      </c>
      <c r="T15" s="1212">
        <f>K15</f>
        <v>3.22</v>
      </c>
      <c r="U15" s="1220">
        <f>L15</f>
        <v>2.4499999999999997</v>
      </c>
      <c r="V15" s="1220">
        <f>D15</f>
        <v>20.95</v>
      </c>
      <c r="W15" s="1190"/>
      <c r="X15" s="1221">
        <v>0</v>
      </c>
      <c r="Y15" s="1222">
        <v>0</v>
      </c>
      <c r="Z15" s="1223"/>
      <c r="AA15" s="1223"/>
      <c r="AC15" s="1193"/>
    </row>
    <row r="16" spans="1:29" ht="19.5" customHeight="1">
      <c r="A16" s="1224"/>
      <c r="B16" s="1225"/>
      <c r="C16" s="1226"/>
      <c r="D16" s="1224"/>
      <c r="E16" s="1227"/>
      <c r="F16" s="1228"/>
      <c r="G16" s="1224"/>
      <c r="H16" s="1229"/>
      <c r="I16" s="1230"/>
      <c r="J16" s="1231"/>
      <c r="K16" s="1232"/>
      <c r="L16" s="1232"/>
      <c r="M16" s="1233"/>
      <c r="N16" s="1234"/>
      <c r="O16" s="1235"/>
      <c r="P16" s="1236"/>
      <c r="Q16" s="1237"/>
      <c r="R16" s="1238"/>
      <c r="S16" s="1239"/>
      <c r="T16" s="1240"/>
      <c r="U16" s="1241"/>
      <c r="V16" s="1241"/>
    </row>
    <row r="17" spans="1:22" ht="19.5" customHeight="1">
      <c r="A17" s="1836" t="s">
        <v>235</v>
      </c>
      <c r="B17" s="1837"/>
      <c r="C17" s="1837"/>
      <c r="D17" s="1836"/>
      <c r="E17" s="1837"/>
      <c r="F17" s="1242">
        <f>SUM(F15:F16)</f>
        <v>20.95</v>
      </c>
      <c r="G17" s="1836"/>
      <c r="H17" s="1837"/>
      <c r="I17" s="1837"/>
      <c r="J17" s="1837"/>
      <c r="K17" s="1837"/>
      <c r="L17" s="1837"/>
      <c r="M17" s="1243">
        <f>SUM(M15:M16)</f>
        <v>3.22</v>
      </c>
      <c r="N17" s="1836"/>
      <c r="O17" s="1837"/>
      <c r="P17" s="1244">
        <f>SUM(P15:P16)</f>
        <v>1</v>
      </c>
      <c r="Q17" s="1245"/>
      <c r="R17" s="1246">
        <f>SUM(R15:R16)</f>
        <v>5.67</v>
      </c>
      <c r="S17" s="1247"/>
      <c r="T17" s="1247"/>
      <c r="U17" s="1247"/>
      <c r="V17" s="1245"/>
    </row>
    <row r="18" spans="1:22" ht="19.5" customHeight="1"/>
    <row r="19" spans="1:22" ht="19.5" customHeight="1">
      <c r="A19" s="1178" t="s">
        <v>1075</v>
      </c>
    </row>
    <row r="20" spans="1:22" ht="20.100000000000001" customHeight="1">
      <c r="A20" s="1828" t="s">
        <v>1076</v>
      </c>
      <c r="B20" s="1829"/>
      <c r="C20" s="1832" t="s">
        <v>1071</v>
      </c>
      <c r="D20" s="1832"/>
      <c r="E20" s="1829" t="s">
        <v>1077</v>
      </c>
      <c r="F20" s="1829"/>
      <c r="G20" s="1829"/>
      <c r="H20" s="1834"/>
    </row>
    <row r="21" spans="1:22" ht="20.100000000000001" customHeight="1">
      <c r="A21" s="1830"/>
      <c r="B21" s="1831"/>
      <c r="C21" s="1833"/>
      <c r="D21" s="1833"/>
      <c r="E21" s="1831" t="s">
        <v>1078</v>
      </c>
      <c r="F21" s="1831"/>
      <c r="G21" s="1831" t="s">
        <v>1079</v>
      </c>
      <c r="H21" s="1835"/>
    </row>
    <row r="22" spans="1:22" ht="20.100000000000001" customHeight="1">
      <c r="A22" s="1840" t="s">
        <v>1080</v>
      </c>
      <c r="B22" s="1841"/>
      <c r="C22" s="1842">
        <v>0</v>
      </c>
      <c r="D22" s="1842"/>
      <c r="E22" s="1843">
        <f>C22*(Y3+Y4*2+Y5*2)*1000</f>
        <v>0</v>
      </c>
      <c r="F22" s="1843"/>
      <c r="G22" s="1829">
        <f>ROUND(E22/1000000,3)</f>
        <v>0</v>
      </c>
      <c r="H22" s="1834"/>
    </row>
    <row r="23" spans="1:22" ht="20.100000000000001" customHeight="1">
      <c r="A23" s="1844" t="s">
        <v>1081</v>
      </c>
      <c r="B23" s="1845"/>
      <c r="C23" s="1846">
        <f>'산근2-0 (현장조사물량산출)'!Q4</f>
        <v>100</v>
      </c>
      <c r="D23" s="1846"/>
      <c r="E23" s="1847">
        <f>'산근2-0 (현장조사물량산출)'!V4</f>
        <v>10500</v>
      </c>
      <c r="F23" s="1831"/>
      <c r="G23" s="1848">
        <f>ROUND(E23/1000000,3)</f>
        <v>1.0999999999999999E-2</v>
      </c>
      <c r="H23" s="1849"/>
    </row>
  </sheetData>
  <mergeCells count="62">
    <mergeCell ref="A22:B22"/>
    <mergeCell ref="C22:D22"/>
    <mergeCell ref="E22:F22"/>
    <mergeCell ref="G22:H22"/>
    <mergeCell ref="A23:B23"/>
    <mergeCell ref="C23:D23"/>
    <mergeCell ref="E23:F23"/>
    <mergeCell ref="G23:H23"/>
    <mergeCell ref="N17:O17"/>
    <mergeCell ref="K13:M13"/>
    <mergeCell ref="N13:N14"/>
    <mergeCell ref="O13:O14"/>
    <mergeCell ref="P13:P14"/>
    <mergeCell ref="F13:F14"/>
    <mergeCell ref="G13:J13"/>
    <mergeCell ref="A20:B21"/>
    <mergeCell ref="C20:D21"/>
    <mergeCell ref="E20:H20"/>
    <mergeCell ref="E21:F21"/>
    <mergeCell ref="G21:H21"/>
    <mergeCell ref="A17:C17"/>
    <mergeCell ref="D17:E17"/>
    <mergeCell ref="G17:L17"/>
    <mergeCell ref="A13:A14"/>
    <mergeCell ref="B13:B14"/>
    <mergeCell ref="C13:C14"/>
    <mergeCell ref="D13:D14"/>
    <mergeCell ref="E13:E14"/>
    <mergeCell ref="I3:I5"/>
    <mergeCell ref="J3:L3"/>
    <mergeCell ref="M3:S3"/>
    <mergeCell ref="V11:V14"/>
    <mergeCell ref="R12:R14"/>
    <mergeCell ref="S12:U12"/>
    <mergeCell ref="U13:U14"/>
    <mergeCell ref="Q13:Q14"/>
    <mergeCell ref="S13:T13"/>
    <mergeCell ref="P6:Q6"/>
    <mergeCell ref="R6:S6"/>
    <mergeCell ref="R11:U11"/>
    <mergeCell ref="G9:H9"/>
    <mergeCell ref="A11:C12"/>
    <mergeCell ref="D11:F12"/>
    <mergeCell ref="G11:M12"/>
    <mergeCell ref="N11:Q12"/>
    <mergeCell ref="Z3:Z5"/>
    <mergeCell ref="AA3:AC3"/>
    <mergeCell ref="J4:J5"/>
    <mergeCell ref="K4:K5"/>
    <mergeCell ref="L4:L5"/>
    <mergeCell ref="M4:O4"/>
    <mergeCell ref="P4:Q5"/>
    <mergeCell ref="R4:S5"/>
    <mergeCell ref="A2:E2"/>
    <mergeCell ref="F2:F5"/>
    <mergeCell ref="G2:G5"/>
    <mergeCell ref="H2:H5"/>
    <mergeCell ref="A3:A5"/>
    <mergeCell ref="B3:B5"/>
    <mergeCell ref="C3:C5"/>
    <mergeCell ref="D3:D5"/>
    <mergeCell ref="E3:E5"/>
  </mergeCells>
  <phoneticPr fontId="181" type="noConversion"/>
  <conditionalFormatting sqref="AB12:AB13 X14:X15">
    <cfRule type="cellIs" dxfId="0" priority="1" stopIfTrue="1" operator="notEqual">
      <formula>#REF!</formula>
    </cfRule>
  </conditionalFormatting>
  <printOptions horizontalCentered="1"/>
  <pageMargins left="0.39370078740157483" right="0.39370078740157483" top="0.39370078740157483" bottom="0.39370078740157483" header="0" footer="0"/>
  <pageSetup paperSize="9" scale="97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31">
    <tabColor theme="3" tint="0.59999389629810485"/>
    <pageSetUpPr fitToPage="1"/>
  </sheetPr>
  <dimension ref="A1:Q414"/>
  <sheetViews>
    <sheetView view="pageBreakPreview" zoomScaleNormal="100" zoomScaleSheetLayoutView="100" workbookViewId="0">
      <selection activeCell="AA49" sqref="AA49"/>
    </sheetView>
  </sheetViews>
  <sheetFormatPr defaultColWidth="8.88671875" defaultRowHeight="16.5"/>
  <cols>
    <col min="1" max="1" width="16.5546875" style="1251" customWidth="1"/>
    <col min="2" max="2" width="6.77734375" style="1251" customWidth="1"/>
    <col min="3" max="3" width="4.109375" style="1251" customWidth="1"/>
    <col min="4" max="4" width="5" style="1251" customWidth="1"/>
    <col min="5" max="5" width="7.6640625" style="1251" customWidth="1"/>
    <col min="6" max="6" width="10.33203125" style="1251" customWidth="1"/>
    <col min="7" max="7" width="7.6640625" style="1251" customWidth="1"/>
    <col min="8" max="8" width="10.33203125" style="1251" customWidth="1"/>
    <col min="9" max="9" width="7.6640625" style="1251" customWidth="1"/>
    <col min="10" max="10" width="10.33203125" style="1251" customWidth="1"/>
    <col min="11" max="11" width="7.6640625" style="1251" customWidth="1"/>
    <col min="12" max="12" width="10.33203125" style="1251" customWidth="1"/>
    <col min="13" max="13" width="7.6640625" style="1251" customWidth="1"/>
    <col min="14" max="16384" width="8.88671875" style="1251"/>
  </cols>
  <sheetData>
    <row r="1" spans="1:17" ht="19.5" customHeight="1">
      <c r="A1" s="1854" t="s">
        <v>255</v>
      </c>
      <c r="B1" s="1856" t="s">
        <v>256</v>
      </c>
      <c r="C1" s="1858" t="s">
        <v>258</v>
      </c>
      <c r="D1" s="1860" t="s">
        <v>523</v>
      </c>
      <c r="E1" s="1862" t="s">
        <v>39</v>
      </c>
      <c r="F1" s="1863"/>
      <c r="G1" s="1405" t="s">
        <v>259</v>
      </c>
      <c r="H1" s="1406"/>
      <c r="I1" s="1405" t="s">
        <v>260</v>
      </c>
      <c r="J1" s="1406"/>
      <c r="K1" s="1405" t="s">
        <v>261</v>
      </c>
      <c r="L1" s="1406"/>
      <c r="M1" s="1852" t="s">
        <v>262</v>
      </c>
      <c r="O1" s="1251" t="s">
        <v>524</v>
      </c>
      <c r="P1" s="1251" t="s">
        <v>1172</v>
      </c>
      <c r="Q1" s="1251" t="s">
        <v>526</v>
      </c>
    </row>
    <row r="2" spans="1:17" ht="19.5" customHeight="1">
      <c r="A2" s="1855"/>
      <c r="B2" s="1857"/>
      <c r="C2" s="1859"/>
      <c r="D2" s="1861"/>
      <c r="E2" s="1394" t="s">
        <v>263</v>
      </c>
      <c r="F2" s="1395" t="s">
        <v>147</v>
      </c>
      <c r="G2" s="1394" t="s">
        <v>263</v>
      </c>
      <c r="H2" s="1395" t="s">
        <v>147</v>
      </c>
      <c r="I2" s="1394" t="s">
        <v>263</v>
      </c>
      <c r="J2" s="1395" t="s">
        <v>147</v>
      </c>
      <c r="K2" s="1394" t="s">
        <v>263</v>
      </c>
      <c r="L2" s="1395" t="s">
        <v>147</v>
      </c>
      <c r="M2" s="1853"/>
      <c r="O2" s="1251">
        <v>1</v>
      </c>
      <c r="P2" s="1252">
        <v>110</v>
      </c>
      <c r="Q2" s="1252">
        <v>20</v>
      </c>
    </row>
    <row r="3" spans="1:17" ht="19.5" customHeight="1">
      <c r="A3" s="1410" t="s">
        <v>1082</v>
      </c>
      <c r="B3" s="1388"/>
      <c r="C3" s="1388"/>
      <c r="D3" s="1389"/>
      <c r="E3" s="1396"/>
      <c r="F3" s="1397"/>
      <c r="G3" s="1396"/>
      <c r="H3" s="1397"/>
      <c r="I3" s="1396"/>
      <c r="J3" s="1397"/>
      <c r="K3" s="1396"/>
      <c r="L3" s="1397"/>
      <c r="M3" s="1411"/>
    </row>
    <row r="4" spans="1:17" ht="19.5" customHeight="1">
      <c r="A4" s="1256" t="s">
        <v>1173</v>
      </c>
      <c r="B4" s="1257"/>
      <c r="C4" s="1257"/>
      <c r="D4" s="1259"/>
      <c r="E4" s="1398"/>
      <c r="F4" s="1258"/>
      <c r="G4" s="1398"/>
      <c r="H4" s="1258"/>
      <c r="I4" s="1398"/>
      <c r="J4" s="1258"/>
      <c r="K4" s="1398"/>
      <c r="L4" s="1258"/>
      <c r="M4" s="1412"/>
    </row>
    <row r="5" spans="1:17" ht="19.5" customHeight="1">
      <c r="A5" s="1260" t="s">
        <v>534</v>
      </c>
      <c r="B5" s="1257"/>
      <c r="C5" s="1261" t="s">
        <v>41</v>
      </c>
      <c r="D5" s="1390">
        <f>'하천기본계획(기준소요인력)'!$H$70</f>
        <v>0.1</v>
      </c>
      <c r="E5" s="1399">
        <f t="shared" ref="E5:F9" si="0">SUM(G5,I5,K5)</f>
        <v>467217</v>
      </c>
      <c r="F5" s="1400">
        <f t="shared" si="0"/>
        <v>46721</v>
      </c>
      <c r="G5" s="1399">
        <f>'산근3 노임'!$B$5</f>
        <v>467217</v>
      </c>
      <c r="H5" s="1400">
        <f t="shared" ref="H5:H9" si="1">TRUNC(D5*G5,0)</f>
        <v>46721</v>
      </c>
      <c r="I5" s="1399"/>
      <c r="J5" s="1400"/>
      <c r="K5" s="1399"/>
      <c r="L5" s="1400"/>
      <c r="M5" s="1412"/>
    </row>
    <row r="6" spans="1:17" ht="19.5" customHeight="1">
      <c r="A6" s="1260" t="s">
        <v>140</v>
      </c>
      <c r="B6" s="1257"/>
      <c r="C6" s="1261" t="s">
        <v>41</v>
      </c>
      <c r="D6" s="1390">
        <f>'하천기본계획(기준소요인력)'!$I$70</f>
        <v>0.1</v>
      </c>
      <c r="E6" s="1399">
        <f t="shared" si="0"/>
        <v>373353</v>
      </c>
      <c r="F6" s="1400">
        <f t="shared" si="0"/>
        <v>37335</v>
      </c>
      <c r="G6" s="1399">
        <f>'산근3 노임'!$B$6</f>
        <v>373353</v>
      </c>
      <c r="H6" s="1400">
        <f t="shared" si="1"/>
        <v>37335</v>
      </c>
      <c r="I6" s="1399"/>
      <c r="J6" s="1400"/>
      <c r="K6" s="1399"/>
      <c r="L6" s="1400"/>
      <c r="M6" s="1412"/>
    </row>
    <row r="7" spans="1:17" ht="19.5" customHeight="1">
      <c r="A7" s="1260" t="s">
        <v>145</v>
      </c>
      <c r="B7" s="1257"/>
      <c r="C7" s="1261" t="s">
        <v>41</v>
      </c>
      <c r="D7" s="1390">
        <f>'하천기본계획(기준소요인력)'!$J$70</f>
        <v>0.1</v>
      </c>
      <c r="E7" s="1399">
        <f t="shared" si="0"/>
        <v>310884</v>
      </c>
      <c r="F7" s="1400">
        <f t="shared" si="0"/>
        <v>31088</v>
      </c>
      <c r="G7" s="1399">
        <f>'산근3 노임'!$B$7</f>
        <v>310884</v>
      </c>
      <c r="H7" s="1400">
        <f t="shared" si="1"/>
        <v>31088</v>
      </c>
      <c r="I7" s="1399"/>
      <c r="J7" s="1400"/>
      <c r="K7" s="1399"/>
      <c r="L7" s="1400"/>
      <c r="M7" s="1412"/>
    </row>
    <row r="8" spans="1:17" ht="19.5" customHeight="1">
      <c r="A8" s="1260" t="s">
        <v>161</v>
      </c>
      <c r="B8" s="1257"/>
      <c r="C8" s="1261" t="s">
        <v>41</v>
      </c>
      <c r="D8" s="1390">
        <f>'하천기본계획(기준소요인력)'!$K$70</f>
        <v>0.1</v>
      </c>
      <c r="E8" s="1399">
        <f t="shared" si="0"/>
        <v>295138</v>
      </c>
      <c r="F8" s="1400">
        <f t="shared" si="0"/>
        <v>29513</v>
      </c>
      <c r="G8" s="1399">
        <f>'산근3 노임'!$B$8</f>
        <v>295138</v>
      </c>
      <c r="H8" s="1400">
        <f t="shared" si="1"/>
        <v>29513</v>
      </c>
      <c r="I8" s="1399"/>
      <c r="J8" s="1400"/>
      <c r="K8" s="1399"/>
      <c r="L8" s="1400"/>
      <c r="M8" s="1412"/>
    </row>
    <row r="9" spans="1:17" ht="19.5" customHeight="1">
      <c r="A9" s="1260" t="s">
        <v>159</v>
      </c>
      <c r="B9" s="1257"/>
      <c r="C9" s="1261" t="s">
        <v>41</v>
      </c>
      <c r="D9" s="1390">
        <f>'하천기본계획(기준소요인력)'!$L$70</f>
        <v>0</v>
      </c>
      <c r="E9" s="1399">
        <f t="shared" si="0"/>
        <v>235459</v>
      </c>
      <c r="F9" s="1400">
        <f t="shared" si="0"/>
        <v>0</v>
      </c>
      <c r="G9" s="1399">
        <f>'산근3 노임'!$B$9</f>
        <v>235459</v>
      </c>
      <c r="H9" s="1400">
        <f t="shared" si="1"/>
        <v>0</v>
      </c>
      <c r="I9" s="1399"/>
      <c r="J9" s="1400"/>
      <c r="K9" s="1399"/>
      <c r="L9" s="1400"/>
      <c r="M9" s="1412"/>
    </row>
    <row r="10" spans="1:17" ht="19.5" customHeight="1">
      <c r="A10" s="1262" t="s">
        <v>235</v>
      </c>
      <c r="B10" s="1257"/>
      <c r="C10" s="1257"/>
      <c r="D10" s="1259"/>
      <c r="E10" s="1399"/>
      <c r="F10" s="1400">
        <f>SUM(H10,J10,L10)</f>
        <v>144657</v>
      </c>
      <c r="G10" s="1399"/>
      <c r="H10" s="1400">
        <f>SUM(H5:H9)</f>
        <v>144657</v>
      </c>
      <c r="I10" s="1399"/>
      <c r="J10" s="1400">
        <f>SUM(J5:J9)</f>
        <v>0</v>
      </c>
      <c r="K10" s="1399"/>
      <c r="L10" s="1400">
        <f>SUM(L5:L9)</f>
        <v>0</v>
      </c>
      <c r="M10" s="1412"/>
    </row>
    <row r="11" spans="1:17" ht="19.5" customHeight="1">
      <c r="A11" s="1263">
        <f>$O$2</f>
        <v>1</v>
      </c>
      <c r="B11" s="1257"/>
      <c r="C11" s="1257"/>
      <c r="D11" s="1259"/>
      <c r="E11" s="1399"/>
      <c r="F11" s="1400">
        <f>INT($A11*F10)</f>
        <v>144657</v>
      </c>
      <c r="G11" s="1399"/>
      <c r="H11" s="1400">
        <f>INT($A11*H10)</f>
        <v>144657</v>
      </c>
      <c r="I11" s="1399"/>
      <c r="J11" s="1400">
        <f>INT($A11*J10)</f>
        <v>0</v>
      </c>
      <c r="K11" s="1399"/>
      <c r="L11" s="1400">
        <f>INT($A11*L10)</f>
        <v>0</v>
      </c>
      <c r="M11" s="1412"/>
    </row>
    <row r="12" spans="1:17" ht="19.5" customHeight="1">
      <c r="A12" s="1256" t="s">
        <v>1174</v>
      </c>
      <c r="B12" s="1257"/>
      <c r="C12" s="1257"/>
      <c r="D12" s="1259"/>
      <c r="E12" s="1399"/>
      <c r="F12" s="1400"/>
      <c r="G12" s="1399"/>
      <c r="H12" s="1400"/>
      <c r="I12" s="1399"/>
      <c r="J12" s="1400"/>
      <c r="K12" s="1399"/>
      <c r="L12" s="1400"/>
      <c r="M12" s="1412"/>
    </row>
    <row r="13" spans="1:17" ht="19.5" customHeight="1">
      <c r="A13" s="1260" t="s">
        <v>534</v>
      </c>
      <c r="B13" s="1257"/>
      <c r="C13" s="1261" t="s">
        <v>41</v>
      </c>
      <c r="D13" s="1390">
        <f>'하천기본계획(기준소요인력)'!$H$72</f>
        <v>0.3</v>
      </c>
      <c r="E13" s="1399">
        <f t="shared" ref="E13:F17" si="2">SUM(G13,I13,K13)</f>
        <v>467217</v>
      </c>
      <c r="F13" s="1400">
        <f t="shared" si="2"/>
        <v>140165</v>
      </c>
      <c r="G13" s="1399">
        <f>'산근3 노임'!$B$5</f>
        <v>467217</v>
      </c>
      <c r="H13" s="1400">
        <f t="shared" ref="H13:H17" si="3">TRUNC(D13*G13,0)</f>
        <v>140165</v>
      </c>
      <c r="I13" s="1399"/>
      <c r="J13" s="1400"/>
      <c r="K13" s="1399"/>
      <c r="L13" s="1400"/>
      <c r="M13" s="1412"/>
    </row>
    <row r="14" spans="1:17" ht="19.5" customHeight="1">
      <c r="A14" s="1260" t="s">
        <v>140</v>
      </c>
      <c r="B14" s="1257"/>
      <c r="C14" s="1261" t="s">
        <v>41</v>
      </c>
      <c r="D14" s="1390">
        <f>'하천기본계획(기준소요인력)'!$I$72</f>
        <v>0.5</v>
      </c>
      <c r="E14" s="1399">
        <f t="shared" si="2"/>
        <v>373353</v>
      </c>
      <c r="F14" s="1400">
        <f t="shared" si="2"/>
        <v>186676</v>
      </c>
      <c r="G14" s="1399">
        <f>'산근3 노임'!$B$6</f>
        <v>373353</v>
      </c>
      <c r="H14" s="1400">
        <f t="shared" si="3"/>
        <v>186676</v>
      </c>
      <c r="I14" s="1399"/>
      <c r="J14" s="1400"/>
      <c r="K14" s="1399"/>
      <c r="L14" s="1400"/>
      <c r="M14" s="1412"/>
    </row>
    <row r="15" spans="1:17" ht="19.5" customHeight="1">
      <c r="A15" s="1260" t="s">
        <v>145</v>
      </c>
      <c r="B15" s="1257"/>
      <c r="C15" s="1261" t="s">
        <v>41</v>
      </c>
      <c r="D15" s="1390">
        <f>'하천기본계획(기준소요인력)'!$J$72</f>
        <v>0.5</v>
      </c>
      <c r="E15" s="1399">
        <f t="shared" si="2"/>
        <v>310884</v>
      </c>
      <c r="F15" s="1400">
        <f t="shared" si="2"/>
        <v>155442</v>
      </c>
      <c r="G15" s="1399">
        <f>'산근3 노임'!$B$7</f>
        <v>310884</v>
      </c>
      <c r="H15" s="1400">
        <f t="shared" si="3"/>
        <v>155442</v>
      </c>
      <c r="I15" s="1399"/>
      <c r="J15" s="1400"/>
      <c r="K15" s="1399"/>
      <c r="L15" s="1400"/>
      <c r="M15" s="1412"/>
    </row>
    <row r="16" spans="1:17" ht="19.5" customHeight="1">
      <c r="A16" s="1260" t="s">
        <v>161</v>
      </c>
      <c r="B16" s="1257"/>
      <c r="C16" s="1261" t="s">
        <v>41</v>
      </c>
      <c r="D16" s="1390">
        <f>'하천기본계획(기준소요인력)'!$K$72</f>
        <v>0.6</v>
      </c>
      <c r="E16" s="1399">
        <f t="shared" si="2"/>
        <v>295138</v>
      </c>
      <c r="F16" s="1400">
        <f t="shared" si="2"/>
        <v>177082</v>
      </c>
      <c r="G16" s="1399">
        <f>'산근3 노임'!$B$8</f>
        <v>295138</v>
      </c>
      <c r="H16" s="1400">
        <f t="shared" si="3"/>
        <v>177082</v>
      </c>
      <c r="I16" s="1399"/>
      <c r="J16" s="1400"/>
      <c r="K16" s="1399"/>
      <c r="L16" s="1400"/>
      <c r="M16" s="1412"/>
    </row>
    <row r="17" spans="1:13" ht="19.5" customHeight="1">
      <c r="A17" s="1260" t="s">
        <v>159</v>
      </c>
      <c r="B17" s="1257"/>
      <c r="C17" s="1261" t="s">
        <v>41</v>
      </c>
      <c r="D17" s="1390">
        <f>'하천기본계획(기준소요인력)'!$L$72</f>
        <v>0.7</v>
      </c>
      <c r="E17" s="1399">
        <f t="shared" si="2"/>
        <v>235459</v>
      </c>
      <c r="F17" s="1400">
        <f t="shared" si="2"/>
        <v>164821</v>
      </c>
      <c r="G17" s="1399">
        <f>'산근3 노임'!$B$9</f>
        <v>235459</v>
      </c>
      <c r="H17" s="1400">
        <f t="shared" si="3"/>
        <v>164821</v>
      </c>
      <c r="I17" s="1399"/>
      <c r="J17" s="1400"/>
      <c r="K17" s="1399"/>
      <c r="L17" s="1400"/>
      <c r="M17" s="1412"/>
    </row>
    <row r="18" spans="1:13" ht="19.5" customHeight="1">
      <c r="A18" s="1262" t="s">
        <v>235</v>
      </c>
      <c r="B18" s="1257"/>
      <c r="C18" s="1261"/>
      <c r="D18" s="1390"/>
      <c r="E18" s="1399"/>
      <c r="F18" s="1400">
        <f>SUM(H18,J18,L18)</f>
        <v>824186</v>
      </c>
      <c r="G18" s="1399"/>
      <c r="H18" s="1400">
        <f>SUM(H13:H17)</f>
        <v>824186</v>
      </c>
      <c r="I18" s="1399"/>
      <c r="J18" s="1400"/>
      <c r="K18" s="1399"/>
      <c r="L18" s="1400"/>
      <c r="M18" s="1412"/>
    </row>
    <row r="19" spans="1:13" ht="19.5" customHeight="1">
      <c r="A19" s="1263">
        <f>$O$2</f>
        <v>1</v>
      </c>
      <c r="B19" s="1257"/>
      <c r="C19" s="1261"/>
      <c r="D19" s="1390"/>
      <c r="E19" s="1399"/>
      <c r="F19" s="1400">
        <f>INT($A19*F18)</f>
        <v>824186</v>
      </c>
      <c r="G19" s="1399"/>
      <c r="H19" s="1400">
        <f>INT($A19*H18)</f>
        <v>824186</v>
      </c>
      <c r="I19" s="1399"/>
      <c r="J19" s="1400"/>
      <c r="K19" s="1399"/>
      <c r="L19" s="1400"/>
      <c r="M19" s="1412"/>
    </row>
    <row r="20" spans="1:13" ht="19.5" customHeight="1">
      <c r="A20" s="1256" t="s">
        <v>1175</v>
      </c>
      <c r="B20" s="1257"/>
      <c r="C20" s="1261"/>
      <c r="D20" s="1390"/>
      <c r="E20" s="1399"/>
      <c r="F20" s="1400"/>
      <c r="G20" s="1399"/>
      <c r="H20" s="1400"/>
      <c r="I20" s="1399"/>
      <c r="J20" s="1400"/>
      <c r="K20" s="1399"/>
      <c r="L20" s="1400"/>
      <c r="M20" s="1412"/>
    </row>
    <row r="21" spans="1:13" ht="19.5" customHeight="1">
      <c r="A21" s="1260" t="s">
        <v>534</v>
      </c>
      <c r="B21" s="1257"/>
      <c r="C21" s="1261" t="s">
        <v>41</v>
      </c>
      <c r="D21" s="1390">
        <f>'하천기본계획(기준소요인력)'!$H$74</f>
        <v>0.1</v>
      </c>
      <c r="E21" s="1399">
        <f t="shared" ref="E21:F25" si="4">SUM(G21,I21,K21)</f>
        <v>467217</v>
      </c>
      <c r="F21" s="1400">
        <f t="shared" si="4"/>
        <v>46721</v>
      </c>
      <c r="G21" s="1399">
        <f>'산근3 노임'!$B$5</f>
        <v>467217</v>
      </c>
      <c r="H21" s="1400">
        <f t="shared" ref="H21:H25" si="5">TRUNC(D21*G21,0)</f>
        <v>46721</v>
      </c>
      <c r="I21" s="1399"/>
      <c r="J21" s="1400"/>
      <c r="K21" s="1399"/>
      <c r="L21" s="1400"/>
      <c r="M21" s="1412"/>
    </row>
    <row r="22" spans="1:13" ht="19.5" customHeight="1">
      <c r="A22" s="1260" t="s">
        <v>140</v>
      </c>
      <c r="B22" s="1257"/>
      <c r="C22" s="1261" t="s">
        <v>41</v>
      </c>
      <c r="D22" s="1390">
        <f>'하천기본계획(기준소요인력)'!$I$74</f>
        <v>0.2</v>
      </c>
      <c r="E22" s="1399">
        <f t="shared" si="4"/>
        <v>373353</v>
      </c>
      <c r="F22" s="1400">
        <f t="shared" si="4"/>
        <v>74670</v>
      </c>
      <c r="G22" s="1399">
        <f>'산근3 노임'!$B$6</f>
        <v>373353</v>
      </c>
      <c r="H22" s="1400">
        <f t="shared" si="5"/>
        <v>74670</v>
      </c>
      <c r="I22" s="1399"/>
      <c r="J22" s="1400"/>
      <c r="K22" s="1399"/>
      <c r="L22" s="1400"/>
      <c r="M22" s="1412"/>
    </row>
    <row r="23" spans="1:13" ht="19.5" customHeight="1">
      <c r="A23" s="1260" t="s">
        <v>145</v>
      </c>
      <c r="B23" s="1257"/>
      <c r="C23" s="1261" t="s">
        <v>41</v>
      </c>
      <c r="D23" s="1390">
        <f>'하천기본계획(기준소요인력)'!$J$74</f>
        <v>0.2</v>
      </c>
      <c r="E23" s="1399">
        <f t="shared" si="4"/>
        <v>310884</v>
      </c>
      <c r="F23" s="1400">
        <f t="shared" si="4"/>
        <v>62176</v>
      </c>
      <c r="G23" s="1399">
        <f>'산근3 노임'!$B$7</f>
        <v>310884</v>
      </c>
      <c r="H23" s="1400">
        <f t="shared" si="5"/>
        <v>62176</v>
      </c>
      <c r="I23" s="1399"/>
      <c r="J23" s="1400"/>
      <c r="K23" s="1399"/>
      <c r="L23" s="1400"/>
      <c r="M23" s="1412"/>
    </row>
    <row r="24" spans="1:13" ht="19.5" customHeight="1">
      <c r="A24" s="1260" t="s">
        <v>161</v>
      </c>
      <c r="B24" s="1257"/>
      <c r="C24" s="1261" t="s">
        <v>41</v>
      </c>
      <c r="D24" s="1390">
        <f>'하천기본계획(기준소요인력)'!$K$74</f>
        <v>0.1</v>
      </c>
      <c r="E24" s="1399">
        <f t="shared" si="4"/>
        <v>295138</v>
      </c>
      <c r="F24" s="1400">
        <f t="shared" si="4"/>
        <v>29513</v>
      </c>
      <c r="G24" s="1399">
        <f>'산근3 노임'!$B$8</f>
        <v>295138</v>
      </c>
      <c r="H24" s="1400">
        <f t="shared" si="5"/>
        <v>29513</v>
      </c>
      <c r="I24" s="1399"/>
      <c r="J24" s="1400"/>
      <c r="K24" s="1399"/>
      <c r="L24" s="1400"/>
      <c r="M24" s="1412"/>
    </row>
    <row r="25" spans="1:13" ht="19.5" customHeight="1">
      <c r="A25" s="1260" t="s">
        <v>159</v>
      </c>
      <c r="B25" s="1257"/>
      <c r="C25" s="1261" t="s">
        <v>41</v>
      </c>
      <c r="D25" s="1390">
        <f>'하천기본계획(기준소요인력)'!$L$74</f>
        <v>0.1</v>
      </c>
      <c r="E25" s="1399">
        <f t="shared" si="4"/>
        <v>235459</v>
      </c>
      <c r="F25" s="1400">
        <f t="shared" si="4"/>
        <v>23545</v>
      </c>
      <c r="G25" s="1399">
        <f>'산근3 노임'!$B$9</f>
        <v>235459</v>
      </c>
      <c r="H25" s="1400">
        <f t="shared" si="5"/>
        <v>23545</v>
      </c>
      <c r="I25" s="1399"/>
      <c r="J25" s="1400"/>
      <c r="K25" s="1399"/>
      <c r="L25" s="1400"/>
      <c r="M25" s="1412"/>
    </row>
    <row r="26" spans="1:13" ht="19.5" customHeight="1">
      <c r="A26" s="1262" t="s">
        <v>235</v>
      </c>
      <c r="B26" s="1257"/>
      <c r="C26" s="1261"/>
      <c r="D26" s="1390"/>
      <c r="E26" s="1399"/>
      <c r="F26" s="1400">
        <f>SUM(H26,J26,L26)</f>
        <v>236625</v>
      </c>
      <c r="G26" s="1399"/>
      <c r="H26" s="1400">
        <f>SUM(H21:H25)</f>
        <v>236625</v>
      </c>
      <c r="I26" s="1399"/>
      <c r="J26" s="1400"/>
      <c r="K26" s="1399"/>
      <c r="L26" s="1400"/>
      <c r="M26" s="1412"/>
    </row>
    <row r="27" spans="1:13" ht="19.5" customHeight="1">
      <c r="A27" s="1264">
        <f>$O$2</f>
        <v>1</v>
      </c>
      <c r="B27" s="1265"/>
      <c r="C27" s="1266"/>
      <c r="D27" s="1423"/>
      <c r="E27" s="1424"/>
      <c r="F27" s="1407">
        <f>INT($A27*F26)</f>
        <v>236625</v>
      </c>
      <c r="G27" s="1424"/>
      <c r="H27" s="1407">
        <f>INT($A27*H26)</f>
        <v>236625</v>
      </c>
      <c r="I27" s="1424"/>
      <c r="J27" s="1407"/>
      <c r="K27" s="1424"/>
      <c r="L27" s="1407"/>
      <c r="M27" s="1425"/>
    </row>
    <row r="28" spans="1:13" ht="19.5" customHeight="1">
      <c r="A28" s="1267" t="s">
        <v>1176</v>
      </c>
      <c r="B28" s="1253"/>
      <c r="C28" s="1268"/>
      <c r="D28" s="1426"/>
      <c r="E28" s="1427"/>
      <c r="F28" s="1428"/>
      <c r="G28" s="1427"/>
      <c r="H28" s="1428"/>
      <c r="I28" s="1427"/>
      <c r="J28" s="1428"/>
      <c r="K28" s="1427"/>
      <c r="L28" s="1428"/>
      <c r="M28" s="1429"/>
    </row>
    <row r="29" spans="1:13" ht="19.5" customHeight="1">
      <c r="A29" s="1260" t="s">
        <v>534</v>
      </c>
      <c r="B29" s="1257"/>
      <c r="C29" s="1261" t="s">
        <v>41</v>
      </c>
      <c r="D29" s="1390">
        <f>'하천기본계획(기준소요인력)'!$H$75</f>
        <v>0.1</v>
      </c>
      <c r="E29" s="1399">
        <f t="shared" ref="E29:F33" si="6">SUM(G29,I29,K29)</f>
        <v>467217</v>
      </c>
      <c r="F29" s="1400">
        <f t="shared" si="6"/>
        <v>46721</v>
      </c>
      <c r="G29" s="1399">
        <f>'산근3 노임'!$B$5</f>
        <v>467217</v>
      </c>
      <c r="H29" s="1400">
        <f t="shared" ref="H29:H33" si="7">TRUNC(D29*G29,0)</f>
        <v>46721</v>
      </c>
      <c r="I29" s="1399"/>
      <c r="J29" s="1400"/>
      <c r="K29" s="1399"/>
      <c r="L29" s="1400"/>
      <c r="M29" s="1412"/>
    </row>
    <row r="30" spans="1:13" ht="19.5" customHeight="1">
      <c r="A30" s="1260" t="s">
        <v>140</v>
      </c>
      <c r="B30" s="1257"/>
      <c r="C30" s="1261" t="s">
        <v>41</v>
      </c>
      <c r="D30" s="1390">
        <f>'하천기본계획(기준소요인력)'!$I$75</f>
        <v>0.2</v>
      </c>
      <c r="E30" s="1399">
        <f t="shared" si="6"/>
        <v>373353</v>
      </c>
      <c r="F30" s="1400">
        <f t="shared" si="6"/>
        <v>74670</v>
      </c>
      <c r="G30" s="1399">
        <f>'산근3 노임'!$B$6</f>
        <v>373353</v>
      </c>
      <c r="H30" s="1400">
        <f t="shared" si="7"/>
        <v>74670</v>
      </c>
      <c r="I30" s="1399"/>
      <c r="J30" s="1400"/>
      <c r="K30" s="1399"/>
      <c r="L30" s="1400"/>
      <c r="M30" s="1412"/>
    </row>
    <row r="31" spans="1:13" ht="19.5" customHeight="1">
      <c r="A31" s="1260" t="s">
        <v>145</v>
      </c>
      <c r="B31" s="1257"/>
      <c r="C31" s="1261" t="s">
        <v>41</v>
      </c>
      <c r="D31" s="1390">
        <f>'하천기본계획(기준소요인력)'!$J$75</f>
        <v>0.3</v>
      </c>
      <c r="E31" s="1399">
        <f t="shared" si="6"/>
        <v>310884</v>
      </c>
      <c r="F31" s="1400">
        <f t="shared" si="6"/>
        <v>93265</v>
      </c>
      <c r="G31" s="1399">
        <f>'산근3 노임'!$B$7</f>
        <v>310884</v>
      </c>
      <c r="H31" s="1400">
        <f t="shared" si="7"/>
        <v>93265</v>
      </c>
      <c r="I31" s="1399"/>
      <c r="J31" s="1400"/>
      <c r="K31" s="1399"/>
      <c r="L31" s="1400"/>
      <c r="M31" s="1412"/>
    </row>
    <row r="32" spans="1:13" ht="19.5" customHeight="1">
      <c r="A32" s="1260" t="s">
        <v>161</v>
      </c>
      <c r="B32" s="1257"/>
      <c r="C32" s="1261" t="s">
        <v>41</v>
      </c>
      <c r="D32" s="1390">
        <f>'하천기본계획(기준소요인력)'!$K$75</f>
        <v>0.3</v>
      </c>
      <c r="E32" s="1399">
        <f t="shared" si="6"/>
        <v>295138</v>
      </c>
      <c r="F32" s="1400">
        <f t="shared" si="6"/>
        <v>88541</v>
      </c>
      <c r="G32" s="1399">
        <f>'산근3 노임'!$B$8</f>
        <v>295138</v>
      </c>
      <c r="H32" s="1400">
        <f t="shared" si="7"/>
        <v>88541</v>
      </c>
      <c r="I32" s="1399"/>
      <c r="J32" s="1400"/>
      <c r="K32" s="1399"/>
      <c r="L32" s="1400"/>
      <c r="M32" s="1412"/>
    </row>
    <row r="33" spans="1:13" ht="19.5" customHeight="1">
      <c r="A33" s="1260" t="s">
        <v>159</v>
      </c>
      <c r="B33" s="1257"/>
      <c r="C33" s="1261" t="s">
        <v>41</v>
      </c>
      <c r="D33" s="1390">
        <f>'하천기본계획(기준소요인력)'!$L$75</f>
        <v>0.3</v>
      </c>
      <c r="E33" s="1399">
        <f t="shared" si="6"/>
        <v>235459</v>
      </c>
      <c r="F33" s="1400">
        <f t="shared" si="6"/>
        <v>70637</v>
      </c>
      <c r="G33" s="1399">
        <f>'산근3 노임'!$B$9</f>
        <v>235459</v>
      </c>
      <c r="H33" s="1400">
        <f t="shared" si="7"/>
        <v>70637</v>
      </c>
      <c r="I33" s="1399"/>
      <c r="J33" s="1400"/>
      <c r="K33" s="1399"/>
      <c r="L33" s="1400"/>
      <c r="M33" s="1412"/>
    </row>
    <row r="34" spans="1:13" ht="19.5" customHeight="1">
      <c r="A34" s="1262" t="s">
        <v>235</v>
      </c>
      <c r="B34" s="1257"/>
      <c r="C34" s="1261"/>
      <c r="D34" s="1390"/>
      <c r="E34" s="1399"/>
      <c r="F34" s="1400">
        <f>SUM(H34,J34,L34)</f>
        <v>373834</v>
      </c>
      <c r="G34" s="1399"/>
      <c r="H34" s="1400">
        <f>SUM(H29:H33)</f>
        <v>373834</v>
      </c>
      <c r="I34" s="1399"/>
      <c r="J34" s="1400"/>
      <c r="K34" s="1399"/>
      <c r="L34" s="1400"/>
      <c r="M34" s="1412"/>
    </row>
    <row r="35" spans="1:13" ht="19.5" customHeight="1">
      <c r="A35" s="1263">
        <f>$O$2</f>
        <v>1</v>
      </c>
      <c r="B35" s="1257"/>
      <c r="C35" s="1261"/>
      <c r="D35" s="1390"/>
      <c r="E35" s="1399"/>
      <c r="F35" s="1400">
        <f>INT($A35*F34)</f>
        <v>373834</v>
      </c>
      <c r="G35" s="1399"/>
      <c r="H35" s="1400">
        <f>INT($A35*H34)</f>
        <v>373834</v>
      </c>
      <c r="I35" s="1399"/>
      <c r="J35" s="1400"/>
      <c r="K35" s="1399"/>
      <c r="L35" s="1400"/>
      <c r="M35" s="1412"/>
    </row>
    <row r="36" spans="1:13" ht="19.5" customHeight="1">
      <c r="A36" s="1256" t="s">
        <v>1177</v>
      </c>
      <c r="B36" s="1257"/>
      <c r="C36" s="1261"/>
      <c r="D36" s="1390"/>
      <c r="E36" s="1399"/>
      <c r="F36" s="1400"/>
      <c r="G36" s="1399"/>
      <c r="H36" s="1400"/>
      <c r="I36" s="1399"/>
      <c r="J36" s="1400"/>
      <c r="K36" s="1399"/>
      <c r="L36" s="1400"/>
      <c r="M36" s="1412"/>
    </row>
    <row r="37" spans="1:13" ht="19.5" customHeight="1">
      <c r="A37" s="1260" t="s">
        <v>534</v>
      </c>
      <c r="B37" s="1257"/>
      <c r="C37" s="1261" t="s">
        <v>41</v>
      </c>
      <c r="D37" s="1390">
        <f>'하천기본계획(기준소요인력)'!$H$76</f>
        <v>0.1</v>
      </c>
      <c r="E37" s="1399">
        <f t="shared" ref="E37:F41" si="8">SUM(G37,I37,K37)</f>
        <v>467217</v>
      </c>
      <c r="F37" s="1400">
        <f t="shared" si="8"/>
        <v>46721</v>
      </c>
      <c r="G37" s="1399">
        <f>'산근3 노임'!$B$5</f>
        <v>467217</v>
      </c>
      <c r="H37" s="1400">
        <f t="shared" ref="H37:H41" si="9">TRUNC(D37*G37,0)</f>
        <v>46721</v>
      </c>
      <c r="I37" s="1399"/>
      <c r="J37" s="1400"/>
      <c r="K37" s="1399"/>
      <c r="L37" s="1400"/>
      <c r="M37" s="1412"/>
    </row>
    <row r="38" spans="1:13" ht="19.5" customHeight="1">
      <c r="A38" s="1260" t="s">
        <v>140</v>
      </c>
      <c r="B38" s="1257"/>
      <c r="C38" s="1261" t="s">
        <v>41</v>
      </c>
      <c r="D38" s="1390">
        <f>'하천기본계획(기준소요인력)'!$I$76</f>
        <v>0.1</v>
      </c>
      <c r="E38" s="1399">
        <f t="shared" si="8"/>
        <v>373353</v>
      </c>
      <c r="F38" s="1400">
        <f t="shared" si="8"/>
        <v>37335</v>
      </c>
      <c r="G38" s="1399">
        <f>'산근3 노임'!$B$6</f>
        <v>373353</v>
      </c>
      <c r="H38" s="1400">
        <f t="shared" si="9"/>
        <v>37335</v>
      </c>
      <c r="I38" s="1399"/>
      <c r="J38" s="1400"/>
      <c r="K38" s="1399"/>
      <c r="L38" s="1400"/>
      <c r="M38" s="1412"/>
    </row>
    <row r="39" spans="1:13" ht="19.5" customHeight="1">
      <c r="A39" s="1260" t="s">
        <v>145</v>
      </c>
      <c r="B39" s="1257"/>
      <c r="C39" s="1261" t="s">
        <v>41</v>
      </c>
      <c r="D39" s="1390">
        <f>'하천기본계획(기준소요인력)'!$J$76</f>
        <v>0.2</v>
      </c>
      <c r="E39" s="1399">
        <f t="shared" si="8"/>
        <v>310884</v>
      </c>
      <c r="F39" s="1400">
        <f t="shared" si="8"/>
        <v>62176</v>
      </c>
      <c r="G39" s="1399">
        <f>'산근3 노임'!$B$7</f>
        <v>310884</v>
      </c>
      <c r="H39" s="1400">
        <f t="shared" si="9"/>
        <v>62176</v>
      </c>
      <c r="I39" s="1399"/>
      <c r="J39" s="1400"/>
      <c r="K39" s="1399"/>
      <c r="L39" s="1400"/>
      <c r="M39" s="1412"/>
    </row>
    <row r="40" spans="1:13" ht="19.5" customHeight="1">
      <c r="A40" s="1260" t="s">
        <v>161</v>
      </c>
      <c r="B40" s="1257"/>
      <c r="C40" s="1261" t="s">
        <v>41</v>
      </c>
      <c r="D40" s="1390">
        <f>'하천기본계획(기준소요인력)'!$K$76</f>
        <v>0.3</v>
      </c>
      <c r="E40" s="1399">
        <f t="shared" si="8"/>
        <v>295138</v>
      </c>
      <c r="F40" s="1400">
        <f t="shared" si="8"/>
        <v>88541</v>
      </c>
      <c r="G40" s="1399">
        <f>'산근3 노임'!$B$8</f>
        <v>295138</v>
      </c>
      <c r="H40" s="1400">
        <f t="shared" si="9"/>
        <v>88541</v>
      </c>
      <c r="I40" s="1399"/>
      <c r="J40" s="1400"/>
      <c r="K40" s="1399"/>
      <c r="L40" s="1400"/>
      <c r="M40" s="1412"/>
    </row>
    <row r="41" spans="1:13" ht="19.5" customHeight="1">
      <c r="A41" s="1260" t="s">
        <v>159</v>
      </c>
      <c r="B41" s="1257"/>
      <c r="C41" s="1261" t="s">
        <v>41</v>
      </c>
      <c r="D41" s="1390">
        <f>'하천기본계획(기준소요인력)'!$L$76</f>
        <v>0.4</v>
      </c>
      <c r="E41" s="1399">
        <f t="shared" si="8"/>
        <v>235459</v>
      </c>
      <c r="F41" s="1400">
        <f t="shared" si="8"/>
        <v>94183</v>
      </c>
      <c r="G41" s="1399">
        <f>'산근3 노임'!$B$9</f>
        <v>235459</v>
      </c>
      <c r="H41" s="1400">
        <f t="shared" si="9"/>
        <v>94183</v>
      </c>
      <c r="I41" s="1399"/>
      <c r="J41" s="1400"/>
      <c r="K41" s="1399"/>
      <c r="L41" s="1400"/>
      <c r="M41" s="1412"/>
    </row>
    <row r="42" spans="1:13" ht="19.5" customHeight="1">
      <c r="A42" s="1262" t="s">
        <v>235</v>
      </c>
      <c r="B42" s="1257"/>
      <c r="C42" s="1261"/>
      <c r="D42" s="1390"/>
      <c r="E42" s="1399"/>
      <c r="F42" s="1400">
        <f>SUM(H42,J42,L42)</f>
        <v>328956</v>
      </c>
      <c r="G42" s="1399"/>
      <c r="H42" s="1400">
        <f>SUM(H37:H41)</f>
        <v>328956</v>
      </c>
      <c r="I42" s="1399"/>
      <c r="J42" s="1400"/>
      <c r="K42" s="1399"/>
      <c r="L42" s="1400"/>
      <c r="M42" s="1412"/>
    </row>
    <row r="43" spans="1:13" ht="19.5" customHeight="1">
      <c r="A43" s="1263">
        <f>$O$2</f>
        <v>1</v>
      </c>
      <c r="B43" s="1257"/>
      <c r="C43" s="1261"/>
      <c r="D43" s="1390"/>
      <c r="E43" s="1399"/>
      <c r="F43" s="1400">
        <f>INT($A43*F42)</f>
        <v>328956</v>
      </c>
      <c r="G43" s="1399"/>
      <c r="H43" s="1400">
        <f>INT($A43*H42)</f>
        <v>328956</v>
      </c>
      <c r="I43" s="1399"/>
      <c r="J43" s="1400"/>
      <c r="K43" s="1399"/>
      <c r="L43" s="1400"/>
      <c r="M43" s="1412"/>
    </row>
    <row r="44" spans="1:13" ht="19.5" customHeight="1">
      <c r="A44" s="1256" t="s">
        <v>1178</v>
      </c>
      <c r="B44" s="1257"/>
      <c r="C44" s="1261"/>
      <c r="D44" s="1390"/>
      <c r="E44" s="1399"/>
      <c r="F44" s="1400"/>
      <c r="G44" s="1399"/>
      <c r="H44" s="1400"/>
      <c r="I44" s="1399"/>
      <c r="J44" s="1400"/>
      <c r="K44" s="1399"/>
      <c r="L44" s="1400"/>
      <c r="M44" s="1412"/>
    </row>
    <row r="45" spans="1:13" ht="19.5" customHeight="1">
      <c r="A45" s="1260" t="s">
        <v>534</v>
      </c>
      <c r="B45" s="1257"/>
      <c r="C45" s="1261" t="s">
        <v>41</v>
      </c>
      <c r="D45" s="1390">
        <f>'하천기본계획(기준소요인력)'!$H$77</f>
        <v>0.2</v>
      </c>
      <c r="E45" s="1399">
        <f t="shared" ref="E45:F49" si="10">SUM(G45,I45,K45)</f>
        <v>467217</v>
      </c>
      <c r="F45" s="1400">
        <f t="shared" si="10"/>
        <v>93443</v>
      </c>
      <c r="G45" s="1399">
        <f>'산근3 노임'!$B$5</f>
        <v>467217</v>
      </c>
      <c r="H45" s="1400">
        <f t="shared" ref="H45:H49" si="11">TRUNC(D45*G45,0)</f>
        <v>93443</v>
      </c>
      <c r="I45" s="1399"/>
      <c r="J45" s="1400"/>
      <c r="K45" s="1399"/>
      <c r="L45" s="1400"/>
      <c r="M45" s="1412"/>
    </row>
    <row r="46" spans="1:13" ht="19.5" customHeight="1">
      <c r="A46" s="1260" t="s">
        <v>140</v>
      </c>
      <c r="B46" s="1257"/>
      <c r="C46" s="1261" t="s">
        <v>41</v>
      </c>
      <c r="D46" s="1390">
        <f>'하천기본계획(기준소요인력)'!$I$77</f>
        <v>0.2</v>
      </c>
      <c r="E46" s="1399">
        <f t="shared" si="10"/>
        <v>373353</v>
      </c>
      <c r="F46" s="1400">
        <f t="shared" si="10"/>
        <v>74670</v>
      </c>
      <c r="G46" s="1399">
        <f>'산근3 노임'!$B$6</f>
        <v>373353</v>
      </c>
      <c r="H46" s="1400">
        <f t="shared" si="11"/>
        <v>74670</v>
      </c>
      <c r="I46" s="1399"/>
      <c r="J46" s="1400"/>
      <c r="K46" s="1399"/>
      <c r="L46" s="1400"/>
      <c r="M46" s="1412"/>
    </row>
    <row r="47" spans="1:13" ht="19.5" customHeight="1">
      <c r="A47" s="1260" t="s">
        <v>145</v>
      </c>
      <c r="B47" s="1257"/>
      <c r="C47" s="1261" t="s">
        <v>41</v>
      </c>
      <c r="D47" s="1390">
        <f>'하천기본계획(기준소요인력)'!$J$77</f>
        <v>0.3</v>
      </c>
      <c r="E47" s="1399">
        <f t="shared" si="10"/>
        <v>310884</v>
      </c>
      <c r="F47" s="1400">
        <f t="shared" si="10"/>
        <v>93265</v>
      </c>
      <c r="G47" s="1399">
        <f>'산근3 노임'!$B$7</f>
        <v>310884</v>
      </c>
      <c r="H47" s="1400">
        <f t="shared" si="11"/>
        <v>93265</v>
      </c>
      <c r="I47" s="1399"/>
      <c r="J47" s="1400"/>
      <c r="K47" s="1399"/>
      <c r="L47" s="1400"/>
      <c r="M47" s="1412"/>
    </row>
    <row r="48" spans="1:13" ht="19.5" customHeight="1">
      <c r="A48" s="1260" t="s">
        <v>161</v>
      </c>
      <c r="B48" s="1257"/>
      <c r="C48" s="1261" t="s">
        <v>41</v>
      </c>
      <c r="D48" s="1390">
        <f>'하천기본계획(기준소요인력)'!$K$77</f>
        <v>0.3</v>
      </c>
      <c r="E48" s="1399">
        <f t="shared" si="10"/>
        <v>295138</v>
      </c>
      <c r="F48" s="1400">
        <f t="shared" si="10"/>
        <v>88541</v>
      </c>
      <c r="G48" s="1399">
        <f>'산근3 노임'!$B$8</f>
        <v>295138</v>
      </c>
      <c r="H48" s="1400">
        <f t="shared" si="11"/>
        <v>88541</v>
      </c>
      <c r="I48" s="1399"/>
      <c r="J48" s="1400"/>
      <c r="K48" s="1399"/>
      <c r="L48" s="1400"/>
      <c r="M48" s="1412"/>
    </row>
    <row r="49" spans="1:13" ht="19.5" customHeight="1">
      <c r="A49" s="1260" t="s">
        <v>159</v>
      </c>
      <c r="B49" s="1257"/>
      <c r="C49" s="1261" t="s">
        <v>41</v>
      </c>
      <c r="D49" s="1390">
        <f>'하천기본계획(기준소요인력)'!$L$77</f>
        <v>0.4</v>
      </c>
      <c r="E49" s="1399">
        <f t="shared" si="10"/>
        <v>235459</v>
      </c>
      <c r="F49" s="1400">
        <f t="shared" si="10"/>
        <v>94183</v>
      </c>
      <c r="G49" s="1399">
        <f>'산근3 노임'!$B$9</f>
        <v>235459</v>
      </c>
      <c r="H49" s="1400">
        <f t="shared" si="11"/>
        <v>94183</v>
      </c>
      <c r="I49" s="1399"/>
      <c r="J49" s="1400"/>
      <c r="K49" s="1399"/>
      <c r="L49" s="1400"/>
      <c r="M49" s="1412"/>
    </row>
    <row r="50" spans="1:13" ht="19.5" customHeight="1">
      <c r="A50" s="1262" t="s">
        <v>235</v>
      </c>
      <c r="B50" s="1257"/>
      <c r="C50" s="1261"/>
      <c r="D50" s="1390"/>
      <c r="E50" s="1399"/>
      <c r="F50" s="1400">
        <f>SUM(H50,J50,L50)</f>
        <v>444102</v>
      </c>
      <c r="G50" s="1399"/>
      <c r="H50" s="1400">
        <f>SUM(H45:H49)</f>
        <v>444102</v>
      </c>
      <c r="I50" s="1399"/>
      <c r="J50" s="1400"/>
      <c r="K50" s="1399"/>
      <c r="L50" s="1400"/>
      <c r="M50" s="1412"/>
    </row>
    <row r="51" spans="1:13" ht="19.5" customHeight="1">
      <c r="A51" s="1263">
        <f>$O$2</f>
        <v>1</v>
      </c>
      <c r="B51" s="1257"/>
      <c r="C51" s="1261"/>
      <c r="D51" s="1390"/>
      <c r="E51" s="1399"/>
      <c r="F51" s="1400">
        <f>INT($A51*F50)</f>
        <v>444102</v>
      </c>
      <c r="G51" s="1399"/>
      <c r="H51" s="1400">
        <f>INT($A51*H50)</f>
        <v>444102</v>
      </c>
      <c r="I51" s="1399"/>
      <c r="J51" s="1400"/>
      <c r="K51" s="1399"/>
      <c r="L51" s="1400"/>
      <c r="M51" s="1412"/>
    </row>
    <row r="52" spans="1:13" ht="19.5" customHeight="1">
      <c r="A52" s="1264"/>
      <c r="B52" s="1265"/>
      <c r="C52" s="1266"/>
      <c r="D52" s="1423"/>
      <c r="E52" s="1424"/>
      <c r="F52" s="1407"/>
      <c r="G52" s="1424"/>
      <c r="H52" s="1407"/>
      <c r="I52" s="1424"/>
      <c r="J52" s="1407"/>
      <c r="K52" s="1424"/>
      <c r="L52" s="1407"/>
      <c r="M52" s="1425"/>
    </row>
    <row r="53" spans="1:13" ht="19.5" customHeight="1">
      <c r="A53" s="1267" t="s">
        <v>1179</v>
      </c>
      <c r="B53" s="1253"/>
      <c r="C53" s="1268"/>
      <c r="D53" s="1426"/>
      <c r="E53" s="1427"/>
      <c r="F53" s="1428"/>
      <c r="G53" s="1427"/>
      <c r="H53" s="1428"/>
      <c r="I53" s="1427"/>
      <c r="J53" s="1428"/>
      <c r="K53" s="1427"/>
      <c r="L53" s="1428"/>
      <c r="M53" s="1429"/>
    </row>
    <row r="54" spans="1:13" ht="19.5" customHeight="1">
      <c r="A54" s="1260" t="s">
        <v>534</v>
      </c>
      <c r="B54" s="1257"/>
      <c r="C54" s="1261" t="s">
        <v>41</v>
      </c>
      <c r="D54" s="1390">
        <f>'하천기본계획(기준소요인력)'!$H$78</f>
        <v>0.1</v>
      </c>
      <c r="E54" s="1399">
        <f t="shared" ref="E54:F58" si="12">SUM(G54,I54,K54)</f>
        <v>467217</v>
      </c>
      <c r="F54" s="1400">
        <f t="shared" si="12"/>
        <v>46721</v>
      </c>
      <c r="G54" s="1399">
        <f>'산근3 노임'!$B$5</f>
        <v>467217</v>
      </c>
      <c r="H54" s="1400">
        <f t="shared" ref="H54:H58" si="13">TRUNC(D54*G54,0)</f>
        <v>46721</v>
      </c>
      <c r="I54" s="1399"/>
      <c r="J54" s="1400"/>
      <c r="K54" s="1399"/>
      <c r="L54" s="1400"/>
      <c r="M54" s="1412"/>
    </row>
    <row r="55" spans="1:13" ht="19.5" customHeight="1">
      <c r="A55" s="1260" t="s">
        <v>140</v>
      </c>
      <c r="B55" s="1257"/>
      <c r="C55" s="1261" t="s">
        <v>41</v>
      </c>
      <c r="D55" s="1390">
        <f>'하천기본계획(기준소요인력)'!$I$78</f>
        <v>0.2</v>
      </c>
      <c r="E55" s="1399">
        <f t="shared" si="12"/>
        <v>373353</v>
      </c>
      <c r="F55" s="1400">
        <f t="shared" si="12"/>
        <v>74670</v>
      </c>
      <c r="G55" s="1399">
        <f>'산근3 노임'!$B$6</f>
        <v>373353</v>
      </c>
      <c r="H55" s="1400">
        <f t="shared" si="13"/>
        <v>74670</v>
      </c>
      <c r="I55" s="1399"/>
      <c r="J55" s="1400"/>
      <c r="K55" s="1399"/>
      <c r="L55" s="1400"/>
      <c r="M55" s="1412"/>
    </row>
    <row r="56" spans="1:13" ht="19.5" customHeight="1">
      <c r="A56" s="1260" t="s">
        <v>145</v>
      </c>
      <c r="B56" s="1257"/>
      <c r="C56" s="1261" t="s">
        <v>41</v>
      </c>
      <c r="D56" s="1390">
        <f>'하천기본계획(기준소요인력)'!$J$78</f>
        <v>0.3</v>
      </c>
      <c r="E56" s="1399">
        <f t="shared" si="12"/>
        <v>310884</v>
      </c>
      <c r="F56" s="1400">
        <f t="shared" si="12"/>
        <v>93265</v>
      </c>
      <c r="G56" s="1399">
        <f>'산근3 노임'!$B$7</f>
        <v>310884</v>
      </c>
      <c r="H56" s="1400">
        <f t="shared" si="13"/>
        <v>93265</v>
      </c>
      <c r="I56" s="1399"/>
      <c r="J56" s="1400"/>
      <c r="K56" s="1399"/>
      <c r="L56" s="1400"/>
      <c r="M56" s="1412"/>
    </row>
    <row r="57" spans="1:13" ht="19.5" customHeight="1">
      <c r="A57" s="1260" t="s">
        <v>161</v>
      </c>
      <c r="B57" s="1257"/>
      <c r="C57" s="1261" t="s">
        <v>41</v>
      </c>
      <c r="D57" s="1390">
        <f>'하천기본계획(기준소요인력)'!$K$78</f>
        <v>0.3</v>
      </c>
      <c r="E57" s="1399">
        <f t="shared" si="12"/>
        <v>295138</v>
      </c>
      <c r="F57" s="1400">
        <f t="shared" si="12"/>
        <v>88541</v>
      </c>
      <c r="G57" s="1399">
        <f>'산근3 노임'!$B$8</f>
        <v>295138</v>
      </c>
      <c r="H57" s="1400">
        <f t="shared" si="13"/>
        <v>88541</v>
      </c>
      <c r="I57" s="1399"/>
      <c r="J57" s="1400"/>
      <c r="K57" s="1399"/>
      <c r="L57" s="1400"/>
      <c r="M57" s="1412"/>
    </row>
    <row r="58" spans="1:13" ht="19.5" customHeight="1">
      <c r="A58" s="1260" t="s">
        <v>159</v>
      </c>
      <c r="B58" s="1257"/>
      <c r="C58" s="1261" t="s">
        <v>41</v>
      </c>
      <c r="D58" s="1390">
        <f>'하천기본계획(기준소요인력)'!$L$78</f>
        <v>0.6</v>
      </c>
      <c r="E58" s="1399">
        <f t="shared" si="12"/>
        <v>235459</v>
      </c>
      <c r="F58" s="1400">
        <f t="shared" si="12"/>
        <v>141275</v>
      </c>
      <c r="G58" s="1399">
        <f>'산근3 노임'!$B$9</f>
        <v>235459</v>
      </c>
      <c r="H58" s="1400">
        <f t="shared" si="13"/>
        <v>141275</v>
      </c>
      <c r="I58" s="1399"/>
      <c r="J58" s="1400"/>
      <c r="K58" s="1399"/>
      <c r="L58" s="1400"/>
      <c r="M58" s="1412"/>
    </row>
    <row r="59" spans="1:13" ht="19.5" customHeight="1">
      <c r="A59" s="1262" t="s">
        <v>235</v>
      </c>
      <c r="B59" s="1257"/>
      <c r="C59" s="1261"/>
      <c r="D59" s="1390"/>
      <c r="E59" s="1399"/>
      <c r="F59" s="1400">
        <f>SUM(H59,J59,L59)</f>
        <v>444472</v>
      </c>
      <c r="G59" s="1399"/>
      <c r="H59" s="1400">
        <f>SUM(H54:H58)</f>
        <v>444472</v>
      </c>
      <c r="I59" s="1399"/>
      <c r="J59" s="1400"/>
      <c r="K59" s="1399"/>
      <c r="L59" s="1400"/>
      <c r="M59" s="1412"/>
    </row>
    <row r="60" spans="1:13" ht="19.5" customHeight="1">
      <c r="A60" s="1263">
        <f>$O$2</f>
        <v>1</v>
      </c>
      <c r="B60" s="1257"/>
      <c r="C60" s="1261"/>
      <c r="D60" s="1390"/>
      <c r="E60" s="1399"/>
      <c r="F60" s="1400">
        <f>INT($A60*F59)</f>
        <v>444472</v>
      </c>
      <c r="G60" s="1399"/>
      <c r="H60" s="1400">
        <f>INT($A60*H59)</f>
        <v>444472</v>
      </c>
      <c r="I60" s="1399"/>
      <c r="J60" s="1400"/>
      <c r="K60" s="1399"/>
      <c r="L60" s="1400"/>
      <c r="M60" s="1412"/>
    </row>
    <row r="61" spans="1:13" ht="19.5" customHeight="1">
      <c r="A61" s="1256" t="s">
        <v>1180</v>
      </c>
      <c r="B61" s="1257"/>
      <c r="C61" s="1261"/>
      <c r="D61" s="1390"/>
      <c r="E61" s="1399"/>
      <c r="F61" s="1400"/>
      <c r="G61" s="1399"/>
      <c r="H61" s="1400"/>
      <c r="I61" s="1399"/>
      <c r="J61" s="1400"/>
      <c r="K61" s="1399"/>
      <c r="L61" s="1400"/>
      <c r="M61" s="1412"/>
    </row>
    <row r="62" spans="1:13" ht="19.5" customHeight="1">
      <c r="A62" s="1260" t="s">
        <v>534</v>
      </c>
      <c r="B62" s="1257"/>
      <c r="C62" s="1261" t="s">
        <v>41</v>
      </c>
      <c r="D62" s="1390">
        <f>'하천기본계획(기준소요인력)'!$H$79</f>
        <v>0.2</v>
      </c>
      <c r="E62" s="1399">
        <f t="shared" ref="E62:F66" si="14">SUM(G62,I62,K62)</f>
        <v>467217</v>
      </c>
      <c r="F62" s="1400">
        <f t="shared" si="14"/>
        <v>93443</v>
      </c>
      <c r="G62" s="1399">
        <f>'산근3 노임'!$B$5</f>
        <v>467217</v>
      </c>
      <c r="H62" s="1400">
        <f t="shared" ref="H62:H66" si="15">TRUNC(D62*G62,0)</f>
        <v>93443</v>
      </c>
      <c r="I62" s="1399"/>
      <c r="J62" s="1400"/>
      <c r="K62" s="1399"/>
      <c r="L62" s="1400"/>
      <c r="M62" s="1412"/>
    </row>
    <row r="63" spans="1:13" ht="19.5" customHeight="1">
      <c r="A63" s="1260" t="s">
        <v>140</v>
      </c>
      <c r="B63" s="1257"/>
      <c r="C63" s="1261" t="s">
        <v>41</v>
      </c>
      <c r="D63" s="1390">
        <f>'하천기본계획(기준소요인력)'!$I$79</f>
        <v>0.3</v>
      </c>
      <c r="E63" s="1399">
        <f t="shared" si="14"/>
        <v>373353</v>
      </c>
      <c r="F63" s="1400">
        <f t="shared" si="14"/>
        <v>112005</v>
      </c>
      <c r="G63" s="1399">
        <f>'산근3 노임'!$B$6</f>
        <v>373353</v>
      </c>
      <c r="H63" s="1400">
        <f t="shared" si="15"/>
        <v>112005</v>
      </c>
      <c r="I63" s="1399"/>
      <c r="J63" s="1400"/>
      <c r="K63" s="1399"/>
      <c r="L63" s="1400"/>
      <c r="M63" s="1412"/>
    </row>
    <row r="64" spans="1:13" ht="19.5" customHeight="1">
      <c r="A64" s="1260" t="s">
        <v>145</v>
      </c>
      <c r="B64" s="1257"/>
      <c r="C64" s="1261" t="s">
        <v>41</v>
      </c>
      <c r="D64" s="1390">
        <f>'하천기본계획(기준소요인력)'!$J$79</f>
        <v>0.3</v>
      </c>
      <c r="E64" s="1399">
        <f t="shared" si="14"/>
        <v>310884</v>
      </c>
      <c r="F64" s="1400">
        <f t="shared" si="14"/>
        <v>93265</v>
      </c>
      <c r="G64" s="1399">
        <f>'산근3 노임'!$B$7</f>
        <v>310884</v>
      </c>
      <c r="H64" s="1400">
        <f t="shared" si="15"/>
        <v>93265</v>
      </c>
      <c r="I64" s="1399"/>
      <c r="J64" s="1400"/>
      <c r="K64" s="1399"/>
      <c r="L64" s="1400"/>
      <c r="M64" s="1412"/>
    </row>
    <row r="65" spans="1:13" ht="19.5" customHeight="1">
      <c r="A65" s="1260" t="s">
        <v>161</v>
      </c>
      <c r="B65" s="1257"/>
      <c r="C65" s="1261" t="s">
        <v>41</v>
      </c>
      <c r="D65" s="1390">
        <f>'하천기본계획(기준소요인력)'!$K$79</f>
        <v>0.5</v>
      </c>
      <c r="E65" s="1399">
        <f t="shared" si="14"/>
        <v>295138</v>
      </c>
      <c r="F65" s="1400">
        <f t="shared" si="14"/>
        <v>147569</v>
      </c>
      <c r="G65" s="1399">
        <f>'산근3 노임'!$B$8</f>
        <v>295138</v>
      </c>
      <c r="H65" s="1400">
        <f t="shared" si="15"/>
        <v>147569</v>
      </c>
      <c r="I65" s="1399"/>
      <c r="J65" s="1400"/>
      <c r="K65" s="1399"/>
      <c r="L65" s="1400"/>
      <c r="M65" s="1412"/>
    </row>
    <row r="66" spans="1:13" ht="19.5" customHeight="1">
      <c r="A66" s="1260" t="s">
        <v>159</v>
      </c>
      <c r="B66" s="1257"/>
      <c r="C66" s="1261" t="s">
        <v>41</v>
      </c>
      <c r="D66" s="1390">
        <f>'하천기본계획(기준소요인력)'!$L$79</f>
        <v>0.4</v>
      </c>
      <c r="E66" s="1399">
        <f t="shared" si="14"/>
        <v>235459</v>
      </c>
      <c r="F66" s="1400">
        <f t="shared" si="14"/>
        <v>94183</v>
      </c>
      <c r="G66" s="1399">
        <f>'산근3 노임'!$B$9</f>
        <v>235459</v>
      </c>
      <c r="H66" s="1400">
        <f t="shared" si="15"/>
        <v>94183</v>
      </c>
      <c r="I66" s="1399"/>
      <c r="J66" s="1400"/>
      <c r="K66" s="1399"/>
      <c r="L66" s="1400"/>
      <c r="M66" s="1412"/>
    </row>
    <row r="67" spans="1:13" ht="19.5" customHeight="1">
      <c r="A67" s="1262" t="s">
        <v>235</v>
      </c>
      <c r="B67" s="1257"/>
      <c r="C67" s="1261"/>
      <c r="D67" s="1390"/>
      <c r="E67" s="1399"/>
      <c r="F67" s="1400">
        <f>SUM(H67,J67,L67)</f>
        <v>540465</v>
      </c>
      <c r="G67" s="1399"/>
      <c r="H67" s="1400">
        <f>SUM(H62:H66)</f>
        <v>540465</v>
      </c>
      <c r="I67" s="1399"/>
      <c r="J67" s="1400"/>
      <c r="K67" s="1399"/>
      <c r="L67" s="1400"/>
      <c r="M67" s="1412"/>
    </row>
    <row r="68" spans="1:13" ht="19.5" customHeight="1">
      <c r="A68" s="1263">
        <f>$O$2</f>
        <v>1</v>
      </c>
      <c r="B68" s="1257"/>
      <c r="C68" s="1261"/>
      <c r="D68" s="1390"/>
      <c r="E68" s="1399"/>
      <c r="F68" s="1400">
        <f>INT($A68*F67)</f>
        <v>540465</v>
      </c>
      <c r="G68" s="1399"/>
      <c r="H68" s="1400">
        <f>INT($A68*H67)</f>
        <v>540465</v>
      </c>
      <c r="I68" s="1399"/>
      <c r="J68" s="1400"/>
      <c r="K68" s="1399"/>
      <c r="L68" s="1400"/>
      <c r="M68" s="1412"/>
    </row>
    <row r="69" spans="1:13" ht="19.5" customHeight="1">
      <c r="A69" s="1256" t="s">
        <v>1181</v>
      </c>
      <c r="B69" s="1257"/>
      <c r="C69" s="1261"/>
      <c r="D69" s="1390"/>
      <c r="E69" s="1399"/>
      <c r="F69" s="1400"/>
      <c r="G69" s="1399"/>
      <c r="H69" s="1400"/>
      <c r="I69" s="1399"/>
      <c r="J69" s="1400"/>
      <c r="K69" s="1399"/>
      <c r="L69" s="1400"/>
      <c r="M69" s="1412"/>
    </row>
    <row r="70" spans="1:13" ht="19.5" customHeight="1">
      <c r="A70" s="1260" t="s">
        <v>534</v>
      </c>
      <c r="B70" s="1257"/>
      <c r="C70" s="1261" t="s">
        <v>41</v>
      </c>
      <c r="D70" s="1390">
        <f>'하천기본계획(기준소요인력)'!$H$82</f>
        <v>0.1</v>
      </c>
      <c r="E70" s="1399">
        <f t="shared" ref="E70:F74" si="16">SUM(G70,I70,K70)</f>
        <v>467217</v>
      </c>
      <c r="F70" s="1400">
        <f t="shared" si="16"/>
        <v>46721</v>
      </c>
      <c r="G70" s="1399">
        <f>'산근3 노임'!$B$5</f>
        <v>467217</v>
      </c>
      <c r="H70" s="1400">
        <f t="shared" ref="H70:H74" si="17">TRUNC(D70*G70,0)</f>
        <v>46721</v>
      </c>
      <c r="I70" s="1399"/>
      <c r="J70" s="1400"/>
      <c r="K70" s="1399"/>
      <c r="L70" s="1400"/>
      <c r="M70" s="1412"/>
    </row>
    <row r="71" spans="1:13" ht="19.5" customHeight="1">
      <c r="A71" s="1260" t="s">
        <v>140</v>
      </c>
      <c r="B71" s="1257"/>
      <c r="C71" s="1261" t="s">
        <v>41</v>
      </c>
      <c r="D71" s="1390">
        <f>'하천기본계획(기준소요인력)'!$I$82</f>
        <v>0.2</v>
      </c>
      <c r="E71" s="1399">
        <f t="shared" si="16"/>
        <v>373353</v>
      </c>
      <c r="F71" s="1400">
        <f t="shared" si="16"/>
        <v>74670</v>
      </c>
      <c r="G71" s="1399">
        <f>'산근3 노임'!$B$6</f>
        <v>373353</v>
      </c>
      <c r="H71" s="1400">
        <f t="shared" si="17"/>
        <v>74670</v>
      </c>
      <c r="I71" s="1399"/>
      <c r="J71" s="1400"/>
      <c r="K71" s="1399"/>
      <c r="L71" s="1400"/>
      <c r="M71" s="1412"/>
    </row>
    <row r="72" spans="1:13" ht="19.5" customHeight="1">
      <c r="A72" s="1260" t="s">
        <v>145</v>
      </c>
      <c r="B72" s="1257"/>
      <c r="C72" s="1261" t="s">
        <v>41</v>
      </c>
      <c r="D72" s="1390">
        <f>'하천기본계획(기준소요인력)'!$J$82</f>
        <v>0.3</v>
      </c>
      <c r="E72" s="1399">
        <f t="shared" si="16"/>
        <v>310884</v>
      </c>
      <c r="F72" s="1400">
        <f t="shared" si="16"/>
        <v>93265</v>
      </c>
      <c r="G72" s="1399">
        <f>'산근3 노임'!$B$7</f>
        <v>310884</v>
      </c>
      <c r="H72" s="1400">
        <f t="shared" si="17"/>
        <v>93265</v>
      </c>
      <c r="I72" s="1399"/>
      <c r="J72" s="1400"/>
      <c r="K72" s="1399"/>
      <c r="L72" s="1400"/>
      <c r="M72" s="1412"/>
    </row>
    <row r="73" spans="1:13" ht="19.5" customHeight="1">
      <c r="A73" s="1260" t="s">
        <v>161</v>
      </c>
      <c r="B73" s="1257"/>
      <c r="C73" s="1261" t="s">
        <v>41</v>
      </c>
      <c r="D73" s="1390">
        <f>'하천기본계획(기준소요인력)'!$K$82</f>
        <v>0.4</v>
      </c>
      <c r="E73" s="1399">
        <f t="shared" si="16"/>
        <v>295138</v>
      </c>
      <c r="F73" s="1400">
        <f t="shared" si="16"/>
        <v>118055</v>
      </c>
      <c r="G73" s="1399">
        <f>'산근3 노임'!$B$8</f>
        <v>295138</v>
      </c>
      <c r="H73" s="1400">
        <f t="shared" si="17"/>
        <v>118055</v>
      </c>
      <c r="I73" s="1399"/>
      <c r="J73" s="1400"/>
      <c r="K73" s="1399"/>
      <c r="L73" s="1400"/>
      <c r="M73" s="1412"/>
    </row>
    <row r="74" spans="1:13" ht="19.5" customHeight="1">
      <c r="A74" s="1260" t="s">
        <v>159</v>
      </c>
      <c r="B74" s="1257"/>
      <c r="C74" s="1261" t="s">
        <v>41</v>
      </c>
      <c r="D74" s="1390">
        <f>'하천기본계획(기준소요인력)'!$L$82</f>
        <v>0.3</v>
      </c>
      <c r="E74" s="1399">
        <f t="shared" si="16"/>
        <v>235459</v>
      </c>
      <c r="F74" s="1400">
        <f t="shared" si="16"/>
        <v>70637</v>
      </c>
      <c r="G74" s="1399">
        <f>'산근3 노임'!$B$9</f>
        <v>235459</v>
      </c>
      <c r="H74" s="1400">
        <f t="shared" si="17"/>
        <v>70637</v>
      </c>
      <c r="I74" s="1399"/>
      <c r="J74" s="1400"/>
      <c r="K74" s="1399"/>
      <c r="L74" s="1400"/>
      <c r="M74" s="1412"/>
    </row>
    <row r="75" spans="1:13" ht="19.5" customHeight="1">
      <c r="A75" s="1262" t="s">
        <v>235</v>
      </c>
      <c r="B75" s="1257"/>
      <c r="C75" s="1261"/>
      <c r="D75" s="1390"/>
      <c r="E75" s="1399"/>
      <c r="F75" s="1400">
        <f>SUM(H75,J75,L75)</f>
        <v>403348</v>
      </c>
      <c r="G75" s="1399"/>
      <c r="H75" s="1400">
        <f>SUM(H70:H74)</f>
        <v>403348</v>
      </c>
      <c r="I75" s="1399"/>
      <c r="J75" s="1400"/>
      <c r="K75" s="1399"/>
      <c r="L75" s="1400"/>
      <c r="M75" s="1412"/>
    </row>
    <row r="76" spans="1:13" ht="19.5" customHeight="1">
      <c r="A76" s="1263">
        <f>$O$2</f>
        <v>1</v>
      </c>
      <c r="B76" s="1257"/>
      <c r="C76" s="1261"/>
      <c r="D76" s="1390"/>
      <c r="E76" s="1399"/>
      <c r="F76" s="1400">
        <f>INT($A76*F75)</f>
        <v>403348</v>
      </c>
      <c r="G76" s="1399"/>
      <c r="H76" s="1400">
        <f>INT($A76*H75)</f>
        <v>403348</v>
      </c>
      <c r="I76" s="1399"/>
      <c r="J76" s="1400"/>
      <c r="K76" s="1399"/>
      <c r="L76" s="1400"/>
      <c r="M76" s="1412"/>
    </row>
    <row r="77" spans="1:13" ht="19.5" customHeight="1">
      <c r="A77" s="1264"/>
      <c r="B77" s="1265"/>
      <c r="C77" s="1266"/>
      <c r="D77" s="1423"/>
      <c r="E77" s="1424"/>
      <c r="F77" s="1407"/>
      <c r="G77" s="1424"/>
      <c r="H77" s="1407"/>
      <c r="I77" s="1424"/>
      <c r="J77" s="1407"/>
      <c r="K77" s="1424"/>
      <c r="L77" s="1407"/>
      <c r="M77" s="1425"/>
    </row>
    <row r="78" spans="1:13" ht="19.5" customHeight="1">
      <c r="A78" s="1267" t="s">
        <v>1182</v>
      </c>
      <c r="B78" s="1253"/>
      <c r="C78" s="1268"/>
      <c r="D78" s="1426"/>
      <c r="E78" s="1427"/>
      <c r="F78" s="1428"/>
      <c r="G78" s="1427"/>
      <c r="H78" s="1428"/>
      <c r="I78" s="1427"/>
      <c r="J78" s="1428"/>
      <c r="K78" s="1427"/>
      <c r="L78" s="1428"/>
      <c r="M78" s="1429"/>
    </row>
    <row r="79" spans="1:13" ht="19.5" customHeight="1">
      <c r="A79" s="1260" t="s">
        <v>534</v>
      </c>
      <c r="B79" s="1257"/>
      <c r="C79" s="1261" t="s">
        <v>41</v>
      </c>
      <c r="D79" s="1390">
        <f>'하천기본계획(기준소요인력)'!$H$83</f>
        <v>0.6</v>
      </c>
      <c r="E79" s="1399">
        <f t="shared" ref="E79:F83" si="18">SUM(G79,I79,K79)</f>
        <v>467217</v>
      </c>
      <c r="F79" s="1400">
        <f t="shared" si="18"/>
        <v>280330</v>
      </c>
      <c r="G79" s="1399">
        <f>'산근3 노임'!$B$5</f>
        <v>467217</v>
      </c>
      <c r="H79" s="1400">
        <f t="shared" ref="H79:H83" si="19">TRUNC(D79*G79,0)</f>
        <v>280330</v>
      </c>
      <c r="I79" s="1399"/>
      <c r="J79" s="1400"/>
      <c r="K79" s="1399"/>
      <c r="L79" s="1400"/>
      <c r="M79" s="1412"/>
    </row>
    <row r="80" spans="1:13" ht="19.5" customHeight="1">
      <c r="A80" s="1260" t="s">
        <v>140</v>
      </c>
      <c r="B80" s="1257"/>
      <c r="C80" s="1261" t="s">
        <v>41</v>
      </c>
      <c r="D80" s="1390">
        <f>'하천기본계획(기준소요인력)'!$I$83</f>
        <v>1.1000000000000001</v>
      </c>
      <c r="E80" s="1399">
        <f t="shared" si="18"/>
        <v>373353</v>
      </c>
      <c r="F80" s="1400">
        <f t="shared" si="18"/>
        <v>410688</v>
      </c>
      <c r="G80" s="1399">
        <f>'산근3 노임'!$B$6</f>
        <v>373353</v>
      </c>
      <c r="H80" s="1400">
        <f t="shared" si="19"/>
        <v>410688</v>
      </c>
      <c r="I80" s="1399"/>
      <c r="J80" s="1400"/>
      <c r="K80" s="1399"/>
      <c r="L80" s="1400"/>
      <c r="M80" s="1412"/>
    </row>
    <row r="81" spans="1:13" ht="19.5" customHeight="1">
      <c r="A81" s="1260" t="s">
        <v>145</v>
      </c>
      <c r="B81" s="1257"/>
      <c r="C81" s="1261" t="s">
        <v>41</v>
      </c>
      <c r="D81" s="1390">
        <f>'하천기본계획(기준소요인력)'!$J$83</f>
        <v>2.1</v>
      </c>
      <c r="E81" s="1399">
        <f t="shared" si="18"/>
        <v>310884</v>
      </c>
      <c r="F81" s="1400">
        <f t="shared" si="18"/>
        <v>652856</v>
      </c>
      <c r="G81" s="1399">
        <f>'산근3 노임'!$B$7</f>
        <v>310884</v>
      </c>
      <c r="H81" s="1400">
        <f t="shared" si="19"/>
        <v>652856</v>
      </c>
      <c r="I81" s="1399"/>
      <c r="J81" s="1400"/>
      <c r="K81" s="1399"/>
      <c r="L81" s="1400"/>
      <c r="M81" s="1412"/>
    </row>
    <row r="82" spans="1:13" ht="19.5" customHeight="1">
      <c r="A82" s="1260" t="s">
        <v>161</v>
      </c>
      <c r="B82" s="1257"/>
      <c r="C82" s="1261" t="s">
        <v>41</v>
      </c>
      <c r="D82" s="1390">
        <f>'하천기본계획(기준소요인력)'!$K$83</f>
        <v>2.6</v>
      </c>
      <c r="E82" s="1399">
        <f t="shared" si="18"/>
        <v>295138</v>
      </c>
      <c r="F82" s="1400">
        <f t="shared" si="18"/>
        <v>767358</v>
      </c>
      <c r="G82" s="1399">
        <f>'산근3 노임'!$B$8</f>
        <v>295138</v>
      </c>
      <c r="H82" s="1400">
        <f t="shared" si="19"/>
        <v>767358</v>
      </c>
      <c r="I82" s="1399"/>
      <c r="J82" s="1400"/>
      <c r="K82" s="1399"/>
      <c r="L82" s="1400"/>
      <c r="M82" s="1412"/>
    </row>
    <row r="83" spans="1:13" ht="19.5" customHeight="1">
      <c r="A83" s="1260" t="s">
        <v>159</v>
      </c>
      <c r="B83" s="1257"/>
      <c r="C83" s="1261" t="s">
        <v>41</v>
      </c>
      <c r="D83" s="1390">
        <f>'하천기본계획(기준소요인력)'!$L$83</f>
        <v>2.4</v>
      </c>
      <c r="E83" s="1399">
        <f t="shared" si="18"/>
        <v>235459</v>
      </c>
      <c r="F83" s="1400">
        <f t="shared" si="18"/>
        <v>565101</v>
      </c>
      <c r="G83" s="1399">
        <f>'산근3 노임'!$B$9</f>
        <v>235459</v>
      </c>
      <c r="H83" s="1400">
        <f t="shared" si="19"/>
        <v>565101</v>
      </c>
      <c r="I83" s="1399"/>
      <c r="J83" s="1400"/>
      <c r="K83" s="1399"/>
      <c r="L83" s="1400"/>
      <c r="M83" s="1412"/>
    </row>
    <row r="84" spans="1:13" ht="19.5" customHeight="1">
      <c r="A84" s="1262" t="s">
        <v>235</v>
      </c>
      <c r="B84" s="1257"/>
      <c r="C84" s="1261"/>
      <c r="D84" s="1390"/>
      <c r="E84" s="1399"/>
      <c r="F84" s="1400">
        <f>SUM(H84,J84,L84)</f>
        <v>2676333</v>
      </c>
      <c r="G84" s="1399"/>
      <c r="H84" s="1400">
        <f>SUM(H79:H83)</f>
        <v>2676333</v>
      </c>
      <c r="I84" s="1399"/>
      <c r="J84" s="1400"/>
      <c r="K84" s="1399"/>
      <c r="L84" s="1400"/>
      <c r="M84" s="1412"/>
    </row>
    <row r="85" spans="1:13" ht="19.5" customHeight="1">
      <c r="A85" s="1263">
        <f>$O$2</f>
        <v>1</v>
      </c>
      <c r="B85" s="1257"/>
      <c r="C85" s="1261"/>
      <c r="D85" s="1390"/>
      <c r="E85" s="1399"/>
      <c r="F85" s="1400">
        <f>INT($A85*F84)</f>
        <v>2676333</v>
      </c>
      <c r="G85" s="1399"/>
      <c r="H85" s="1400">
        <f>INT($A85*H84)</f>
        <v>2676333</v>
      </c>
      <c r="I85" s="1399"/>
      <c r="J85" s="1400"/>
      <c r="K85" s="1399"/>
      <c r="L85" s="1400"/>
      <c r="M85" s="1412"/>
    </row>
    <row r="86" spans="1:13" ht="19.5" customHeight="1">
      <c r="A86" s="1256" t="s">
        <v>1183</v>
      </c>
      <c r="B86" s="1257"/>
      <c r="C86" s="1261"/>
      <c r="D86" s="1390"/>
      <c r="E86" s="1399"/>
      <c r="F86" s="1400"/>
      <c r="G86" s="1399"/>
      <c r="H86" s="1400"/>
      <c r="I86" s="1399"/>
      <c r="J86" s="1400"/>
      <c r="K86" s="1399"/>
      <c r="L86" s="1400"/>
      <c r="M86" s="1412"/>
    </row>
    <row r="87" spans="1:13" ht="19.5" customHeight="1">
      <c r="A87" s="1260" t="s">
        <v>534</v>
      </c>
      <c r="B87" s="1257"/>
      <c r="C87" s="1261" t="s">
        <v>41</v>
      </c>
      <c r="D87" s="1390">
        <f>'하천기본계획(기준소요인력)'!$H$84</f>
        <v>0.2</v>
      </c>
      <c r="E87" s="1399">
        <f t="shared" ref="E87:F91" si="20">SUM(G87,I87,K87)</f>
        <v>467217</v>
      </c>
      <c r="F87" s="1400">
        <f t="shared" si="20"/>
        <v>93443</v>
      </c>
      <c r="G87" s="1399">
        <f>'산근3 노임'!$B$5</f>
        <v>467217</v>
      </c>
      <c r="H87" s="1400">
        <f t="shared" ref="H87:H91" si="21">TRUNC(D87*G87,0)</f>
        <v>93443</v>
      </c>
      <c r="I87" s="1399"/>
      <c r="J87" s="1400"/>
      <c r="K87" s="1399"/>
      <c r="L87" s="1400"/>
      <c r="M87" s="1412"/>
    </row>
    <row r="88" spans="1:13" ht="19.5" customHeight="1">
      <c r="A88" s="1260" t="s">
        <v>140</v>
      </c>
      <c r="B88" s="1257"/>
      <c r="C88" s="1261" t="s">
        <v>41</v>
      </c>
      <c r="D88" s="1390">
        <f>'하천기본계획(기준소요인력)'!$I$84</f>
        <v>0.4</v>
      </c>
      <c r="E88" s="1399">
        <f t="shared" si="20"/>
        <v>373353</v>
      </c>
      <c r="F88" s="1400">
        <f t="shared" si="20"/>
        <v>149341</v>
      </c>
      <c r="G88" s="1399">
        <f>'산근3 노임'!$B$6</f>
        <v>373353</v>
      </c>
      <c r="H88" s="1400">
        <f t="shared" si="21"/>
        <v>149341</v>
      </c>
      <c r="I88" s="1399"/>
      <c r="J88" s="1400"/>
      <c r="K88" s="1399"/>
      <c r="L88" s="1400"/>
      <c r="M88" s="1412"/>
    </row>
    <row r="89" spans="1:13" ht="19.5" customHeight="1">
      <c r="A89" s="1260" t="s">
        <v>145</v>
      </c>
      <c r="B89" s="1257"/>
      <c r="C89" s="1261" t="s">
        <v>41</v>
      </c>
      <c r="D89" s="1390">
        <f>'하천기본계획(기준소요인력)'!$J$84</f>
        <v>0.6</v>
      </c>
      <c r="E89" s="1399">
        <f t="shared" si="20"/>
        <v>310884</v>
      </c>
      <c r="F89" s="1400">
        <f t="shared" si="20"/>
        <v>186530</v>
      </c>
      <c r="G89" s="1399">
        <f>'산근3 노임'!$B$7</f>
        <v>310884</v>
      </c>
      <c r="H89" s="1400">
        <f t="shared" si="21"/>
        <v>186530</v>
      </c>
      <c r="I89" s="1399"/>
      <c r="J89" s="1400"/>
      <c r="K89" s="1399"/>
      <c r="L89" s="1400"/>
      <c r="M89" s="1412"/>
    </row>
    <row r="90" spans="1:13" ht="19.5" customHeight="1">
      <c r="A90" s="1260" t="s">
        <v>161</v>
      </c>
      <c r="B90" s="1257"/>
      <c r="C90" s="1261" t="s">
        <v>41</v>
      </c>
      <c r="D90" s="1390">
        <f>'하천기본계획(기준소요인력)'!$K$84</f>
        <v>0.8</v>
      </c>
      <c r="E90" s="1399">
        <f t="shared" si="20"/>
        <v>295138</v>
      </c>
      <c r="F90" s="1400">
        <f t="shared" si="20"/>
        <v>236110</v>
      </c>
      <c r="G90" s="1399">
        <f>'산근3 노임'!$B$8</f>
        <v>295138</v>
      </c>
      <c r="H90" s="1400">
        <f t="shared" si="21"/>
        <v>236110</v>
      </c>
      <c r="I90" s="1399"/>
      <c r="J90" s="1400"/>
      <c r="K90" s="1399"/>
      <c r="L90" s="1400"/>
      <c r="M90" s="1412"/>
    </row>
    <row r="91" spans="1:13" ht="19.5" customHeight="1">
      <c r="A91" s="1260" t="s">
        <v>159</v>
      </c>
      <c r="B91" s="1257"/>
      <c r="C91" s="1261" t="s">
        <v>41</v>
      </c>
      <c r="D91" s="1390">
        <f>'하천기본계획(기준소요인력)'!$L$84</f>
        <v>0.7</v>
      </c>
      <c r="E91" s="1399">
        <f t="shared" si="20"/>
        <v>235459</v>
      </c>
      <c r="F91" s="1400">
        <f t="shared" si="20"/>
        <v>164821</v>
      </c>
      <c r="G91" s="1399">
        <f>'산근3 노임'!$B$9</f>
        <v>235459</v>
      </c>
      <c r="H91" s="1400">
        <f t="shared" si="21"/>
        <v>164821</v>
      </c>
      <c r="I91" s="1399"/>
      <c r="J91" s="1400"/>
      <c r="K91" s="1399"/>
      <c r="L91" s="1400"/>
      <c r="M91" s="1412"/>
    </row>
    <row r="92" spans="1:13" ht="19.5" customHeight="1">
      <c r="A92" s="1262" t="s">
        <v>235</v>
      </c>
      <c r="B92" s="1257"/>
      <c r="C92" s="1261"/>
      <c r="D92" s="1390"/>
      <c r="E92" s="1399"/>
      <c r="F92" s="1400">
        <f>SUM(H92,J92,L92)</f>
        <v>830245</v>
      </c>
      <c r="G92" s="1399"/>
      <c r="H92" s="1400">
        <f>SUM(H87:H91)</f>
        <v>830245</v>
      </c>
      <c r="I92" s="1399"/>
      <c r="J92" s="1400"/>
      <c r="K92" s="1399"/>
      <c r="L92" s="1400"/>
      <c r="M92" s="1412"/>
    </row>
    <row r="93" spans="1:13" ht="19.5" customHeight="1">
      <c r="A93" s="1263">
        <f>$O$2</f>
        <v>1</v>
      </c>
      <c r="B93" s="1257"/>
      <c r="C93" s="1261"/>
      <c r="D93" s="1390"/>
      <c r="E93" s="1399"/>
      <c r="F93" s="1400">
        <f>INT($A93*F92)</f>
        <v>830245</v>
      </c>
      <c r="G93" s="1399"/>
      <c r="H93" s="1400">
        <f>INT($A93*H92)</f>
        <v>830245</v>
      </c>
      <c r="I93" s="1399"/>
      <c r="J93" s="1400"/>
      <c r="K93" s="1399"/>
      <c r="L93" s="1400"/>
      <c r="M93" s="1412"/>
    </row>
    <row r="94" spans="1:13" ht="19.5" customHeight="1">
      <c r="A94" s="1256" t="s">
        <v>1184</v>
      </c>
      <c r="B94" s="1257"/>
      <c r="C94" s="1261"/>
      <c r="D94" s="1390"/>
      <c r="E94" s="1399"/>
      <c r="F94" s="1400"/>
      <c r="G94" s="1399"/>
      <c r="H94" s="1400"/>
      <c r="I94" s="1399"/>
      <c r="J94" s="1400"/>
      <c r="K94" s="1399"/>
      <c r="L94" s="1400"/>
      <c r="M94" s="1412"/>
    </row>
    <row r="95" spans="1:13" ht="19.5" customHeight="1">
      <c r="A95" s="1260" t="s">
        <v>534</v>
      </c>
      <c r="B95" s="1257"/>
      <c r="C95" s="1261" t="s">
        <v>41</v>
      </c>
      <c r="D95" s="1390">
        <f>'하천기본계획(기준소요인력)'!$H$85</f>
        <v>0.5</v>
      </c>
      <c r="E95" s="1399">
        <f t="shared" ref="E95:F99" si="22">SUM(G95,I95,K95)</f>
        <v>467217</v>
      </c>
      <c r="F95" s="1400">
        <f t="shared" si="22"/>
        <v>233608</v>
      </c>
      <c r="G95" s="1399">
        <f>'산근3 노임'!$B$5</f>
        <v>467217</v>
      </c>
      <c r="H95" s="1400">
        <f t="shared" ref="H95:H99" si="23">TRUNC(D95*G95,0)</f>
        <v>233608</v>
      </c>
      <c r="I95" s="1399"/>
      <c r="J95" s="1400"/>
      <c r="K95" s="1399"/>
      <c r="L95" s="1400"/>
      <c r="M95" s="1412"/>
    </row>
    <row r="96" spans="1:13" ht="19.5" customHeight="1">
      <c r="A96" s="1260" t="s">
        <v>140</v>
      </c>
      <c r="B96" s="1257"/>
      <c r="C96" s="1261" t="s">
        <v>41</v>
      </c>
      <c r="D96" s="1390">
        <f>'하천기본계획(기준소요인력)'!$I$85</f>
        <v>0.5</v>
      </c>
      <c r="E96" s="1399">
        <f t="shared" si="22"/>
        <v>373353</v>
      </c>
      <c r="F96" s="1400">
        <f t="shared" si="22"/>
        <v>186676</v>
      </c>
      <c r="G96" s="1399">
        <f>'산근3 노임'!$B$6</f>
        <v>373353</v>
      </c>
      <c r="H96" s="1400">
        <f t="shared" si="23"/>
        <v>186676</v>
      </c>
      <c r="I96" s="1399"/>
      <c r="J96" s="1400"/>
      <c r="K96" s="1399"/>
      <c r="L96" s="1400"/>
      <c r="M96" s="1412"/>
    </row>
    <row r="97" spans="1:13" ht="19.5" customHeight="1">
      <c r="A97" s="1260" t="s">
        <v>145</v>
      </c>
      <c r="B97" s="1257"/>
      <c r="C97" s="1261" t="s">
        <v>41</v>
      </c>
      <c r="D97" s="1390">
        <f>'하천기본계획(기준소요인력)'!$J$85</f>
        <v>1.4</v>
      </c>
      <c r="E97" s="1399">
        <f t="shared" si="22"/>
        <v>310884</v>
      </c>
      <c r="F97" s="1400">
        <f t="shared" si="22"/>
        <v>435237</v>
      </c>
      <c r="G97" s="1399">
        <f>'산근3 노임'!$B$7</f>
        <v>310884</v>
      </c>
      <c r="H97" s="1400">
        <f t="shared" si="23"/>
        <v>435237</v>
      </c>
      <c r="I97" s="1399"/>
      <c r="J97" s="1400"/>
      <c r="K97" s="1399"/>
      <c r="L97" s="1400"/>
      <c r="M97" s="1412"/>
    </row>
    <row r="98" spans="1:13" ht="19.5" customHeight="1">
      <c r="A98" s="1260" t="s">
        <v>161</v>
      </c>
      <c r="B98" s="1257"/>
      <c r="C98" s="1261" t="s">
        <v>41</v>
      </c>
      <c r="D98" s="1390">
        <f>'하천기본계획(기준소요인력)'!$K$85</f>
        <v>2.4</v>
      </c>
      <c r="E98" s="1399">
        <f t="shared" si="22"/>
        <v>295138</v>
      </c>
      <c r="F98" s="1400">
        <f t="shared" si="22"/>
        <v>708331</v>
      </c>
      <c r="G98" s="1399">
        <f>'산근3 노임'!$B$8</f>
        <v>295138</v>
      </c>
      <c r="H98" s="1400">
        <f t="shared" si="23"/>
        <v>708331</v>
      </c>
      <c r="I98" s="1399"/>
      <c r="J98" s="1400"/>
      <c r="K98" s="1399"/>
      <c r="L98" s="1400"/>
      <c r="M98" s="1412"/>
    </row>
    <row r="99" spans="1:13" ht="19.5" customHeight="1">
      <c r="A99" s="1260" t="s">
        <v>159</v>
      </c>
      <c r="B99" s="1257"/>
      <c r="C99" s="1261" t="s">
        <v>41</v>
      </c>
      <c r="D99" s="1390">
        <f>'하천기본계획(기준소요인력)'!$L$85</f>
        <v>1.8</v>
      </c>
      <c r="E99" s="1399">
        <f t="shared" si="22"/>
        <v>235459</v>
      </c>
      <c r="F99" s="1400">
        <f t="shared" si="22"/>
        <v>423826</v>
      </c>
      <c r="G99" s="1399">
        <f>'산근3 노임'!$B$9</f>
        <v>235459</v>
      </c>
      <c r="H99" s="1400">
        <f t="shared" si="23"/>
        <v>423826</v>
      </c>
      <c r="I99" s="1399"/>
      <c r="J99" s="1400"/>
      <c r="K99" s="1399"/>
      <c r="L99" s="1400"/>
      <c r="M99" s="1412"/>
    </row>
    <row r="100" spans="1:13" ht="19.5" customHeight="1">
      <c r="A100" s="1262" t="s">
        <v>235</v>
      </c>
      <c r="B100" s="1257"/>
      <c r="C100" s="1261"/>
      <c r="D100" s="1390"/>
      <c r="E100" s="1399"/>
      <c r="F100" s="1400">
        <f>SUM(H100,J100,L100)</f>
        <v>1987678</v>
      </c>
      <c r="G100" s="1399"/>
      <c r="H100" s="1400">
        <f>SUM(H95:H99)</f>
        <v>1987678</v>
      </c>
      <c r="I100" s="1399"/>
      <c r="J100" s="1400"/>
      <c r="K100" s="1399"/>
      <c r="L100" s="1400"/>
      <c r="M100" s="1412"/>
    </row>
    <row r="101" spans="1:13" ht="19.5" customHeight="1">
      <c r="A101" s="1263">
        <f>$O$2</f>
        <v>1</v>
      </c>
      <c r="B101" s="1257"/>
      <c r="C101" s="1261"/>
      <c r="D101" s="1390"/>
      <c r="E101" s="1399"/>
      <c r="F101" s="1400">
        <f>INT($A101*F100)</f>
        <v>1987678</v>
      </c>
      <c r="G101" s="1399"/>
      <c r="H101" s="1400">
        <f>INT($A101*H100)</f>
        <v>1987678</v>
      </c>
      <c r="I101" s="1399"/>
      <c r="J101" s="1400"/>
      <c r="K101" s="1399"/>
      <c r="L101" s="1400"/>
      <c r="M101" s="1412"/>
    </row>
    <row r="102" spans="1:13" ht="19.5" customHeight="1">
      <c r="A102" s="1264"/>
      <c r="B102" s="1265"/>
      <c r="C102" s="1266"/>
      <c r="D102" s="1423"/>
      <c r="E102" s="1424"/>
      <c r="F102" s="1407"/>
      <c r="G102" s="1424"/>
      <c r="H102" s="1407"/>
      <c r="I102" s="1424"/>
      <c r="J102" s="1407"/>
      <c r="K102" s="1424"/>
      <c r="L102" s="1407"/>
      <c r="M102" s="1425"/>
    </row>
    <row r="103" spans="1:13" ht="19.5" customHeight="1">
      <c r="A103" s="1267" t="s">
        <v>1185</v>
      </c>
      <c r="B103" s="1253"/>
      <c r="C103" s="1268"/>
      <c r="D103" s="1426"/>
      <c r="E103" s="1427"/>
      <c r="F103" s="1428"/>
      <c r="G103" s="1427"/>
      <c r="H103" s="1428"/>
      <c r="I103" s="1427"/>
      <c r="J103" s="1428"/>
      <c r="K103" s="1427"/>
      <c r="L103" s="1428"/>
      <c r="M103" s="1429"/>
    </row>
    <row r="104" spans="1:13" ht="19.5" customHeight="1">
      <c r="A104" s="1260" t="s">
        <v>534</v>
      </c>
      <c r="B104" s="1257"/>
      <c r="C104" s="1261" t="s">
        <v>41</v>
      </c>
      <c r="D104" s="1390">
        <f>'하천기본계획(기준소요인력)'!$H$86</f>
        <v>0.6</v>
      </c>
      <c r="E104" s="1399">
        <f t="shared" ref="E104:F108" si="24">SUM(G104,I104,K104)</f>
        <v>467217</v>
      </c>
      <c r="F104" s="1400">
        <f t="shared" si="24"/>
        <v>280330</v>
      </c>
      <c r="G104" s="1399">
        <f>'산근3 노임'!$B$5</f>
        <v>467217</v>
      </c>
      <c r="H104" s="1400">
        <f t="shared" ref="H104:H108" si="25">TRUNC(D104*G104,0)</f>
        <v>280330</v>
      </c>
      <c r="I104" s="1399"/>
      <c r="J104" s="1400"/>
      <c r="K104" s="1399"/>
      <c r="L104" s="1400"/>
      <c r="M104" s="1412"/>
    </row>
    <row r="105" spans="1:13" ht="19.5" customHeight="1">
      <c r="A105" s="1260" t="s">
        <v>140</v>
      </c>
      <c r="B105" s="1257"/>
      <c r="C105" s="1261" t="s">
        <v>41</v>
      </c>
      <c r="D105" s="1390">
        <f>'하천기본계획(기준소요인력)'!$I$86</f>
        <v>1.7</v>
      </c>
      <c r="E105" s="1399">
        <f t="shared" si="24"/>
        <v>373353</v>
      </c>
      <c r="F105" s="1400">
        <f t="shared" si="24"/>
        <v>634700</v>
      </c>
      <c r="G105" s="1399">
        <f>'산근3 노임'!$B$6</f>
        <v>373353</v>
      </c>
      <c r="H105" s="1400">
        <f t="shared" si="25"/>
        <v>634700</v>
      </c>
      <c r="I105" s="1399"/>
      <c r="J105" s="1400"/>
      <c r="K105" s="1399"/>
      <c r="L105" s="1400"/>
      <c r="M105" s="1412"/>
    </row>
    <row r="106" spans="1:13" ht="19.5" customHeight="1">
      <c r="A106" s="1260" t="s">
        <v>145</v>
      </c>
      <c r="B106" s="1257"/>
      <c r="C106" s="1261" t="s">
        <v>41</v>
      </c>
      <c r="D106" s="1390">
        <f>'하천기본계획(기준소요인력)'!$J$86</f>
        <v>2.7</v>
      </c>
      <c r="E106" s="1399">
        <f t="shared" si="24"/>
        <v>310884</v>
      </c>
      <c r="F106" s="1400">
        <f t="shared" si="24"/>
        <v>839386</v>
      </c>
      <c r="G106" s="1399">
        <f>'산근3 노임'!$B$7</f>
        <v>310884</v>
      </c>
      <c r="H106" s="1400">
        <f t="shared" si="25"/>
        <v>839386</v>
      </c>
      <c r="I106" s="1399"/>
      <c r="J106" s="1400"/>
      <c r="K106" s="1399"/>
      <c r="L106" s="1400"/>
      <c r="M106" s="1412"/>
    </row>
    <row r="107" spans="1:13" ht="19.5" customHeight="1">
      <c r="A107" s="1260" t="s">
        <v>161</v>
      </c>
      <c r="B107" s="1257"/>
      <c r="C107" s="1261" t="s">
        <v>41</v>
      </c>
      <c r="D107" s="1390">
        <f>'하천기본계획(기준소요인력)'!$K$86</f>
        <v>3</v>
      </c>
      <c r="E107" s="1399">
        <f t="shared" si="24"/>
        <v>295138</v>
      </c>
      <c r="F107" s="1400">
        <f t="shared" si="24"/>
        <v>885414</v>
      </c>
      <c r="G107" s="1399">
        <f>'산근3 노임'!$B$8</f>
        <v>295138</v>
      </c>
      <c r="H107" s="1400">
        <f t="shared" si="25"/>
        <v>885414</v>
      </c>
      <c r="I107" s="1399"/>
      <c r="J107" s="1400"/>
      <c r="K107" s="1399"/>
      <c r="L107" s="1400"/>
      <c r="M107" s="1412"/>
    </row>
    <row r="108" spans="1:13" ht="19.5" customHeight="1">
      <c r="A108" s="1260" t="s">
        <v>159</v>
      </c>
      <c r="B108" s="1257"/>
      <c r="C108" s="1261" t="s">
        <v>41</v>
      </c>
      <c r="D108" s="1390">
        <f>'하천기본계획(기준소요인력)'!$L$86</f>
        <v>2.8</v>
      </c>
      <c r="E108" s="1399">
        <f t="shared" si="24"/>
        <v>235459</v>
      </c>
      <c r="F108" s="1400">
        <f t="shared" si="24"/>
        <v>659285</v>
      </c>
      <c r="G108" s="1399">
        <f>'산근3 노임'!$B$9</f>
        <v>235459</v>
      </c>
      <c r="H108" s="1400">
        <f t="shared" si="25"/>
        <v>659285</v>
      </c>
      <c r="I108" s="1399"/>
      <c r="J108" s="1400"/>
      <c r="K108" s="1399"/>
      <c r="L108" s="1400"/>
      <c r="M108" s="1412"/>
    </row>
    <row r="109" spans="1:13" ht="19.5" customHeight="1">
      <c r="A109" s="1262" t="s">
        <v>235</v>
      </c>
      <c r="B109" s="1257"/>
      <c r="C109" s="1261"/>
      <c r="D109" s="1390"/>
      <c r="E109" s="1399"/>
      <c r="F109" s="1400">
        <f>SUM(H109,J109,L109)</f>
        <v>3299115</v>
      </c>
      <c r="G109" s="1399"/>
      <c r="H109" s="1400">
        <f>SUM(H104:H108)</f>
        <v>3299115</v>
      </c>
      <c r="I109" s="1399"/>
      <c r="J109" s="1400"/>
      <c r="K109" s="1399"/>
      <c r="L109" s="1400"/>
      <c r="M109" s="1412"/>
    </row>
    <row r="110" spans="1:13" ht="19.5" customHeight="1">
      <c r="A110" s="1263">
        <f>$O$2</f>
        <v>1</v>
      </c>
      <c r="B110" s="1257"/>
      <c r="C110" s="1261"/>
      <c r="D110" s="1390"/>
      <c r="E110" s="1399"/>
      <c r="F110" s="1400">
        <f>INT($A110*F109)</f>
        <v>3299115</v>
      </c>
      <c r="G110" s="1399"/>
      <c r="H110" s="1400">
        <f>INT($A110*H109)</f>
        <v>3299115</v>
      </c>
      <c r="I110" s="1399"/>
      <c r="J110" s="1400"/>
      <c r="K110" s="1399"/>
      <c r="L110" s="1400"/>
      <c r="M110" s="1412"/>
    </row>
    <row r="111" spans="1:13" ht="19.5" customHeight="1">
      <c r="A111" s="1256" t="s">
        <v>1186</v>
      </c>
      <c r="B111" s="1257"/>
      <c r="C111" s="1261"/>
      <c r="D111" s="1390"/>
      <c r="E111" s="1399"/>
      <c r="F111" s="1400"/>
      <c r="G111" s="1399"/>
      <c r="H111" s="1400"/>
      <c r="I111" s="1399"/>
      <c r="J111" s="1400"/>
      <c r="K111" s="1399"/>
      <c r="L111" s="1400"/>
      <c r="M111" s="1412"/>
    </row>
    <row r="112" spans="1:13" ht="19.5" customHeight="1">
      <c r="A112" s="1260" t="s">
        <v>534</v>
      </c>
      <c r="B112" s="1257"/>
      <c r="C112" s="1261" t="s">
        <v>41</v>
      </c>
      <c r="D112" s="1390">
        <f>'하천기본계획(기준소요인력)'!$H$88</f>
        <v>0.3</v>
      </c>
      <c r="E112" s="1399">
        <f t="shared" ref="E112:F116" si="26">SUM(G112,I112,K112)</f>
        <v>467217</v>
      </c>
      <c r="F112" s="1400">
        <f t="shared" si="26"/>
        <v>140165</v>
      </c>
      <c r="G112" s="1399">
        <f>'산근3 노임'!$B$5</f>
        <v>467217</v>
      </c>
      <c r="H112" s="1400">
        <f t="shared" ref="H112:H116" si="27">TRUNC(D112*G112,0)</f>
        <v>140165</v>
      </c>
      <c r="I112" s="1399"/>
      <c r="J112" s="1400"/>
      <c r="K112" s="1399"/>
      <c r="L112" s="1400"/>
      <c r="M112" s="1412"/>
    </row>
    <row r="113" spans="1:13" ht="19.5" customHeight="1">
      <c r="A113" s="1260" t="s">
        <v>140</v>
      </c>
      <c r="B113" s="1257"/>
      <c r="C113" s="1261" t="s">
        <v>41</v>
      </c>
      <c r="D113" s="1390">
        <f>'하천기본계획(기준소요인력)'!$I$88</f>
        <v>0.6</v>
      </c>
      <c r="E113" s="1399">
        <f t="shared" si="26"/>
        <v>373353</v>
      </c>
      <c r="F113" s="1400">
        <f t="shared" si="26"/>
        <v>224011</v>
      </c>
      <c r="G113" s="1399">
        <f>'산근3 노임'!$B$6</f>
        <v>373353</v>
      </c>
      <c r="H113" s="1400">
        <f t="shared" si="27"/>
        <v>224011</v>
      </c>
      <c r="I113" s="1399"/>
      <c r="J113" s="1400"/>
      <c r="K113" s="1399"/>
      <c r="L113" s="1400"/>
      <c r="M113" s="1412"/>
    </row>
    <row r="114" spans="1:13" ht="19.5" customHeight="1">
      <c r="A114" s="1260" t="s">
        <v>145</v>
      </c>
      <c r="B114" s="1257"/>
      <c r="C114" s="1261" t="s">
        <v>41</v>
      </c>
      <c r="D114" s="1390">
        <f>'하천기본계획(기준소요인력)'!$J$88</f>
        <v>0.6</v>
      </c>
      <c r="E114" s="1399">
        <f t="shared" si="26"/>
        <v>310884</v>
      </c>
      <c r="F114" s="1400">
        <f t="shared" si="26"/>
        <v>186530</v>
      </c>
      <c r="G114" s="1399">
        <f>'산근3 노임'!$B$7</f>
        <v>310884</v>
      </c>
      <c r="H114" s="1400">
        <f t="shared" si="27"/>
        <v>186530</v>
      </c>
      <c r="I114" s="1399"/>
      <c r="J114" s="1400"/>
      <c r="K114" s="1399"/>
      <c r="L114" s="1400"/>
      <c r="M114" s="1412"/>
    </row>
    <row r="115" spans="1:13" ht="19.5" customHeight="1">
      <c r="A115" s="1260" t="s">
        <v>161</v>
      </c>
      <c r="B115" s="1257"/>
      <c r="C115" s="1261" t="s">
        <v>41</v>
      </c>
      <c r="D115" s="1390">
        <f>'하천기본계획(기준소요인력)'!$K$88</f>
        <v>0.9</v>
      </c>
      <c r="E115" s="1399">
        <f t="shared" si="26"/>
        <v>295138</v>
      </c>
      <c r="F115" s="1400">
        <f t="shared" si="26"/>
        <v>265624</v>
      </c>
      <c r="G115" s="1399">
        <f>'산근3 노임'!$B$8</f>
        <v>295138</v>
      </c>
      <c r="H115" s="1400">
        <f t="shared" si="27"/>
        <v>265624</v>
      </c>
      <c r="I115" s="1399"/>
      <c r="J115" s="1400"/>
      <c r="K115" s="1399"/>
      <c r="L115" s="1400"/>
      <c r="M115" s="1412"/>
    </row>
    <row r="116" spans="1:13" ht="19.5" customHeight="1">
      <c r="A116" s="1260" t="s">
        <v>159</v>
      </c>
      <c r="B116" s="1257"/>
      <c r="C116" s="1261" t="s">
        <v>41</v>
      </c>
      <c r="D116" s="1390">
        <f>'하천기본계획(기준소요인력)'!$L$88</f>
        <v>0.9</v>
      </c>
      <c r="E116" s="1399">
        <f t="shared" si="26"/>
        <v>235459</v>
      </c>
      <c r="F116" s="1400">
        <f t="shared" si="26"/>
        <v>211913</v>
      </c>
      <c r="G116" s="1399">
        <f>'산근3 노임'!$B$9</f>
        <v>235459</v>
      </c>
      <c r="H116" s="1400">
        <f t="shared" si="27"/>
        <v>211913</v>
      </c>
      <c r="I116" s="1399"/>
      <c r="J116" s="1400"/>
      <c r="K116" s="1399"/>
      <c r="L116" s="1400"/>
      <c r="M116" s="1412"/>
    </row>
    <row r="117" spans="1:13" ht="19.5" customHeight="1">
      <c r="A117" s="1262" t="s">
        <v>235</v>
      </c>
      <c r="B117" s="1257"/>
      <c r="C117" s="1261"/>
      <c r="D117" s="1390"/>
      <c r="E117" s="1399"/>
      <c r="F117" s="1400">
        <f>SUM(H117,J117,L117)</f>
        <v>1028243</v>
      </c>
      <c r="G117" s="1399"/>
      <c r="H117" s="1400">
        <f>SUM(H112:H116)</f>
        <v>1028243</v>
      </c>
      <c r="I117" s="1399"/>
      <c r="J117" s="1400"/>
      <c r="K117" s="1399"/>
      <c r="L117" s="1400"/>
      <c r="M117" s="1412"/>
    </row>
    <row r="118" spans="1:13" ht="19.5" customHeight="1">
      <c r="A118" s="1263">
        <f>$O$2</f>
        <v>1</v>
      </c>
      <c r="B118" s="1257"/>
      <c r="C118" s="1261"/>
      <c r="D118" s="1390"/>
      <c r="E118" s="1399"/>
      <c r="F118" s="1400">
        <f>INT($A118*F117)</f>
        <v>1028243</v>
      </c>
      <c r="G118" s="1399"/>
      <c r="H118" s="1400">
        <f>INT($A118*H117)</f>
        <v>1028243</v>
      </c>
      <c r="I118" s="1399"/>
      <c r="J118" s="1400"/>
      <c r="K118" s="1399"/>
      <c r="L118" s="1400"/>
      <c r="M118" s="1412"/>
    </row>
    <row r="119" spans="1:13" ht="19.5" customHeight="1">
      <c r="A119" s="1256" t="s">
        <v>1187</v>
      </c>
      <c r="B119" s="1257"/>
      <c r="C119" s="1261"/>
      <c r="D119" s="1390"/>
      <c r="E119" s="1399"/>
      <c r="F119" s="1400"/>
      <c r="G119" s="1399"/>
      <c r="H119" s="1400"/>
      <c r="I119" s="1399"/>
      <c r="J119" s="1400"/>
      <c r="K119" s="1399"/>
      <c r="L119" s="1400"/>
      <c r="M119" s="1412"/>
    </row>
    <row r="120" spans="1:13" ht="19.5" customHeight="1">
      <c r="A120" s="1260" t="s">
        <v>534</v>
      </c>
      <c r="B120" s="1257"/>
      <c r="C120" s="1261" t="s">
        <v>41</v>
      </c>
      <c r="D120" s="1390">
        <f>'하천기본계획(기준소요인력)'!$H$89</f>
        <v>0.1</v>
      </c>
      <c r="E120" s="1399">
        <f t="shared" ref="E120:F124" si="28">SUM(G120,I120,K120)</f>
        <v>467217</v>
      </c>
      <c r="F120" s="1400">
        <f t="shared" si="28"/>
        <v>46721</v>
      </c>
      <c r="G120" s="1399">
        <f>'산근3 노임'!$B$5</f>
        <v>467217</v>
      </c>
      <c r="H120" s="1400">
        <f t="shared" ref="H120:H124" si="29">TRUNC(D120*G120,0)</f>
        <v>46721</v>
      </c>
      <c r="I120" s="1399"/>
      <c r="J120" s="1400"/>
      <c r="K120" s="1399"/>
      <c r="L120" s="1400"/>
      <c r="M120" s="1412"/>
    </row>
    <row r="121" spans="1:13" ht="19.5" customHeight="1">
      <c r="A121" s="1260" t="s">
        <v>140</v>
      </c>
      <c r="B121" s="1257"/>
      <c r="C121" s="1261" t="s">
        <v>41</v>
      </c>
      <c r="D121" s="1390">
        <f>'하천기본계획(기준소요인력)'!$I$89</f>
        <v>0.1</v>
      </c>
      <c r="E121" s="1399">
        <f t="shared" si="28"/>
        <v>373353</v>
      </c>
      <c r="F121" s="1400">
        <f t="shared" si="28"/>
        <v>37335</v>
      </c>
      <c r="G121" s="1399">
        <f>'산근3 노임'!$B$6</f>
        <v>373353</v>
      </c>
      <c r="H121" s="1400">
        <f t="shared" si="29"/>
        <v>37335</v>
      </c>
      <c r="I121" s="1399"/>
      <c r="J121" s="1400"/>
      <c r="K121" s="1399"/>
      <c r="L121" s="1400"/>
      <c r="M121" s="1412"/>
    </row>
    <row r="122" spans="1:13" ht="19.5" customHeight="1">
      <c r="A122" s="1260" t="s">
        <v>145</v>
      </c>
      <c r="B122" s="1257"/>
      <c r="C122" s="1261" t="s">
        <v>41</v>
      </c>
      <c r="D122" s="1390">
        <f>'하천기본계획(기준소요인력)'!$J$89</f>
        <v>0.3</v>
      </c>
      <c r="E122" s="1399">
        <f t="shared" si="28"/>
        <v>310884</v>
      </c>
      <c r="F122" s="1400">
        <f t="shared" si="28"/>
        <v>93265</v>
      </c>
      <c r="G122" s="1399">
        <f>'산근3 노임'!$B$7</f>
        <v>310884</v>
      </c>
      <c r="H122" s="1400">
        <f t="shared" si="29"/>
        <v>93265</v>
      </c>
      <c r="I122" s="1399"/>
      <c r="J122" s="1400"/>
      <c r="K122" s="1399"/>
      <c r="L122" s="1400"/>
      <c r="M122" s="1412"/>
    </row>
    <row r="123" spans="1:13" ht="19.5" customHeight="1">
      <c r="A123" s="1260" t="s">
        <v>161</v>
      </c>
      <c r="B123" s="1257"/>
      <c r="C123" s="1261" t="s">
        <v>41</v>
      </c>
      <c r="D123" s="1390">
        <f>'하천기본계획(기준소요인력)'!$K$89</f>
        <v>0.4</v>
      </c>
      <c r="E123" s="1399">
        <f t="shared" si="28"/>
        <v>295138</v>
      </c>
      <c r="F123" s="1400">
        <f t="shared" si="28"/>
        <v>118055</v>
      </c>
      <c r="G123" s="1399">
        <f>'산근3 노임'!$B$8</f>
        <v>295138</v>
      </c>
      <c r="H123" s="1400">
        <f t="shared" si="29"/>
        <v>118055</v>
      </c>
      <c r="I123" s="1399"/>
      <c r="J123" s="1400"/>
      <c r="K123" s="1399"/>
      <c r="L123" s="1400"/>
      <c r="M123" s="1412"/>
    </row>
    <row r="124" spans="1:13" ht="19.5" customHeight="1">
      <c r="A124" s="1260" t="s">
        <v>159</v>
      </c>
      <c r="B124" s="1257"/>
      <c r="C124" s="1261" t="s">
        <v>41</v>
      </c>
      <c r="D124" s="1390">
        <f>'하천기본계획(기준소요인력)'!$L$89</f>
        <v>0.2</v>
      </c>
      <c r="E124" s="1399">
        <f t="shared" si="28"/>
        <v>235459</v>
      </c>
      <c r="F124" s="1400">
        <f t="shared" si="28"/>
        <v>47091</v>
      </c>
      <c r="G124" s="1399">
        <f>'산근3 노임'!$B$9</f>
        <v>235459</v>
      </c>
      <c r="H124" s="1400">
        <f t="shared" si="29"/>
        <v>47091</v>
      </c>
      <c r="I124" s="1399"/>
      <c r="J124" s="1400"/>
      <c r="K124" s="1399"/>
      <c r="L124" s="1400"/>
      <c r="M124" s="1412"/>
    </row>
    <row r="125" spans="1:13" ht="19.5" customHeight="1">
      <c r="A125" s="1262" t="s">
        <v>235</v>
      </c>
      <c r="B125" s="1257"/>
      <c r="C125" s="1261"/>
      <c r="D125" s="1390"/>
      <c r="E125" s="1399"/>
      <c r="F125" s="1400">
        <f>SUM(H125,J125,L125)</f>
        <v>342467</v>
      </c>
      <c r="G125" s="1399"/>
      <c r="H125" s="1400">
        <f>SUM(H120:H124)</f>
        <v>342467</v>
      </c>
      <c r="I125" s="1399"/>
      <c r="J125" s="1400"/>
      <c r="K125" s="1399"/>
      <c r="L125" s="1400"/>
      <c r="M125" s="1412"/>
    </row>
    <row r="126" spans="1:13" ht="19.5" customHeight="1">
      <c r="A126" s="1263">
        <f>$O$2</f>
        <v>1</v>
      </c>
      <c r="B126" s="1257"/>
      <c r="C126" s="1261"/>
      <c r="D126" s="1390"/>
      <c r="E126" s="1399"/>
      <c r="F126" s="1400">
        <f>INT($A126*F125)</f>
        <v>342467</v>
      </c>
      <c r="G126" s="1399"/>
      <c r="H126" s="1400">
        <f>INT($A126*H125)</f>
        <v>342467</v>
      </c>
      <c r="I126" s="1399"/>
      <c r="J126" s="1400"/>
      <c r="K126" s="1399"/>
      <c r="L126" s="1400"/>
      <c r="M126" s="1412"/>
    </row>
    <row r="127" spans="1:13" ht="19.5" customHeight="1">
      <c r="A127" s="1264"/>
      <c r="B127" s="1265"/>
      <c r="C127" s="1266"/>
      <c r="D127" s="1423"/>
      <c r="E127" s="1424"/>
      <c r="F127" s="1407"/>
      <c r="G127" s="1424"/>
      <c r="H127" s="1407"/>
      <c r="I127" s="1424"/>
      <c r="J127" s="1407"/>
      <c r="K127" s="1424"/>
      <c r="L127" s="1407"/>
      <c r="M127" s="1425"/>
    </row>
    <row r="128" spans="1:13" ht="19.5" customHeight="1">
      <c r="A128" s="1267" t="s">
        <v>1188</v>
      </c>
      <c r="B128" s="1253"/>
      <c r="C128" s="1268"/>
      <c r="D128" s="1426"/>
      <c r="E128" s="1427"/>
      <c r="F128" s="1428"/>
      <c r="G128" s="1427"/>
      <c r="H128" s="1428"/>
      <c r="I128" s="1427"/>
      <c r="J128" s="1428"/>
      <c r="K128" s="1427"/>
      <c r="L128" s="1428"/>
      <c r="M128" s="1429"/>
    </row>
    <row r="129" spans="1:13" ht="19.5" customHeight="1">
      <c r="A129" s="1260" t="s">
        <v>534</v>
      </c>
      <c r="B129" s="1257"/>
      <c r="C129" s="1261" t="s">
        <v>41</v>
      </c>
      <c r="D129" s="1390">
        <f>'하천기본계획(기준소요인력)'!$H$90</f>
        <v>0.4</v>
      </c>
      <c r="E129" s="1399">
        <f t="shared" ref="E129:F133" si="30">SUM(G129,I129,K129)</f>
        <v>467217</v>
      </c>
      <c r="F129" s="1400">
        <f t="shared" si="30"/>
        <v>186886</v>
      </c>
      <c r="G129" s="1399">
        <f>'산근3 노임'!$B$5</f>
        <v>467217</v>
      </c>
      <c r="H129" s="1400">
        <f t="shared" ref="H129:H133" si="31">TRUNC(D129*G129,0)</f>
        <v>186886</v>
      </c>
      <c r="I129" s="1399"/>
      <c r="J129" s="1400"/>
      <c r="K129" s="1399"/>
      <c r="L129" s="1400"/>
      <c r="M129" s="1412"/>
    </row>
    <row r="130" spans="1:13" ht="19.5" customHeight="1">
      <c r="A130" s="1260" t="s">
        <v>140</v>
      </c>
      <c r="B130" s="1257"/>
      <c r="C130" s="1261" t="s">
        <v>41</v>
      </c>
      <c r="D130" s="1390">
        <f>'하천기본계획(기준소요인력)'!$I$90</f>
        <v>0.6</v>
      </c>
      <c r="E130" s="1399">
        <f t="shared" si="30"/>
        <v>373353</v>
      </c>
      <c r="F130" s="1400">
        <f t="shared" si="30"/>
        <v>224011</v>
      </c>
      <c r="G130" s="1399">
        <f>'산근3 노임'!$B$6</f>
        <v>373353</v>
      </c>
      <c r="H130" s="1400">
        <f t="shared" si="31"/>
        <v>224011</v>
      </c>
      <c r="I130" s="1399"/>
      <c r="J130" s="1400"/>
      <c r="K130" s="1399"/>
      <c r="L130" s="1400"/>
      <c r="M130" s="1412"/>
    </row>
    <row r="131" spans="1:13" ht="19.5" customHeight="1">
      <c r="A131" s="1260" t="s">
        <v>145</v>
      </c>
      <c r="B131" s="1257"/>
      <c r="C131" s="1261" t="s">
        <v>41</v>
      </c>
      <c r="D131" s="1390">
        <f>'하천기본계획(기준소요인력)'!$J$90</f>
        <v>1</v>
      </c>
      <c r="E131" s="1399">
        <f t="shared" si="30"/>
        <v>310884</v>
      </c>
      <c r="F131" s="1400">
        <f t="shared" si="30"/>
        <v>310884</v>
      </c>
      <c r="G131" s="1399">
        <f>'산근3 노임'!$B$7</f>
        <v>310884</v>
      </c>
      <c r="H131" s="1400">
        <f t="shared" si="31"/>
        <v>310884</v>
      </c>
      <c r="I131" s="1399"/>
      <c r="J131" s="1400"/>
      <c r="K131" s="1399"/>
      <c r="L131" s="1400"/>
      <c r="M131" s="1412"/>
    </row>
    <row r="132" spans="1:13" ht="19.5" customHeight="1">
      <c r="A132" s="1260" t="s">
        <v>161</v>
      </c>
      <c r="B132" s="1257"/>
      <c r="C132" s="1261" t="s">
        <v>41</v>
      </c>
      <c r="D132" s="1390">
        <f>'하천기본계획(기준소요인력)'!$K$90</f>
        <v>1</v>
      </c>
      <c r="E132" s="1399">
        <f t="shared" si="30"/>
        <v>295138</v>
      </c>
      <c r="F132" s="1400">
        <f t="shared" si="30"/>
        <v>295138</v>
      </c>
      <c r="G132" s="1399">
        <f>'산근3 노임'!$B$8</f>
        <v>295138</v>
      </c>
      <c r="H132" s="1400">
        <f t="shared" si="31"/>
        <v>295138</v>
      </c>
      <c r="I132" s="1399"/>
      <c r="J132" s="1400"/>
      <c r="K132" s="1399"/>
      <c r="L132" s="1400"/>
      <c r="M132" s="1412"/>
    </row>
    <row r="133" spans="1:13" ht="19.5" customHeight="1">
      <c r="A133" s="1260" t="s">
        <v>159</v>
      </c>
      <c r="B133" s="1257"/>
      <c r="C133" s="1261" t="s">
        <v>41</v>
      </c>
      <c r="D133" s="1390">
        <f>'하천기본계획(기준소요인력)'!$L$90</f>
        <v>1</v>
      </c>
      <c r="E133" s="1399">
        <f t="shared" si="30"/>
        <v>235459</v>
      </c>
      <c r="F133" s="1400">
        <f t="shared" si="30"/>
        <v>235459</v>
      </c>
      <c r="G133" s="1399">
        <f>'산근3 노임'!$B$9</f>
        <v>235459</v>
      </c>
      <c r="H133" s="1400">
        <f t="shared" si="31"/>
        <v>235459</v>
      </c>
      <c r="I133" s="1399"/>
      <c r="J133" s="1400"/>
      <c r="K133" s="1399"/>
      <c r="L133" s="1400"/>
      <c r="M133" s="1412"/>
    </row>
    <row r="134" spans="1:13" ht="19.5" customHeight="1">
      <c r="A134" s="1262" t="s">
        <v>235</v>
      </c>
      <c r="B134" s="1257"/>
      <c r="C134" s="1261"/>
      <c r="D134" s="1390"/>
      <c r="E134" s="1399"/>
      <c r="F134" s="1400">
        <f>SUM(H134,J134,L134)</f>
        <v>1252378</v>
      </c>
      <c r="G134" s="1399"/>
      <c r="H134" s="1400">
        <f>SUM(H129:H133)</f>
        <v>1252378</v>
      </c>
      <c r="I134" s="1399"/>
      <c r="J134" s="1400"/>
      <c r="K134" s="1399"/>
      <c r="L134" s="1400"/>
      <c r="M134" s="1412"/>
    </row>
    <row r="135" spans="1:13" ht="19.5" customHeight="1">
      <c r="A135" s="1263">
        <f>$O$2</f>
        <v>1</v>
      </c>
      <c r="B135" s="1257"/>
      <c r="C135" s="1261"/>
      <c r="D135" s="1390"/>
      <c r="E135" s="1399"/>
      <c r="F135" s="1400">
        <f>INT($A135*F134)</f>
        <v>1252378</v>
      </c>
      <c r="G135" s="1399"/>
      <c r="H135" s="1400">
        <f>INT($A135*H134)</f>
        <v>1252378</v>
      </c>
      <c r="I135" s="1399"/>
      <c r="J135" s="1400"/>
      <c r="K135" s="1399"/>
      <c r="L135" s="1400"/>
      <c r="M135" s="1412"/>
    </row>
    <row r="136" spans="1:13" ht="19.5" customHeight="1">
      <c r="A136" s="1256" t="s">
        <v>1189</v>
      </c>
      <c r="B136" s="1257"/>
      <c r="C136" s="1261"/>
      <c r="D136" s="1390"/>
      <c r="E136" s="1399"/>
      <c r="F136" s="1400"/>
      <c r="G136" s="1399"/>
      <c r="H136" s="1400"/>
      <c r="I136" s="1399"/>
      <c r="J136" s="1400"/>
      <c r="K136" s="1399"/>
      <c r="L136" s="1400"/>
      <c r="M136" s="1412"/>
    </row>
    <row r="137" spans="1:13" ht="19.5" customHeight="1">
      <c r="A137" s="1260" t="s">
        <v>534</v>
      </c>
      <c r="B137" s="1257"/>
      <c r="C137" s="1261" t="s">
        <v>41</v>
      </c>
      <c r="D137" s="1390">
        <f>'하천기본계획(기준소요인력)'!$H$91</f>
        <v>0.1</v>
      </c>
      <c r="E137" s="1399">
        <f t="shared" ref="E137:F141" si="32">SUM(G137,I137,K137)</f>
        <v>467217</v>
      </c>
      <c r="F137" s="1400">
        <f t="shared" si="32"/>
        <v>46721</v>
      </c>
      <c r="G137" s="1399">
        <f>'산근3 노임'!$B$5</f>
        <v>467217</v>
      </c>
      <c r="H137" s="1400">
        <f t="shared" ref="H137:H141" si="33">TRUNC(D137*G137,0)</f>
        <v>46721</v>
      </c>
      <c r="I137" s="1399"/>
      <c r="J137" s="1400"/>
      <c r="K137" s="1399"/>
      <c r="L137" s="1400"/>
      <c r="M137" s="1412"/>
    </row>
    <row r="138" spans="1:13" ht="19.5" customHeight="1">
      <c r="A138" s="1260" t="s">
        <v>140</v>
      </c>
      <c r="B138" s="1257"/>
      <c r="C138" s="1261" t="s">
        <v>41</v>
      </c>
      <c r="D138" s="1390">
        <f>'하천기본계획(기준소요인력)'!$I$91</f>
        <v>0.1</v>
      </c>
      <c r="E138" s="1399">
        <f t="shared" si="32"/>
        <v>373353</v>
      </c>
      <c r="F138" s="1400">
        <f t="shared" si="32"/>
        <v>37335</v>
      </c>
      <c r="G138" s="1399">
        <f>'산근3 노임'!$B$6</f>
        <v>373353</v>
      </c>
      <c r="H138" s="1400">
        <f t="shared" si="33"/>
        <v>37335</v>
      </c>
      <c r="I138" s="1399"/>
      <c r="J138" s="1400"/>
      <c r="K138" s="1399"/>
      <c r="L138" s="1400"/>
      <c r="M138" s="1412"/>
    </row>
    <row r="139" spans="1:13" ht="19.5" customHeight="1">
      <c r="A139" s="1260" t="s">
        <v>145</v>
      </c>
      <c r="B139" s="1257"/>
      <c r="C139" s="1261" t="s">
        <v>41</v>
      </c>
      <c r="D139" s="1390">
        <f>'하천기본계획(기준소요인력)'!$J$91</f>
        <v>0.4</v>
      </c>
      <c r="E139" s="1399">
        <f t="shared" si="32"/>
        <v>310884</v>
      </c>
      <c r="F139" s="1400">
        <f t="shared" si="32"/>
        <v>124353</v>
      </c>
      <c r="G139" s="1399">
        <f>'산근3 노임'!$B$7</f>
        <v>310884</v>
      </c>
      <c r="H139" s="1400">
        <f t="shared" si="33"/>
        <v>124353</v>
      </c>
      <c r="I139" s="1399"/>
      <c r="J139" s="1400"/>
      <c r="K139" s="1399"/>
      <c r="L139" s="1400"/>
      <c r="M139" s="1412"/>
    </row>
    <row r="140" spans="1:13" ht="19.5" customHeight="1">
      <c r="A140" s="1260" t="s">
        <v>161</v>
      </c>
      <c r="B140" s="1257"/>
      <c r="C140" s="1261" t="s">
        <v>41</v>
      </c>
      <c r="D140" s="1390">
        <f>'하천기본계획(기준소요인력)'!$K$91</f>
        <v>0.2</v>
      </c>
      <c r="E140" s="1399">
        <f t="shared" si="32"/>
        <v>295138</v>
      </c>
      <c r="F140" s="1400">
        <f t="shared" si="32"/>
        <v>59027</v>
      </c>
      <c r="G140" s="1399">
        <f>'산근3 노임'!$B$8</f>
        <v>295138</v>
      </c>
      <c r="H140" s="1400">
        <f t="shared" si="33"/>
        <v>59027</v>
      </c>
      <c r="I140" s="1399"/>
      <c r="J140" s="1400"/>
      <c r="K140" s="1399"/>
      <c r="L140" s="1400"/>
      <c r="M140" s="1412"/>
    </row>
    <row r="141" spans="1:13" ht="19.5" customHeight="1">
      <c r="A141" s="1260" t="s">
        <v>159</v>
      </c>
      <c r="B141" s="1257"/>
      <c r="C141" s="1261" t="s">
        <v>41</v>
      </c>
      <c r="D141" s="1390">
        <f>'하천기본계획(기준소요인력)'!$L$91</f>
        <v>0.2</v>
      </c>
      <c r="E141" s="1399">
        <f t="shared" si="32"/>
        <v>235459</v>
      </c>
      <c r="F141" s="1400">
        <f t="shared" si="32"/>
        <v>47091</v>
      </c>
      <c r="G141" s="1399">
        <f>'산근3 노임'!$B$9</f>
        <v>235459</v>
      </c>
      <c r="H141" s="1400">
        <f t="shared" si="33"/>
        <v>47091</v>
      </c>
      <c r="I141" s="1399"/>
      <c r="J141" s="1400"/>
      <c r="K141" s="1399"/>
      <c r="L141" s="1400"/>
      <c r="M141" s="1412"/>
    </row>
    <row r="142" spans="1:13" ht="19.5" customHeight="1">
      <c r="A142" s="1262" t="s">
        <v>235</v>
      </c>
      <c r="B142" s="1257"/>
      <c r="C142" s="1261"/>
      <c r="D142" s="1390"/>
      <c r="E142" s="1399"/>
      <c r="F142" s="1400">
        <f>SUM(H142,J142,L142)</f>
        <v>314527</v>
      </c>
      <c r="G142" s="1399"/>
      <c r="H142" s="1400">
        <f>SUM(H137:H141)</f>
        <v>314527</v>
      </c>
      <c r="I142" s="1399"/>
      <c r="J142" s="1400"/>
      <c r="K142" s="1399"/>
      <c r="L142" s="1400"/>
      <c r="M142" s="1412"/>
    </row>
    <row r="143" spans="1:13" ht="19.5" customHeight="1">
      <c r="A143" s="1263">
        <f>$O$2</f>
        <v>1</v>
      </c>
      <c r="B143" s="1257"/>
      <c r="C143" s="1261"/>
      <c r="D143" s="1390"/>
      <c r="E143" s="1399"/>
      <c r="F143" s="1400">
        <f>INT($A143*F142)</f>
        <v>314527</v>
      </c>
      <c r="G143" s="1399"/>
      <c r="H143" s="1400">
        <f>INT($A143*H142)</f>
        <v>314527</v>
      </c>
      <c r="I143" s="1399"/>
      <c r="J143" s="1400"/>
      <c r="K143" s="1399"/>
      <c r="L143" s="1400"/>
      <c r="M143" s="1412"/>
    </row>
    <row r="144" spans="1:13" ht="19.5" customHeight="1">
      <c r="A144" s="1256" t="s">
        <v>1190</v>
      </c>
      <c r="B144" s="1257"/>
      <c r="C144" s="1261"/>
      <c r="D144" s="1390"/>
      <c r="E144" s="1399"/>
      <c r="F144" s="1400"/>
      <c r="G144" s="1399"/>
      <c r="H144" s="1400"/>
      <c r="I144" s="1399"/>
      <c r="J144" s="1400"/>
      <c r="K144" s="1399"/>
      <c r="L144" s="1400"/>
      <c r="M144" s="1412"/>
    </row>
    <row r="145" spans="1:13" ht="19.5" customHeight="1">
      <c r="A145" s="1260" t="s">
        <v>534</v>
      </c>
      <c r="B145" s="1257"/>
      <c r="C145" s="1261" t="s">
        <v>41</v>
      </c>
      <c r="D145" s="1390">
        <f>'하천기본계획(기준소요인력)'!$H$93</f>
        <v>1.4</v>
      </c>
      <c r="E145" s="1399">
        <f t="shared" ref="E145:F149" si="34">SUM(G145,I145,K145)</f>
        <v>467217</v>
      </c>
      <c r="F145" s="1400">
        <f t="shared" si="34"/>
        <v>654103</v>
      </c>
      <c r="G145" s="1399">
        <f>'산근3 노임'!$B$5</f>
        <v>467217</v>
      </c>
      <c r="H145" s="1400">
        <f t="shared" ref="H145:H149" si="35">TRUNC(D145*G145,0)</f>
        <v>654103</v>
      </c>
      <c r="I145" s="1399"/>
      <c r="J145" s="1400"/>
      <c r="K145" s="1399"/>
      <c r="L145" s="1400"/>
      <c r="M145" s="1412"/>
    </row>
    <row r="146" spans="1:13" ht="19.5" customHeight="1">
      <c r="A146" s="1260" t="s">
        <v>140</v>
      </c>
      <c r="B146" s="1257"/>
      <c r="C146" s="1261" t="s">
        <v>41</v>
      </c>
      <c r="D146" s="1390">
        <f>'하천기본계획(기준소요인력)'!$I$93</f>
        <v>2</v>
      </c>
      <c r="E146" s="1399">
        <f t="shared" si="34"/>
        <v>373353</v>
      </c>
      <c r="F146" s="1400">
        <f t="shared" si="34"/>
        <v>746706</v>
      </c>
      <c r="G146" s="1399">
        <f>'산근3 노임'!$B$6</f>
        <v>373353</v>
      </c>
      <c r="H146" s="1400">
        <f t="shared" si="35"/>
        <v>746706</v>
      </c>
      <c r="I146" s="1399"/>
      <c r="J146" s="1400"/>
      <c r="K146" s="1399"/>
      <c r="L146" s="1400"/>
      <c r="M146" s="1412"/>
    </row>
    <row r="147" spans="1:13" ht="19.5" customHeight="1">
      <c r="A147" s="1260" t="s">
        <v>145</v>
      </c>
      <c r="B147" s="1257"/>
      <c r="C147" s="1261" t="s">
        <v>41</v>
      </c>
      <c r="D147" s="1390">
        <f>'하천기본계획(기준소요인력)'!$J$93</f>
        <v>3.5</v>
      </c>
      <c r="E147" s="1399">
        <f t="shared" si="34"/>
        <v>310884</v>
      </c>
      <c r="F147" s="1400">
        <f t="shared" si="34"/>
        <v>1088094</v>
      </c>
      <c r="G147" s="1399">
        <f>'산근3 노임'!$B$7</f>
        <v>310884</v>
      </c>
      <c r="H147" s="1400">
        <f t="shared" si="35"/>
        <v>1088094</v>
      </c>
      <c r="I147" s="1399"/>
      <c r="J147" s="1400"/>
      <c r="K147" s="1399"/>
      <c r="L147" s="1400"/>
      <c r="M147" s="1412"/>
    </row>
    <row r="148" spans="1:13" ht="19.5" customHeight="1">
      <c r="A148" s="1260" t="s">
        <v>161</v>
      </c>
      <c r="B148" s="1257"/>
      <c r="C148" s="1261" t="s">
        <v>41</v>
      </c>
      <c r="D148" s="1390">
        <f>'하천기본계획(기준소요인력)'!$K$93</f>
        <v>4.9000000000000004</v>
      </c>
      <c r="E148" s="1399">
        <f t="shared" si="34"/>
        <v>295138</v>
      </c>
      <c r="F148" s="1400">
        <f t="shared" si="34"/>
        <v>1446176</v>
      </c>
      <c r="G148" s="1399">
        <f>'산근3 노임'!$B$8</f>
        <v>295138</v>
      </c>
      <c r="H148" s="1400">
        <f t="shared" si="35"/>
        <v>1446176</v>
      </c>
      <c r="I148" s="1399"/>
      <c r="J148" s="1400"/>
      <c r="K148" s="1399"/>
      <c r="L148" s="1400"/>
      <c r="M148" s="1412"/>
    </row>
    <row r="149" spans="1:13" ht="19.5" customHeight="1">
      <c r="A149" s="1260" t="s">
        <v>159</v>
      </c>
      <c r="B149" s="1257"/>
      <c r="C149" s="1261" t="s">
        <v>41</v>
      </c>
      <c r="D149" s="1390">
        <f>'하천기본계획(기준소요인력)'!$L$93</f>
        <v>4.4000000000000004</v>
      </c>
      <c r="E149" s="1399">
        <f t="shared" si="34"/>
        <v>235459</v>
      </c>
      <c r="F149" s="1400">
        <f t="shared" si="34"/>
        <v>1036019</v>
      </c>
      <c r="G149" s="1399">
        <f>'산근3 노임'!$B$9</f>
        <v>235459</v>
      </c>
      <c r="H149" s="1400">
        <f t="shared" si="35"/>
        <v>1036019</v>
      </c>
      <c r="I149" s="1399"/>
      <c r="J149" s="1400"/>
      <c r="K149" s="1399"/>
      <c r="L149" s="1400"/>
      <c r="M149" s="1412"/>
    </row>
    <row r="150" spans="1:13" ht="19.5" customHeight="1">
      <c r="A150" s="1262" t="s">
        <v>235</v>
      </c>
      <c r="B150" s="1257"/>
      <c r="C150" s="1261"/>
      <c r="D150" s="1390"/>
      <c r="E150" s="1399"/>
      <c r="F150" s="1400">
        <f>SUM(H150,J150,L150)</f>
        <v>4971098</v>
      </c>
      <c r="G150" s="1399"/>
      <c r="H150" s="1400">
        <f>SUM(H145:H149)</f>
        <v>4971098</v>
      </c>
      <c r="I150" s="1399"/>
      <c r="J150" s="1400"/>
      <c r="K150" s="1399"/>
      <c r="L150" s="1400"/>
      <c r="M150" s="1412"/>
    </row>
    <row r="151" spans="1:13" ht="19.5" customHeight="1">
      <c r="A151" s="1263">
        <f>$O$2</f>
        <v>1</v>
      </c>
      <c r="B151" s="1257"/>
      <c r="C151" s="1261"/>
      <c r="D151" s="1390"/>
      <c r="E151" s="1399"/>
      <c r="F151" s="1400">
        <f>INT($A151*F150)</f>
        <v>4971098</v>
      </c>
      <c r="G151" s="1399"/>
      <c r="H151" s="1400">
        <f>INT($A151*H150)</f>
        <v>4971098</v>
      </c>
      <c r="I151" s="1399"/>
      <c r="J151" s="1400"/>
      <c r="K151" s="1399"/>
      <c r="L151" s="1400"/>
      <c r="M151" s="1412"/>
    </row>
    <row r="152" spans="1:13" ht="19.5" customHeight="1">
      <c r="A152" s="1264"/>
      <c r="B152" s="1265"/>
      <c r="C152" s="1266"/>
      <c r="D152" s="1423"/>
      <c r="E152" s="1424"/>
      <c r="F152" s="1407"/>
      <c r="G152" s="1424"/>
      <c r="H152" s="1407"/>
      <c r="I152" s="1424"/>
      <c r="J152" s="1407"/>
      <c r="K152" s="1424"/>
      <c r="L152" s="1407"/>
      <c r="M152" s="1425"/>
    </row>
    <row r="153" spans="1:13" ht="19.5" customHeight="1">
      <c r="A153" s="1267" t="s">
        <v>1191</v>
      </c>
      <c r="B153" s="1253"/>
      <c r="C153" s="1268"/>
      <c r="D153" s="1426"/>
      <c r="E153" s="1427"/>
      <c r="F153" s="1428"/>
      <c r="G153" s="1427"/>
      <c r="H153" s="1428"/>
      <c r="I153" s="1427"/>
      <c r="J153" s="1428"/>
      <c r="K153" s="1427"/>
      <c r="L153" s="1428"/>
      <c r="M153" s="1429"/>
    </row>
    <row r="154" spans="1:13" ht="19.5" customHeight="1">
      <c r="A154" s="1260" t="s">
        <v>534</v>
      </c>
      <c r="B154" s="1257"/>
      <c r="C154" s="1261" t="s">
        <v>41</v>
      </c>
      <c r="D154" s="1390">
        <f>'하천기본계획(기준소요인력)'!$H$94</f>
        <v>1.3</v>
      </c>
      <c r="E154" s="1399">
        <f t="shared" ref="E154:F158" si="36">SUM(G154,I154,K154)</f>
        <v>467217</v>
      </c>
      <c r="F154" s="1400">
        <f t="shared" si="36"/>
        <v>607382</v>
      </c>
      <c r="G154" s="1399">
        <f>'산근3 노임'!$B$5</f>
        <v>467217</v>
      </c>
      <c r="H154" s="1400">
        <f t="shared" ref="H154:H158" si="37">TRUNC(D154*G154,0)</f>
        <v>607382</v>
      </c>
      <c r="I154" s="1399"/>
      <c r="J154" s="1400"/>
      <c r="K154" s="1399"/>
      <c r="L154" s="1400"/>
      <c r="M154" s="1412"/>
    </row>
    <row r="155" spans="1:13" ht="19.5" customHeight="1">
      <c r="A155" s="1260" t="s">
        <v>140</v>
      </c>
      <c r="B155" s="1257"/>
      <c r="C155" s="1261" t="s">
        <v>41</v>
      </c>
      <c r="D155" s="1390">
        <f>'하천기본계획(기준소요인력)'!$I$94</f>
        <v>2.6</v>
      </c>
      <c r="E155" s="1399">
        <f t="shared" si="36"/>
        <v>373353</v>
      </c>
      <c r="F155" s="1400">
        <f t="shared" si="36"/>
        <v>970717</v>
      </c>
      <c r="G155" s="1399">
        <f>'산근3 노임'!$B$6</f>
        <v>373353</v>
      </c>
      <c r="H155" s="1400">
        <f t="shared" si="37"/>
        <v>970717</v>
      </c>
      <c r="I155" s="1399"/>
      <c r="J155" s="1400"/>
      <c r="K155" s="1399"/>
      <c r="L155" s="1400"/>
      <c r="M155" s="1412"/>
    </row>
    <row r="156" spans="1:13" ht="19.5" customHeight="1">
      <c r="A156" s="1260" t="s">
        <v>145</v>
      </c>
      <c r="B156" s="1257"/>
      <c r="C156" s="1261" t="s">
        <v>41</v>
      </c>
      <c r="D156" s="1390">
        <f>'하천기본계획(기준소요인력)'!$J$94</f>
        <v>4.0999999999999996</v>
      </c>
      <c r="E156" s="1399">
        <f t="shared" si="36"/>
        <v>310884</v>
      </c>
      <c r="F156" s="1400">
        <f t="shared" si="36"/>
        <v>1274624</v>
      </c>
      <c r="G156" s="1399">
        <f>'산근3 노임'!$B$7</f>
        <v>310884</v>
      </c>
      <c r="H156" s="1400">
        <f t="shared" si="37"/>
        <v>1274624</v>
      </c>
      <c r="I156" s="1399"/>
      <c r="J156" s="1400"/>
      <c r="K156" s="1399"/>
      <c r="L156" s="1400"/>
      <c r="M156" s="1412"/>
    </row>
    <row r="157" spans="1:13" ht="19.5" customHeight="1">
      <c r="A157" s="1260" t="s">
        <v>161</v>
      </c>
      <c r="B157" s="1257"/>
      <c r="C157" s="1261" t="s">
        <v>41</v>
      </c>
      <c r="D157" s="1390">
        <f>'하천기본계획(기준소요인력)'!$K$94</f>
        <v>4.0999999999999996</v>
      </c>
      <c r="E157" s="1399">
        <f t="shared" si="36"/>
        <v>295138</v>
      </c>
      <c r="F157" s="1400">
        <f t="shared" si="36"/>
        <v>1210065</v>
      </c>
      <c r="G157" s="1399">
        <f>'산근3 노임'!$B$8</f>
        <v>295138</v>
      </c>
      <c r="H157" s="1400">
        <f t="shared" si="37"/>
        <v>1210065</v>
      </c>
      <c r="I157" s="1399"/>
      <c r="J157" s="1400"/>
      <c r="K157" s="1399"/>
      <c r="L157" s="1400"/>
      <c r="M157" s="1412"/>
    </row>
    <row r="158" spans="1:13" ht="19.5" customHeight="1">
      <c r="A158" s="1260" t="s">
        <v>159</v>
      </c>
      <c r="B158" s="1257"/>
      <c r="C158" s="1261" t="s">
        <v>41</v>
      </c>
      <c r="D158" s="1390">
        <f>'하천기본계획(기준소요인력)'!$L$94</f>
        <v>3.3</v>
      </c>
      <c r="E158" s="1399">
        <f t="shared" si="36"/>
        <v>235459</v>
      </c>
      <c r="F158" s="1400">
        <f t="shared" si="36"/>
        <v>777014</v>
      </c>
      <c r="G158" s="1399">
        <f>'산근3 노임'!$B$9</f>
        <v>235459</v>
      </c>
      <c r="H158" s="1400">
        <f t="shared" si="37"/>
        <v>777014</v>
      </c>
      <c r="I158" s="1399"/>
      <c r="J158" s="1400"/>
      <c r="K158" s="1399"/>
      <c r="L158" s="1400"/>
      <c r="M158" s="1412"/>
    </row>
    <row r="159" spans="1:13" ht="19.5" customHeight="1">
      <c r="A159" s="1262" t="s">
        <v>235</v>
      </c>
      <c r="B159" s="1257"/>
      <c r="C159" s="1261"/>
      <c r="D159" s="1390"/>
      <c r="E159" s="1399"/>
      <c r="F159" s="1400">
        <f>SUM(H159,J159,L159)</f>
        <v>4839802</v>
      </c>
      <c r="G159" s="1399"/>
      <c r="H159" s="1400">
        <f>SUM(H154:H158)</f>
        <v>4839802</v>
      </c>
      <c r="I159" s="1399"/>
      <c r="J159" s="1400"/>
      <c r="K159" s="1399"/>
      <c r="L159" s="1400"/>
      <c r="M159" s="1412"/>
    </row>
    <row r="160" spans="1:13" ht="19.5" customHeight="1">
      <c r="A160" s="1263">
        <f>$O$2</f>
        <v>1</v>
      </c>
      <c r="B160" s="1257"/>
      <c r="C160" s="1261"/>
      <c r="D160" s="1390"/>
      <c r="E160" s="1399"/>
      <c r="F160" s="1400">
        <f>INT($A160*F159)</f>
        <v>4839802</v>
      </c>
      <c r="G160" s="1399"/>
      <c r="H160" s="1400">
        <f>INT($A160*H159)</f>
        <v>4839802</v>
      </c>
      <c r="I160" s="1399"/>
      <c r="J160" s="1400"/>
      <c r="K160" s="1399"/>
      <c r="L160" s="1400"/>
      <c r="M160" s="1412"/>
    </row>
    <row r="161" spans="1:13" ht="19.5" customHeight="1">
      <c r="A161" s="1256" t="s">
        <v>1192</v>
      </c>
      <c r="B161" s="1257"/>
      <c r="C161" s="1261"/>
      <c r="D161" s="1390"/>
      <c r="E161" s="1399"/>
      <c r="F161" s="1400"/>
      <c r="G161" s="1399"/>
      <c r="H161" s="1400"/>
      <c r="I161" s="1399"/>
      <c r="J161" s="1400"/>
      <c r="K161" s="1399"/>
      <c r="L161" s="1400"/>
      <c r="M161" s="1412"/>
    </row>
    <row r="162" spans="1:13" ht="19.5" customHeight="1">
      <c r="A162" s="1260" t="s">
        <v>534</v>
      </c>
      <c r="B162" s="1257"/>
      <c r="C162" s="1261" t="s">
        <v>41</v>
      </c>
      <c r="D162" s="1390">
        <f>'하천기본계획(기준소요인력)'!$H$95</f>
        <v>1.3</v>
      </c>
      <c r="E162" s="1399">
        <f t="shared" ref="E162:F166" si="38">SUM(G162,I162,K162)</f>
        <v>467217</v>
      </c>
      <c r="F162" s="1400">
        <f t="shared" si="38"/>
        <v>607382</v>
      </c>
      <c r="G162" s="1399">
        <f>'산근3 노임'!$B$5</f>
        <v>467217</v>
      </c>
      <c r="H162" s="1400">
        <f t="shared" ref="H162:H166" si="39">TRUNC(D162*G162,0)</f>
        <v>607382</v>
      </c>
      <c r="I162" s="1399"/>
      <c r="J162" s="1400"/>
      <c r="K162" s="1399"/>
      <c r="L162" s="1400"/>
      <c r="M162" s="1412"/>
    </row>
    <row r="163" spans="1:13" ht="19.5" customHeight="1">
      <c r="A163" s="1260" t="s">
        <v>140</v>
      </c>
      <c r="B163" s="1257"/>
      <c r="C163" s="1261" t="s">
        <v>41</v>
      </c>
      <c r="D163" s="1390">
        <f>'하천기본계획(기준소요인력)'!$I$95</f>
        <v>2.4</v>
      </c>
      <c r="E163" s="1399">
        <f t="shared" si="38"/>
        <v>373353</v>
      </c>
      <c r="F163" s="1400">
        <f t="shared" si="38"/>
        <v>896047</v>
      </c>
      <c r="G163" s="1399">
        <f>'산근3 노임'!$B$6</f>
        <v>373353</v>
      </c>
      <c r="H163" s="1400">
        <f t="shared" si="39"/>
        <v>896047</v>
      </c>
      <c r="I163" s="1399"/>
      <c r="J163" s="1400"/>
      <c r="K163" s="1399"/>
      <c r="L163" s="1400"/>
      <c r="M163" s="1412"/>
    </row>
    <row r="164" spans="1:13" ht="19.5" customHeight="1">
      <c r="A164" s="1260" t="s">
        <v>145</v>
      </c>
      <c r="B164" s="1257"/>
      <c r="C164" s="1261" t="s">
        <v>41</v>
      </c>
      <c r="D164" s="1390">
        <f>'하천기본계획(기준소요인력)'!$J$95</f>
        <v>3.6</v>
      </c>
      <c r="E164" s="1399">
        <f t="shared" si="38"/>
        <v>310884</v>
      </c>
      <c r="F164" s="1400">
        <f t="shared" si="38"/>
        <v>1119182</v>
      </c>
      <c r="G164" s="1399">
        <f>'산근3 노임'!$B$7</f>
        <v>310884</v>
      </c>
      <c r="H164" s="1400">
        <f t="shared" si="39"/>
        <v>1119182</v>
      </c>
      <c r="I164" s="1399"/>
      <c r="J164" s="1400"/>
      <c r="K164" s="1399"/>
      <c r="L164" s="1400"/>
      <c r="M164" s="1412"/>
    </row>
    <row r="165" spans="1:13" ht="19.5" customHeight="1">
      <c r="A165" s="1260" t="s">
        <v>161</v>
      </c>
      <c r="B165" s="1257"/>
      <c r="C165" s="1261" t="s">
        <v>41</v>
      </c>
      <c r="D165" s="1390">
        <f>'하천기본계획(기준소요인력)'!$K$95</f>
        <v>4</v>
      </c>
      <c r="E165" s="1399">
        <f t="shared" si="38"/>
        <v>295138</v>
      </c>
      <c r="F165" s="1400">
        <f t="shared" si="38"/>
        <v>1180552</v>
      </c>
      <c r="G165" s="1399">
        <f>'산근3 노임'!$B$8</f>
        <v>295138</v>
      </c>
      <c r="H165" s="1400">
        <f t="shared" si="39"/>
        <v>1180552</v>
      </c>
      <c r="I165" s="1399"/>
      <c r="J165" s="1400"/>
      <c r="K165" s="1399"/>
      <c r="L165" s="1400"/>
      <c r="M165" s="1412"/>
    </row>
    <row r="166" spans="1:13" ht="19.5" customHeight="1">
      <c r="A166" s="1260" t="s">
        <v>159</v>
      </c>
      <c r="B166" s="1257"/>
      <c r="C166" s="1261" t="s">
        <v>41</v>
      </c>
      <c r="D166" s="1390">
        <f>'하천기본계획(기준소요인력)'!$L$95</f>
        <v>3.6</v>
      </c>
      <c r="E166" s="1399">
        <f t="shared" si="38"/>
        <v>235459</v>
      </c>
      <c r="F166" s="1400">
        <f t="shared" si="38"/>
        <v>847652</v>
      </c>
      <c r="G166" s="1399">
        <f>'산근3 노임'!$B$9</f>
        <v>235459</v>
      </c>
      <c r="H166" s="1400">
        <f t="shared" si="39"/>
        <v>847652</v>
      </c>
      <c r="I166" s="1399"/>
      <c r="J166" s="1400"/>
      <c r="K166" s="1399"/>
      <c r="L166" s="1400"/>
      <c r="M166" s="1412"/>
    </row>
    <row r="167" spans="1:13" ht="19.5" customHeight="1">
      <c r="A167" s="1262" t="s">
        <v>235</v>
      </c>
      <c r="B167" s="1257"/>
      <c r="C167" s="1261"/>
      <c r="D167" s="1390"/>
      <c r="E167" s="1399"/>
      <c r="F167" s="1400">
        <f>SUM(H167,J167,L167)</f>
        <v>4650815</v>
      </c>
      <c r="G167" s="1399"/>
      <c r="H167" s="1400">
        <f>SUM(H162:H166)</f>
        <v>4650815</v>
      </c>
      <c r="I167" s="1399"/>
      <c r="J167" s="1400"/>
      <c r="K167" s="1399"/>
      <c r="L167" s="1400"/>
      <c r="M167" s="1412"/>
    </row>
    <row r="168" spans="1:13" ht="19.5" customHeight="1">
      <c r="A168" s="1263">
        <f>$O$2</f>
        <v>1</v>
      </c>
      <c r="B168" s="1257"/>
      <c r="C168" s="1261"/>
      <c r="D168" s="1390"/>
      <c r="E168" s="1399"/>
      <c r="F168" s="1400">
        <f>INT($A168*F167)</f>
        <v>4650815</v>
      </c>
      <c r="G168" s="1399"/>
      <c r="H168" s="1400">
        <f>INT($A168*H167)</f>
        <v>4650815</v>
      </c>
      <c r="I168" s="1399"/>
      <c r="J168" s="1400"/>
      <c r="K168" s="1399"/>
      <c r="L168" s="1400"/>
      <c r="M168" s="1412"/>
    </row>
    <row r="169" spans="1:13" ht="19.5" customHeight="1">
      <c r="A169" s="1256" t="s">
        <v>1193</v>
      </c>
      <c r="B169" s="1257"/>
      <c r="C169" s="1261"/>
      <c r="D169" s="1390"/>
      <c r="E169" s="1399"/>
      <c r="F169" s="1400"/>
      <c r="G169" s="1399"/>
      <c r="H169" s="1400"/>
      <c r="I169" s="1399"/>
      <c r="J169" s="1400"/>
      <c r="K169" s="1399"/>
      <c r="L169" s="1400"/>
      <c r="M169" s="1412"/>
    </row>
    <row r="170" spans="1:13" ht="19.5" customHeight="1">
      <c r="A170" s="1260" t="s">
        <v>534</v>
      </c>
      <c r="B170" s="1257"/>
      <c r="C170" s="1261" t="s">
        <v>41</v>
      </c>
      <c r="D170" s="1390">
        <f>'하천기본계획(기준소요인력)'!$H$96</f>
        <v>0.6</v>
      </c>
      <c r="E170" s="1399">
        <f t="shared" ref="E170:F174" si="40">SUM(G170,I170,K170)</f>
        <v>467217</v>
      </c>
      <c r="F170" s="1400">
        <f t="shared" si="40"/>
        <v>280330</v>
      </c>
      <c r="G170" s="1399">
        <f>'산근3 노임'!$B$5</f>
        <v>467217</v>
      </c>
      <c r="H170" s="1400">
        <f t="shared" ref="H170:H174" si="41">TRUNC(D170*G170,0)</f>
        <v>280330</v>
      </c>
      <c r="I170" s="1399"/>
      <c r="J170" s="1400"/>
      <c r="K170" s="1399"/>
      <c r="L170" s="1400"/>
      <c r="M170" s="1412"/>
    </row>
    <row r="171" spans="1:13" ht="19.5" customHeight="1">
      <c r="A171" s="1260" t="s">
        <v>140</v>
      </c>
      <c r="B171" s="1257"/>
      <c r="C171" s="1261" t="s">
        <v>41</v>
      </c>
      <c r="D171" s="1390">
        <f>'하천기본계획(기준소요인력)'!$I$96</f>
        <v>0.9</v>
      </c>
      <c r="E171" s="1399">
        <f t="shared" si="40"/>
        <v>373353</v>
      </c>
      <c r="F171" s="1400">
        <f t="shared" si="40"/>
        <v>336017</v>
      </c>
      <c r="G171" s="1399">
        <f>'산근3 노임'!$B$6</f>
        <v>373353</v>
      </c>
      <c r="H171" s="1400">
        <f t="shared" si="41"/>
        <v>336017</v>
      </c>
      <c r="I171" s="1399"/>
      <c r="J171" s="1400"/>
      <c r="K171" s="1399"/>
      <c r="L171" s="1400"/>
      <c r="M171" s="1412"/>
    </row>
    <row r="172" spans="1:13" ht="19.5" customHeight="1">
      <c r="A172" s="1260" t="s">
        <v>145</v>
      </c>
      <c r="B172" s="1257"/>
      <c r="C172" s="1261" t="s">
        <v>41</v>
      </c>
      <c r="D172" s="1390">
        <f>'하천기본계획(기준소요인력)'!$J$96</f>
        <v>1.9</v>
      </c>
      <c r="E172" s="1399">
        <f t="shared" si="40"/>
        <v>310884</v>
      </c>
      <c r="F172" s="1400">
        <f t="shared" si="40"/>
        <v>590679</v>
      </c>
      <c r="G172" s="1399">
        <f>'산근3 노임'!$B$7</f>
        <v>310884</v>
      </c>
      <c r="H172" s="1400">
        <f t="shared" si="41"/>
        <v>590679</v>
      </c>
      <c r="I172" s="1399"/>
      <c r="J172" s="1400"/>
      <c r="K172" s="1399"/>
      <c r="L172" s="1400"/>
      <c r="M172" s="1412"/>
    </row>
    <row r="173" spans="1:13" ht="19.5" customHeight="1">
      <c r="A173" s="1260" t="s">
        <v>161</v>
      </c>
      <c r="B173" s="1257"/>
      <c r="C173" s="1261" t="s">
        <v>41</v>
      </c>
      <c r="D173" s="1390">
        <f>'하천기본계획(기준소요인력)'!$K$96</f>
        <v>2.2999999999999998</v>
      </c>
      <c r="E173" s="1399">
        <f t="shared" si="40"/>
        <v>295138</v>
      </c>
      <c r="F173" s="1400">
        <f t="shared" si="40"/>
        <v>678817</v>
      </c>
      <c r="G173" s="1399">
        <f>'산근3 노임'!$B$8</f>
        <v>295138</v>
      </c>
      <c r="H173" s="1400">
        <f t="shared" si="41"/>
        <v>678817</v>
      </c>
      <c r="I173" s="1399"/>
      <c r="J173" s="1400"/>
      <c r="K173" s="1399"/>
      <c r="L173" s="1400"/>
      <c r="M173" s="1412"/>
    </row>
    <row r="174" spans="1:13" ht="19.5" customHeight="1">
      <c r="A174" s="1260" t="s">
        <v>159</v>
      </c>
      <c r="B174" s="1257"/>
      <c r="C174" s="1261" t="s">
        <v>41</v>
      </c>
      <c r="D174" s="1390">
        <f>'하천기본계획(기준소요인력)'!$L$96</f>
        <v>1.4</v>
      </c>
      <c r="E174" s="1399">
        <f t="shared" si="40"/>
        <v>235459</v>
      </c>
      <c r="F174" s="1400">
        <f t="shared" si="40"/>
        <v>329642</v>
      </c>
      <c r="G174" s="1399">
        <f>'산근3 노임'!$B$9</f>
        <v>235459</v>
      </c>
      <c r="H174" s="1400">
        <f t="shared" si="41"/>
        <v>329642</v>
      </c>
      <c r="I174" s="1399"/>
      <c r="J174" s="1400"/>
      <c r="K174" s="1399"/>
      <c r="L174" s="1400"/>
      <c r="M174" s="1412"/>
    </row>
    <row r="175" spans="1:13" ht="19.5" customHeight="1">
      <c r="A175" s="1262" t="s">
        <v>235</v>
      </c>
      <c r="B175" s="1257"/>
      <c r="C175" s="1261"/>
      <c r="D175" s="1390"/>
      <c r="E175" s="1399"/>
      <c r="F175" s="1400">
        <f>SUM(H175,J175,L175)</f>
        <v>2215485</v>
      </c>
      <c r="G175" s="1399"/>
      <c r="H175" s="1400">
        <f>SUM(H170:H174)</f>
        <v>2215485</v>
      </c>
      <c r="I175" s="1399"/>
      <c r="J175" s="1400"/>
      <c r="K175" s="1399"/>
      <c r="L175" s="1400"/>
      <c r="M175" s="1412"/>
    </row>
    <row r="176" spans="1:13" ht="19.5" customHeight="1">
      <c r="A176" s="1263">
        <f>$O$2</f>
        <v>1</v>
      </c>
      <c r="B176" s="1257"/>
      <c r="C176" s="1261"/>
      <c r="D176" s="1390"/>
      <c r="E176" s="1399"/>
      <c r="F176" s="1400">
        <f>INT($A176*F175)</f>
        <v>2215485</v>
      </c>
      <c r="G176" s="1399"/>
      <c r="H176" s="1400">
        <f>INT($A176*H175)</f>
        <v>2215485</v>
      </c>
      <c r="I176" s="1399"/>
      <c r="J176" s="1400"/>
      <c r="K176" s="1399"/>
      <c r="L176" s="1400"/>
      <c r="M176" s="1412"/>
    </row>
    <row r="177" spans="1:13" ht="19.5" customHeight="1">
      <c r="A177" s="1264"/>
      <c r="B177" s="1265"/>
      <c r="C177" s="1266"/>
      <c r="D177" s="1423"/>
      <c r="E177" s="1424"/>
      <c r="F177" s="1407"/>
      <c r="G177" s="1424"/>
      <c r="H177" s="1407"/>
      <c r="I177" s="1424"/>
      <c r="J177" s="1407"/>
      <c r="K177" s="1424"/>
      <c r="L177" s="1407"/>
      <c r="M177" s="1425"/>
    </row>
    <row r="178" spans="1:13" ht="19.5" customHeight="1">
      <c r="A178" s="1267" t="s">
        <v>1194</v>
      </c>
      <c r="B178" s="1253"/>
      <c r="C178" s="1268"/>
      <c r="D178" s="1426"/>
      <c r="E178" s="1427"/>
      <c r="F178" s="1428"/>
      <c r="G178" s="1427"/>
      <c r="H178" s="1428"/>
      <c r="I178" s="1427"/>
      <c r="J178" s="1428"/>
      <c r="K178" s="1427"/>
      <c r="L178" s="1428"/>
      <c r="M178" s="1429"/>
    </row>
    <row r="179" spans="1:13" ht="19.5" customHeight="1">
      <c r="A179" s="1260" t="s">
        <v>534</v>
      </c>
      <c r="B179" s="1257"/>
      <c r="C179" s="1261" t="s">
        <v>41</v>
      </c>
      <c r="D179" s="1390">
        <f>'하천기본계획(기준소요인력)'!$H$98</f>
        <v>0.4</v>
      </c>
      <c r="E179" s="1399">
        <f t="shared" ref="E179:F183" si="42">SUM(G179,I179,K179)</f>
        <v>467217</v>
      </c>
      <c r="F179" s="1400">
        <f t="shared" si="42"/>
        <v>186886</v>
      </c>
      <c r="G179" s="1399">
        <f>'산근3 노임'!$B$5</f>
        <v>467217</v>
      </c>
      <c r="H179" s="1400">
        <f t="shared" ref="H179:H183" si="43">TRUNC(D179*G179,0)</f>
        <v>186886</v>
      </c>
      <c r="I179" s="1399"/>
      <c r="J179" s="1400"/>
      <c r="K179" s="1399"/>
      <c r="L179" s="1400"/>
      <c r="M179" s="1412"/>
    </row>
    <row r="180" spans="1:13" ht="19.5" customHeight="1">
      <c r="A180" s="1260" t="s">
        <v>140</v>
      </c>
      <c r="B180" s="1257"/>
      <c r="C180" s="1261" t="s">
        <v>41</v>
      </c>
      <c r="D180" s="1390">
        <f>'하천기본계획(기준소요인력)'!$I$98</f>
        <v>0.8</v>
      </c>
      <c r="E180" s="1399">
        <f t="shared" si="42"/>
        <v>373353</v>
      </c>
      <c r="F180" s="1400">
        <f t="shared" si="42"/>
        <v>298682</v>
      </c>
      <c r="G180" s="1399">
        <f>'산근3 노임'!$B$6</f>
        <v>373353</v>
      </c>
      <c r="H180" s="1400">
        <f t="shared" si="43"/>
        <v>298682</v>
      </c>
      <c r="I180" s="1399"/>
      <c r="J180" s="1400"/>
      <c r="K180" s="1399"/>
      <c r="L180" s="1400"/>
      <c r="M180" s="1412"/>
    </row>
    <row r="181" spans="1:13" ht="19.5" customHeight="1">
      <c r="A181" s="1260" t="s">
        <v>145</v>
      </c>
      <c r="B181" s="1257"/>
      <c r="C181" s="1261" t="s">
        <v>41</v>
      </c>
      <c r="D181" s="1390">
        <f>'하천기본계획(기준소요인력)'!$J$98</f>
        <v>2.2999999999999998</v>
      </c>
      <c r="E181" s="1399">
        <f t="shared" si="42"/>
        <v>310884</v>
      </c>
      <c r="F181" s="1400">
        <f t="shared" si="42"/>
        <v>715033</v>
      </c>
      <c r="G181" s="1399">
        <f>'산근3 노임'!$B$7</f>
        <v>310884</v>
      </c>
      <c r="H181" s="1400">
        <f t="shared" si="43"/>
        <v>715033</v>
      </c>
      <c r="I181" s="1399"/>
      <c r="J181" s="1400"/>
      <c r="K181" s="1399"/>
      <c r="L181" s="1400"/>
      <c r="M181" s="1412"/>
    </row>
    <row r="182" spans="1:13" ht="19.5" customHeight="1">
      <c r="A182" s="1260" t="s">
        <v>161</v>
      </c>
      <c r="B182" s="1257"/>
      <c r="C182" s="1261" t="s">
        <v>41</v>
      </c>
      <c r="D182" s="1390">
        <f>'하천기본계획(기준소요인력)'!$K$98</f>
        <v>2.4</v>
      </c>
      <c r="E182" s="1399">
        <f t="shared" si="42"/>
        <v>295138</v>
      </c>
      <c r="F182" s="1400">
        <f t="shared" si="42"/>
        <v>708331</v>
      </c>
      <c r="G182" s="1399">
        <f>'산근3 노임'!$B$8</f>
        <v>295138</v>
      </c>
      <c r="H182" s="1400">
        <f t="shared" si="43"/>
        <v>708331</v>
      </c>
      <c r="I182" s="1399"/>
      <c r="J182" s="1400"/>
      <c r="K182" s="1399"/>
      <c r="L182" s="1400"/>
      <c r="M182" s="1412"/>
    </row>
    <row r="183" spans="1:13" ht="19.5" customHeight="1">
      <c r="A183" s="1260" t="s">
        <v>159</v>
      </c>
      <c r="B183" s="1257"/>
      <c r="C183" s="1261" t="s">
        <v>41</v>
      </c>
      <c r="D183" s="1390">
        <f>'하천기본계획(기준소요인력)'!$L$98</f>
        <v>2.2000000000000002</v>
      </c>
      <c r="E183" s="1399">
        <f t="shared" si="42"/>
        <v>235459</v>
      </c>
      <c r="F183" s="1400">
        <f t="shared" si="42"/>
        <v>518009</v>
      </c>
      <c r="G183" s="1399">
        <f>'산근3 노임'!$B$9</f>
        <v>235459</v>
      </c>
      <c r="H183" s="1400">
        <f t="shared" si="43"/>
        <v>518009</v>
      </c>
      <c r="I183" s="1399"/>
      <c r="J183" s="1400"/>
      <c r="K183" s="1399"/>
      <c r="L183" s="1400"/>
      <c r="M183" s="1412"/>
    </row>
    <row r="184" spans="1:13" ht="19.5" customHeight="1">
      <c r="A184" s="1262" t="s">
        <v>235</v>
      </c>
      <c r="B184" s="1257"/>
      <c r="C184" s="1261"/>
      <c r="D184" s="1390"/>
      <c r="E184" s="1399"/>
      <c r="F184" s="1400">
        <f>SUM(H184,J184,L184)</f>
        <v>2426941</v>
      </c>
      <c r="G184" s="1399"/>
      <c r="H184" s="1400">
        <f>SUM(H179:H183)</f>
        <v>2426941</v>
      </c>
      <c r="I184" s="1399"/>
      <c r="J184" s="1400"/>
      <c r="K184" s="1399"/>
      <c r="L184" s="1400"/>
      <c r="M184" s="1412"/>
    </row>
    <row r="185" spans="1:13" ht="19.5" customHeight="1">
      <c r="A185" s="1263">
        <f>$O$2</f>
        <v>1</v>
      </c>
      <c r="B185" s="1257"/>
      <c r="C185" s="1261"/>
      <c r="D185" s="1390"/>
      <c r="E185" s="1399"/>
      <c r="F185" s="1400">
        <f>INT($A185*F184)</f>
        <v>2426941</v>
      </c>
      <c r="G185" s="1399"/>
      <c r="H185" s="1400">
        <f>INT($A185*H184)</f>
        <v>2426941</v>
      </c>
      <c r="I185" s="1399"/>
      <c r="J185" s="1400"/>
      <c r="K185" s="1399"/>
      <c r="L185" s="1400"/>
      <c r="M185" s="1412"/>
    </row>
    <row r="186" spans="1:13" ht="19.5" customHeight="1">
      <c r="A186" s="1256" t="s">
        <v>1195</v>
      </c>
      <c r="B186" s="1257"/>
      <c r="C186" s="1261"/>
      <c r="D186" s="1390"/>
      <c r="E186" s="1399"/>
      <c r="F186" s="1400"/>
      <c r="G186" s="1399"/>
      <c r="H186" s="1400"/>
      <c r="I186" s="1399"/>
      <c r="J186" s="1400"/>
      <c r="K186" s="1399"/>
      <c r="L186" s="1400"/>
      <c r="M186" s="1412"/>
    </row>
    <row r="187" spans="1:13" ht="19.5" customHeight="1">
      <c r="A187" s="1260" t="s">
        <v>534</v>
      </c>
      <c r="B187" s="1257"/>
      <c r="C187" s="1261" t="s">
        <v>41</v>
      </c>
      <c r="D187" s="1390">
        <f>'하천기본계획(기준소요인력)'!$H$99</f>
        <v>0.4</v>
      </c>
      <c r="E187" s="1399">
        <f t="shared" ref="E187:F191" si="44">SUM(G187,I187,K187)</f>
        <v>467217</v>
      </c>
      <c r="F187" s="1400">
        <f t="shared" si="44"/>
        <v>186886</v>
      </c>
      <c r="G187" s="1399">
        <f>'산근3 노임'!$B$5</f>
        <v>467217</v>
      </c>
      <c r="H187" s="1400">
        <f t="shared" ref="H187:H191" si="45">TRUNC(D187*G187,0)</f>
        <v>186886</v>
      </c>
      <c r="I187" s="1399"/>
      <c r="J187" s="1400"/>
      <c r="K187" s="1399"/>
      <c r="L187" s="1400"/>
      <c r="M187" s="1412"/>
    </row>
    <row r="188" spans="1:13" ht="19.5" customHeight="1">
      <c r="A188" s="1260" t="s">
        <v>140</v>
      </c>
      <c r="B188" s="1257"/>
      <c r="C188" s="1261" t="s">
        <v>41</v>
      </c>
      <c r="D188" s="1390">
        <f>'하천기본계획(기준소요인력)'!$I$99</f>
        <v>0.8</v>
      </c>
      <c r="E188" s="1399">
        <f t="shared" si="44"/>
        <v>373353</v>
      </c>
      <c r="F188" s="1400">
        <f t="shared" si="44"/>
        <v>298682</v>
      </c>
      <c r="G188" s="1399">
        <f>'산근3 노임'!$B$6</f>
        <v>373353</v>
      </c>
      <c r="H188" s="1400">
        <f t="shared" si="45"/>
        <v>298682</v>
      </c>
      <c r="I188" s="1399"/>
      <c r="J188" s="1400"/>
      <c r="K188" s="1399"/>
      <c r="L188" s="1400"/>
      <c r="M188" s="1412"/>
    </row>
    <row r="189" spans="1:13" ht="19.5" customHeight="1">
      <c r="A189" s="1260" t="s">
        <v>145</v>
      </c>
      <c r="B189" s="1257"/>
      <c r="C189" s="1261" t="s">
        <v>41</v>
      </c>
      <c r="D189" s="1390">
        <f>'하천기본계획(기준소요인력)'!$J$99</f>
        <v>1.1000000000000001</v>
      </c>
      <c r="E189" s="1399">
        <f t="shared" si="44"/>
        <v>310884</v>
      </c>
      <c r="F189" s="1400">
        <f t="shared" si="44"/>
        <v>341972</v>
      </c>
      <c r="G189" s="1399">
        <f>'산근3 노임'!$B$7</f>
        <v>310884</v>
      </c>
      <c r="H189" s="1400">
        <f t="shared" si="45"/>
        <v>341972</v>
      </c>
      <c r="I189" s="1399"/>
      <c r="J189" s="1400"/>
      <c r="K189" s="1399"/>
      <c r="L189" s="1400"/>
      <c r="M189" s="1412"/>
    </row>
    <row r="190" spans="1:13" ht="19.5" customHeight="1">
      <c r="A190" s="1260" t="s">
        <v>161</v>
      </c>
      <c r="B190" s="1257"/>
      <c r="C190" s="1261" t="s">
        <v>41</v>
      </c>
      <c r="D190" s="1390">
        <f>'하천기본계획(기준소요인력)'!$K$99</f>
        <v>0.9</v>
      </c>
      <c r="E190" s="1399">
        <f t="shared" si="44"/>
        <v>295138</v>
      </c>
      <c r="F190" s="1400">
        <f t="shared" si="44"/>
        <v>265624</v>
      </c>
      <c r="G190" s="1399">
        <f>'산근3 노임'!$B$8</f>
        <v>295138</v>
      </c>
      <c r="H190" s="1400">
        <f t="shared" si="45"/>
        <v>265624</v>
      </c>
      <c r="I190" s="1399"/>
      <c r="J190" s="1400"/>
      <c r="K190" s="1399"/>
      <c r="L190" s="1400"/>
      <c r="M190" s="1412"/>
    </row>
    <row r="191" spans="1:13" ht="19.5" customHeight="1">
      <c r="A191" s="1260" t="s">
        <v>159</v>
      </c>
      <c r="B191" s="1257"/>
      <c r="C191" s="1261" t="s">
        <v>41</v>
      </c>
      <c r="D191" s="1390">
        <f>'하천기본계획(기준소요인력)'!$L$99</f>
        <v>0.9</v>
      </c>
      <c r="E191" s="1399">
        <f t="shared" si="44"/>
        <v>235459</v>
      </c>
      <c r="F191" s="1400">
        <f t="shared" si="44"/>
        <v>211913</v>
      </c>
      <c r="G191" s="1399">
        <f>'산근3 노임'!$B$9</f>
        <v>235459</v>
      </c>
      <c r="H191" s="1400">
        <f t="shared" si="45"/>
        <v>211913</v>
      </c>
      <c r="I191" s="1399"/>
      <c r="J191" s="1400"/>
      <c r="K191" s="1399"/>
      <c r="L191" s="1400"/>
      <c r="M191" s="1412"/>
    </row>
    <row r="192" spans="1:13" ht="19.5" customHeight="1">
      <c r="A192" s="1262" t="s">
        <v>235</v>
      </c>
      <c r="B192" s="1257"/>
      <c r="C192" s="1261"/>
      <c r="D192" s="1390"/>
      <c r="E192" s="1399"/>
      <c r="F192" s="1400">
        <f>SUM(H192,J192,L192)</f>
        <v>1305077</v>
      </c>
      <c r="G192" s="1399"/>
      <c r="H192" s="1400">
        <f>SUM(H187:H191)</f>
        <v>1305077</v>
      </c>
      <c r="I192" s="1399"/>
      <c r="J192" s="1400"/>
      <c r="K192" s="1399"/>
      <c r="L192" s="1400"/>
      <c r="M192" s="1412"/>
    </row>
    <row r="193" spans="1:13" ht="19.5" customHeight="1">
      <c r="A193" s="1263">
        <f>$O$2</f>
        <v>1</v>
      </c>
      <c r="B193" s="1257"/>
      <c r="C193" s="1261"/>
      <c r="D193" s="1390"/>
      <c r="E193" s="1399"/>
      <c r="F193" s="1400">
        <f>INT($A193*F192)</f>
        <v>1305077</v>
      </c>
      <c r="G193" s="1399"/>
      <c r="H193" s="1400">
        <f>INT($A193*H192)</f>
        <v>1305077</v>
      </c>
      <c r="I193" s="1399"/>
      <c r="J193" s="1400"/>
      <c r="K193" s="1399"/>
      <c r="L193" s="1400"/>
      <c r="M193" s="1412"/>
    </row>
    <row r="194" spans="1:13" ht="19.5" customHeight="1">
      <c r="A194" s="1256" t="s">
        <v>1196</v>
      </c>
      <c r="B194" s="1257"/>
      <c r="C194" s="1261"/>
      <c r="D194" s="1390"/>
      <c r="E194" s="1399"/>
      <c r="F194" s="1400"/>
      <c r="G194" s="1399"/>
      <c r="H194" s="1400"/>
      <c r="I194" s="1399"/>
      <c r="J194" s="1400"/>
      <c r="K194" s="1399"/>
      <c r="L194" s="1400"/>
      <c r="M194" s="1412"/>
    </row>
    <row r="195" spans="1:13" ht="19.5" customHeight="1">
      <c r="A195" s="1260" t="s">
        <v>534</v>
      </c>
      <c r="B195" s="1257"/>
      <c r="C195" s="1261" t="s">
        <v>41</v>
      </c>
      <c r="D195" s="1390">
        <f>'하천기본계획(기준소요인력)'!$H$101</f>
        <v>0.3</v>
      </c>
      <c r="E195" s="1399">
        <f t="shared" ref="E195:F199" si="46">SUM(G195,I195,K195)</f>
        <v>467217</v>
      </c>
      <c r="F195" s="1400">
        <f t="shared" si="46"/>
        <v>140165</v>
      </c>
      <c r="G195" s="1399">
        <f>'산근3 노임'!$B$5</f>
        <v>467217</v>
      </c>
      <c r="H195" s="1400">
        <f t="shared" ref="H195:H199" si="47">TRUNC(D195*G195,0)</f>
        <v>140165</v>
      </c>
      <c r="I195" s="1399"/>
      <c r="J195" s="1400"/>
      <c r="K195" s="1399"/>
      <c r="L195" s="1400"/>
      <c r="M195" s="1412"/>
    </row>
    <row r="196" spans="1:13" ht="19.5" customHeight="1">
      <c r="A196" s="1260" t="s">
        <v>140</v>
      </c>
      <c r="B196" s="1257"/>
      <c r="C196" s="1261" t="s">
        <v>41</v>
      </c>
      <c r="D196" s="1390">
        <f>'하천기본계획(기준소요인력)'!$I$101</f>
        <v>0.7</v>
      </c>
      <c r="E196" s="1399">
        <f t="shared" si="46"/>
        <v>373353</v>
      </c>
      <c r="F196" s="1400">
        <f t="shared" si="46"/>
        <v>261347</v>
      </c>
      <c r="G196" s="1399">
        <f>'산근3 노임'!$B$6</f>
        <v>373353</v>
      </c>
      <c r="H196" s="1400">
        <f t="shared" si="47"/>
        <v>261347</v>
      </c>
      <c r="I196" s="1399"/>
      <c r="J196" s="1400"/>
      <c r="K196" s="1399"/>
      <c r="L196" s="1400"/>
      <c r="M196" s="1412"/>
    </row>
    <row r="197" spans="1:13" ht="19.5" customHeight="1">
      <c r="A197" s="1260" t="s">
        <v>145</v>
      </c>
      <c r="B197" s="1257"/>
      <c r="C197" s="1261" t="s">
        <v>41</v>
      </c>
      <c r="D197" s="1390">
        <f>'하천기본계획(기준소요인력)'!$J$101</f>
        <v>0.9</v>
      </c>
      <c r="E197" s="1399">
        <f t="shared" si="46"/>
        <v>310884</v>
      </c>
      <c r="F197" s="1400">
        <f t="shared" si="46"/>
        <v>279795</v>
      </c>
      <c r="G197" s="1399">
        <f>'산근3 노임'!$B$7</f>
        <v>310884</v>
      </c>
      <c r="H197" s="1400">
        <f t="shared" si="47"/>
        <v>279795</v>
      </c>
      <c r="I197" s="1399"/>
      <c r="J197" s="1400"/>
      <c r="K197" s="1399"/>
      <c r="L197" s="1400"/>
      <c r="M197" s="1412"/>
    </row>
    <row r="198" spans="1:13" ht="19.5" customHeight="1">
      <c r="A198" s="1260" t="s">
        <v>161</v>
      </c>
      <c r="B198" s="1257"/>
      <c r="C198" s="1261" t="s">
        <v>41</v>
      </c>
      <c r="D198" s="1390">
        <f>'하천기본계획(기준소요인력)'!$K$101</f>
        <v>0.5</v>
      </c>
      <c r="E198" s="1399">
        <f t="shared" si="46"/>
        <v>295138</v>
      </c>
      <c r="F198" s="1400">
        <f t="shared" si="46"/>
        <v>147569</v>
      </c>
      <c r="G198" s="1399">
        <f>'산근3 노임'!$B$8</f>
        <v>295138</v>
      </c>
      <c r="H198" s="1400">
        <f t="shared" si="47"/>
        <v>147569</v>
      </c>
      <c r="I198" s="1399"/>
      <c r="J198" s="1400"/>
      <c r="K198" s="1399"/>
      <c r="L198" s="1400"/>
      <c r="M198" s="1412"/>
    </row>
    <row r="199" spans="1:13" ht="19.5" customHeight="1">
      <c r="A199" s="1260" t="s">
        <v>159</v>
      </c>
      <c r="B199" s="1257"/>
      <c r="C199" s="1261" t="s">
        <v>41</v>
      </c>
      <c r="D199" s="1390">
        <f>'하천기본계획(기준소요인력)'!$L$101</f>
        <v>0</v>
      </c>
      <c r="E199" s="1399">
        <f t="shared" si="46"/>
        <v>235459</v>
      </c>
      <c r="F199" s="1400">
        <f t="shared" si="46"/>
        <v>0</v>
      </c>
      <c r="G199" s="1399">
        <f>'산근3 노임'!$B$9</f>
        <v>235459</v>
      </c>
      <c r="H199" s="1400">
        <f t="shared" si="47"/>
        <v>0</v>
      </c>
      <c r="I199" s="1399"/>
      <c r="J199" s="1400"/>
      <c r="K199" s="1399"/>
      <c r="L199" s="1400"/>
      <c r="M199" s="1412"/>
    </row>
    <row r="200" spans="1:13" ht="19.5" customHeight="1">
      <c r="A200" s="1262" t="s">
        <v>235</v>
      </c>
      <c r="B200" s="1257"/>
      <c r="C200" s="1257"/>
      <c r="D200" s="1259"/>
      <c r="E200" s="1399"/>
      <c r="F200" s="1400">
        <f>SUM(H200,J200,L200)</f>
        <v>828876</v>
      </c>
      <c r="G200" s="1398"/>
      <c r="H200" s="1400">
        <f>SUM(H195:H199)</f>
        <v>828876</v>
      </c>
      <c r="I200" s="1398"/>
      <c r="J200" s="1258"/>
      <c r="K200" s="1398"/>
      <c r="L200" s="1258"/>
      <c r="M200" s="1412"/>
    </row>
    <row r="201" spans="1:13" ht="19.5" customHeight="1">
      <c r="A201" s="1263">
        <f>$O$2</f>
        <v>1</v>
      </c>
      <c r="B201" s="1257"/>
      <c r="C201" s="1257"/>
      <c r="D201" s="1259"/>
      <c r="E201" s="1399"/>
      <c r="F201" s="1400">
        <f>INT($A201*F200)</f>
        <v>828876</v>
      </c>
      <c r="G201" s="1398"/>
      <c r="H201" s="1400">
        <f>INT($A201*H200)</f>
        <v>828876</v>
      </c>
      <c r="I201" s="1398"/>
      <c r="J201" s="1258"/>
      <c r="K201" s="1398"/>
      <c r="L201" s="1258"/>
      <c r="M201" s="1412"/>
    </row>
    <row r="202" spans="1:13" ht="19.5" customHeight="1">
      <c r="A202" s="1264"/>
      <c r="B202" s="1265"/>
      <c r="C202" s="1265"/>
      <c r="D202" s="1270"/>
      <c r="E202" s="1424"/>
      <c r="F202" s="1407"/>
      <c r="G202" s="1430"/>
      <c r="H202" s="1407"/>
      <c r="I202" s="1430"/>
      <c r="J202" s="1269"/>
      <c r="K202" s="1430"/>
      <c r="L202" s="1269"/>
      <c r="M202" s="1425"/>
    </row>
    <row r="203" spans="1:13" ht="19.5" customHeight="1">
      <c r="A203" s="1267" t="s">
        <v>1197</v>
      </c>
      <c r="B203" s="1253"/>
      <c r="C203" s="1268"/>
      <c r="D203" s="1426"/>
      <c r="E203" s="1427"/>
      <c r="F203" s="1428"/>
      <c r="G203" s="1427"/>
      <c r="H203" s="1428"/>
      <c r="I203" s="1427"/>
      <c r="J203" s="1428"/>
      <c r="K203" s="1427"/>
      <c r="L203" s="1428"/>
      <c r="M203" s="1429"/>
    </row>
    <row r="204" spans="1:13" ht="19.5" customHeight="1">
      <c r="A204" s="1260" t="s">
        <v>534</v>
      </c>
      <c r="B204" s="1257"/>
      <c r="C204" s="1261" t="s">
        <v>41</v>
      </c>
      <c r="D204" s="1390">
        <f>'하천기본계획(기준소요인력)'!$H$104</f>
        <v>0</v>
      </c>
      <c r="E204" s="1399">
        <f t="shared" ref="E204:F208" si="48">SUM(G204,I204,K204)</f>
        <v>467217</v>
      </c>
      <c r="F204" s="1400">
        <f t="shared" si="48"/>
        <v>0</v>
      </c>
      <c r="G204" s="1399">
        <f>'산근3 노임'!$B$5</f>
        <v>467217</v>
      </c>
      <c r="H204" s="1400">
        <f t="shared" ref="H204:H208" si="49">TRUNC(D204*G204,0)</f>
        <v>0</v>
      </c>
      <c r="I204" s="1399"/>
      <c r="J204" s="1400"/>
      <c r="K204" s="1399"/>
      <c r="L204" s="1400"/>
      <c r="M204" s="1412"/>
    </row>
    <row r="205" spans="1:13" ht="19.5" customHeight="1">
      <c r="A205" s="1260" t="s">
        <v>140</v>
      </c>
      <c r="B205" s="1257"/>
      <c r="C205" s="1261" t="s">
        <v>41</v>
      </c>
      <c r="D205" s="1390">
        <f>'하천기본계획(기준소요인력)'!$I$104</f>
        <v>0</v>
      </c>
      <c r="E205" s="1399">
        <f t="shared" si="48"/>
        <v>373353</v>
      </c>
      <c r="F205" s="1400">
        <f t="shared" si="48"/>
        <v>0</v>
      </c>
      <c r="G205" s="1399">
        <f>'산근3 노임'!$B$6</f>
        <v>373353</v>
      </c>
      <c r="H205" s="1400">
        <f t="shared" si="49"/>
        <v>0</v>
      </c>
      <c r="I205" s="1399"/>
      <c r="J205" s="1400"/>
      <c r="K205" s="1399"/>
      <c r="L205" s="1400"/>
      <c r="M205" s="1412"/>
    </row>
    <row r="206" spans="1:13" ht="19.5" customHeight="1">
      <c r="A206" s="1260" t="s">
        <v>145</v>
      </c>
      <c r="B206" s="1257"/>
      <c r="C206" s="1261" t="s">
        <v>41</v>
      </c>
      <c r="D206" s="1390">
        <f>'하천기본계획(기준소요인력)'!$J$104</f>
        <v>0.5</v>
      </c>
      <c r="E206" s="1399">
        <f t="shared" si="48"/>
        <v>310884</v>
      </c>
      <c r="F206" s="1400">
        <f t="shared" si="48"/>
        <v>155442</v>
      </c>
      <c r="G206" s="1399">
        <f>'산근3 노임'!$B$7</f>
        <v>310884</v>
      </c>
      <c r="H206" s="1400">
        <f t="shared" si="49"/>
        <v>155442</v>
      </c>
      <c r="I206" s="1399"/>
      <c r="J206" s="1400"/>
      <c r="K206" s="1399"/>
      <c r="L206" s="1400"/>
      <c r="M206" s="1412"/>
    </row>
    <row r="207" spans="1:13" ht="19.5" customHeight="1">
      <c r="A207" s="1260" t="s">
        <v>161</v>
      </c>
      <c r="B207" s="1257"/>
      <c r="C207" s="1261" t="s">
        <v>41</v>
      </c>
      <c r="D207" s="1390">
        <f>'하천기본계획(기준소요인력)'!$K$104</f>
        <v>0.9</v>
      </c>
      <c r="E207" s="1399">
        <f t="shared" si="48"/>
        <v>295138</v>
      </c>
      <c r="F207" s="1400">
        <f t="shared" si="48"/>
        <v>265624</v>
      </c>
      <c r="G207" s="1399">
        <f>'산근3 노임'!$B$8</f>
        <v>295138</v>
      </c>
      <c r="H207" s="1400">
        <f t="shared" si="49"/>
        <v>265624</v>
      </c>
      <c r="I207" s="1399"/>
      <c r="J207" s="1400"/>
      <c r="K207" s="1399"/>
      <c r="L207" s="1400"/>
      <c r="M207" s="1412"/>
    </row>
    <row r="208" spans="1:13" ht="19.5" customHeight="1">
      <c r="A208" s="1260" t="s">
        <v>159</v>
      </c>
      <c r="B208" s="1257"/>
      <c r="C208" s="1261" t="s">
        <v>41</v>
      </c>
      <c r="D208" s="1390">
        <f>'하천기본계획(기준소요인력)'!$L$104</f>
        <v>1.5</v>
      </c>
      <c r="E208" s="1399">
        <f t="shared" si="48"/>
        <v>235459</v>
      </c>
      <c r="F208" s="1400">
        <f t="shared" si="48"/>
        <v>353188</v>
      </c>
      <c r="G208" s="1399">
        <f>'산근3 노임'!$B$9</f>
        <v>235459</v>
      </c>
      <c r="H208" s="1400">
        <f t="shared" si="49"/>
        <v>353188</v>
      </c>
      <c r="I208" s="1399"/>
      <c r="J208" s="1400"/>
      <c r="K208" s="1399"/>
      <c r="L208" s="1400"/>
      <c r="M208" s="1412"/>
    </row>
    <row r="209" spans="1:13" ht="19.5" customHeight="1">
      <c r="A209" s="1262" t="s">
        <v>235</v>
      </c>
      <c r="B209" s="1257"/>
      <c r="C209" s="1257"/>
      <c r="D209" s="1259"/>
      <c r="E209" s="1399"/>
      <c r="F209" s="1400">
        <f>SUM(H209,J209,L209)</f>
        <v>774254</v>
      </c>
      <c r="G209" s="1398"/>
      <c r="H209" s="1400">
        <f>SUM(H204:H208)</f>
        <v>774254</v>
      </c>
      <c r="I209" s="1398"/>
      <c r="J209" s="1258"/>
      <c r="K209" s="1398"/>
      <c r="L209" s="1258"/>
      <c r="M209" s="1412"/>
    </row>
    <row r="210" spans="1:13" ht="19.5" customHeight="1">
      <c r="A210" s="1263">
        <f>$O$2</f>
        <v>1</v>
      </c>
      <c r="B210" s="1257"/>
      <c r="C210" s="1257"/>
      <c r="D210" s="1259"/>
      <c r="E210" s="1399"/>
      <c r="F210" s="1400">
        <f>INT($A210*F209)</f>
        <v>774254</v>
      </c>
      <c r="G210" s="1398"/>
      <c r="H210" s="1400">
        <f>INT($A210*H209)</f>
        <v>774254</v>
      </c>
      <c r="I210" s="1398"/>
      <c r="J210" s="1258"/>
      <c r="K210" s="1398"/>
      <c r="L210" s="1258"/>
      <c r="M210" s="1412"/>
    </row>
    <row r="211" spans="1:13" ht="19.5" customHeight="1">
      <c r="A211" s="1256" t="s">
        <v>1198</v>
      </c>
      <c r="B211" s="1257"/>
      <c r="C211" s="1257"/>
      <c r="D211" s="1259"/>
      <c r="E211" s="1399"/>
      <c r="F211" s="1400"/>
      <c r="G211" s="1398"/>
      <c r="H211" s="1400"/>
      <c r="I211" s="1398"/>
      <c r="J211" s="1258"/>
      <c r="K211" s="1398"/>
      <c r="L211" s="1258"/>
      <c r="M211" s="1412"/>
    </row>
    <row r="212" spans="1:13" ht="19.5" customHeight="1">
      <c r="A212" s="1260" t="s">
        <v>534</v>
      </c>
      <c r="B212" s="1257"/>
      <c r="C212" s="1261" t="s">
        <v>41</v>
      </c>
      <c r="D212" s="1390">
        <f>'하천기본계획(기준소요인력)'!$H$106</f>
        <v>0</v>
      </c>
      <c r="E212" s="1399">
        <f t="shared" ref="E212:E216" si="50">SUM(G212,I212,K212)</f>
        <v>467217</v>
      </c>
      <c r="F212" s="1400">
        <f t="shared" ref="F212:F216" si="51">SUM(H212,J212,L212)</f>
        <v>0</v>
      </c>
      <c r="G212" s="1399">
        <f>'산근3 노임'!$B$5</f>
        <v>467217</v>
      </c>
      <c r="H212" s="1400">
        <f t="shared" ref="H212:H216" si="52">TRUNC(D212*G212,0)</f>
        <v>0</v>
      </c>
      <c r="I212" s="1398"/>
      <c r="J212" s="1258"/>
      <c r="K212" s="1398"/>
      <c r="L212" s="1258"/>
      <c r="M212" s="1412"/>
    </row>
    <row r="213" spans="1:13" ht="19.5" customHeight="1">
      <c r="A213" s="1260" t="s">
        <v>140</v>
      </c>
      <c r="B213" s="1257"/>
      <c r="C213" s="1261" t="s">
        <v>41</v>
      </c>
      <c r="D213" s="1390">
        <f>'하천기본계획(기준소요인력)'!$I$106</f>
        <v>0</v>
      </c>
      <c r="E213" s="1399">
        <f t="shared" si="50"/>
        <v>373353</v>
      </c>
      <c r="F213" s="1400">
        <f t="shared" si="51"/>
        <v>0</v>
      </c>
      <c r="G213" s="1399">
        <f>'산근3 노임'!$B$6</f>
        <v>373353</v>
      </c>
      <c r="H213" s="1400">
        <f t="shared" si="52"/>
        <v>0</v>
      </c>
      <c r="I213" s="1398"/>
      <c r="J213" s="1258"/>
      <c r="K213" s="1398"/>
      <c r="L213" s="1258"/>
      <c r="M213" s="1412"/>
    </row>
    <row r="214" spans="1:13" ht="19.5" customHeight="1">
      <c r="A214" s="1260" t="s">
        <v>145</v>
      </c>
      <c r="B214" s="1257"/>
      <c r="C214" s="1261" t="s">
        <v>41</v>
      </c>
      <c r="D214" s="1390">
        <f>'하천기본계획(기준소요인력)'!$J$106</f>
        <v>0.7</v>
      </c>
      <c r="E214" s="1399">
        <f t="shared" si="50"/>
        <v>310884</v>
      </c>
      <c r="F214" s="1400">
        <f t="shared" si="51"/>
        <v>217618</v>
      </c>
      <c r="G214" s="1399">
        <f>'산근3 노임'!$B$7</f>
        <v>310884</v>
      </c>
      <c r="H214" s="1400">
        <f t="shared" si="52"/>
        <v>217618</v>
      </c>
      <c r="I214" s="1398"/>
      <c r="J214" s="1258"/>
      <c r="K214" s="1398"/>
      <c r="L214" s="1258"/>
      <c r="M214" s="1412"/>
    </row>
    <row r="215" spans="1:13" ht="19.5" customHeight="1">
      <c r="A215" s="1260" t="s">
        <v>161</v>
      </c>
      <c r="B215" s="1257"/>
      <c r="C215" s="1261" t="s">
        <v>41</v>
      </c>
      <c r="D215" s="1390">
        <f>'하천기본계획(기준소요인력)'!$K$106</f>
        <v>1</v>
      </c>
      <c r="E215" s="1399">
        <f t="shared" si="50"/>
        <v>295138</v>
      </c>
      <c r="F215" s="1400">
        <f t="shared" si="51"/>
        <v>295138</v>
      </c>
      <c r="G215" s="1399">
        <f>'산근3 노임'!$B$8</f>
        <v>295138</v>
      </c>
      <c r="H215" s="1400">
        <f t="shared" si="52"/>
        <v>295138</v>
      </c>
      <c r="I215" s="1398"/>
      <c r="J215" s="1258"/>
      <c r="K215" s="1398"/>
      <c r="L215" s="1258"/>
      <c r="M215" s="1412"/>
    </row>
    <row r="216" spans="1:13" ht="19.5" customHeight="1">
      <c r="A216" s="1260" t="s">
        <v>159</v>
      </c>
      <c r="B216" s="1257"/>
      <c r="C216" s="1261" t="s">
        <v>41</v>
      </c>
      <c r="D216" s="1390">
        <f>'하천기본계획(기준소요인력)'!$L$106</f>
        <v>0.7</v>
      </c>
      <c r="E216" s="1399">
        <f t="shared" si="50"/>
        <v>235459</v>
      </c>
      <c r="F216" s="1400">
        <f t="shared" si="51"/>
        <v>164821</v>
      </c>
      <c r="G216" s="1399">
        <f>'산근3 노임'!$B$9</f>
        <v>235459</v>
      </c>
      <c r="H216" s="1400">
        <f t="shared" si="52"/>
        <v>164821</v>
      </c>
      <c r="I216" s="1398"/>
      <c r="J216" s="1258"/>
      <c r="K216" s="1398"/>
      <c r="L216" s="1258"/>
      <c r="M216" s="1412"/>
    </row>
    <row r="217" spans="1:13" ht="19.5" customHeight="1">
      <c r="A217" s="1262" t="s">
        <v>235</v>
      </c>
      <c r="B217" s="1257"/>
      <c r="C217" s="1257"/>
      <c r="D217" s="1259"/>
      <c r="E217" s="1399"/>
      <c r="F217" s="1400">
        <f>SUM(H217,J217,L217)</f>
        <v>677577</v>
      </c>
      <c r="G217" s="1398"/>
      <c r="H217" s="1400">
        <f>SUM(H212:H216)</f>
        <v>677577</v>
      </c>
      <c r="I217" s="1398"/>
      <c r="J217" s="1258"/>
      <c r="K217" s="1398"/>
      <c r="L217" s="1258"/>
      <c r="M217" s="1412"/>
    </row>
    <row r="218" spans="1:13" ht="19.5" customHeight="1">
      <c r="A218" s="1263">
        <f>$O$2</f>
        <v>1</v>
      </c>
      <c r="B218" s="1257"/>
      <c r="C218" s="1257"/>
      <c r="D218" s="1259"/>
      <c r="E218" s="1399"/>
      <c r="F218" s="1400">
        <f>INT($A218*F217)</f>
        <v>677577</v>
      </c>
      <c r="G218" s="1398"/>
      <c r="H218" s="1400">
        <f>INT($A218*H217)</f>
        <v>677577</v>
      </c>
      <c r="I218" s="1398"/>
      <c r="J218" s="1258"/>
      <c r="K218" s="1398"/>
      <c r="L218" s="1258"/>
      <c r="M218" s="1412"/>
    </row>
    <row r="219" spans="1:13" ht="19.5" customHeight="1">
      <c r="A219" s="1256" t="s">
        <v>1199</v>
      </c>
      <c r="B219" s="1257"/>
      <c r="C219" s="1257"/>
      <c r="D219" s="1259"/>
      <c r="E219" s="1399"/>
      <c r="F219" s="1400"/>
      <c r="G219" s="1398"/>
      <c r="H219" s="1400"/>
      <c r="I219" s="1398"/>
      <c r="J219" s="1258"/>
      <c r="K219" s="1398"/>
      <c r="L219" s="1258"/>
      <c r="M219" s="1412"/>
    </row>
    <row r="220" spans="1:13" ht="19.5" customHeight="1">
      <c r="A220" s="1260" t="s">
        <v>534</v>
      </c>
      <c r="B220" s="1257"/>
      <c r="C220" s="1261" t="s">
        <v>41</v>
      </c>
      <c r="D220" s="1390">
        <f>'하천기본계획(기준소요인력)'!$H$107</f>
        <v>0</v>
      </c>
      <c r="E220" s="1399">
        <f t="shared" ref="E220:E224" si="53">SUM(G220,I220,K220)</f>
        <v>467217</v>
      </c>
      <c r="F220" s="1400">
        <f t="shared" ref="F220:F224" si="54">SUM(H220,J220,L220)</f>
        <v>0</v>
      </c>
      <c r="G220" s="1399">
        <f>'산근3 노임'!$B$5</f>
        <v>467217</v>
      </c>
      <c r="H220" s="1400">
        <f t="shared" ref="H220:H224" si="55">TRUNC(D220*G220,0)</f>
        <v>0</v>
      </c>
      <c r="I220" s="1398"/>
      <c r="J220" s="1258"/>
      <c r="K220" s="1398"/>
      <c r="L220" s="1258"/>
      <c r="M220" s="1412"/>
    </row>
    <row r="221" spans="1:13" ht="19.5" customHeight="1">
      <c r="A221" s="1260" t="s">
        <v>140</v>
      </c>
      <c r="B221" s="1257"/>
      <c r="C221" s="1261" t="s">
        <v>41</v>
      </c>
      <c r="D221" s="1390">
        <f>'하천기본계획(기준소요인력)'!$I$107</f>
        <v>0</v>
      </c>
      <c r="E221" s="1399">
        <f t="shared" si="53"/>
        <v>373353</v>
      </c>
      <c r="F221" s="1400">
        <f t="shared" si="54"/>
        <v>0</v>
      </c>
      <c r="G221" s="1399">
        <f>'산근3 노임'!$B$6</f>
        <v>373353</v>
      </c>
      <c r="H221" s="1400">
        <f t="shared" si="55"/>
        <v>0</v>
      </c>
      <c r="I221" s="1398"/>
      <c r="J221" s="1258"/>
      <c r="K221" s="1398"/>
      <c r="L221" s="1258"/>
      <c r="M221" s="1412"/>
    </row>
    <row r="222" spans="1:13" ht="19.5" customHeight="1">
      <c r="A222" s="1260" t="s">
        <v>145</v>
      </c>
      <c r="B222" s="1257"/>
      <c r="C222" s="1261" t="s">
        <v>41</v>
      </c>
      <c r="D222" s="1390">
        <f>'하천기본계획(기준소요인력)'!$J$107</f>
        <v>0.1</v>
      </c>
      <c r="E222" s="1399">
        <f t="shared" si="53"/>
        <v>310884</v>
      </c>
      <c r="F222" s="1400">
        <f t="shared" si="54"/>
        <v>31088</v>
      </c>
      <c r="G222" s="1399">
        <f>'산근3 노임'!$B$7</f>
        <v>310884</v>
      </c>
      <c r="H222" s="1400">
        <f t="shared" si="55"/>
        <v>31088</v>
      </c>
      <c r="I222" s="1398"/>
      <c r="J222" s="1258"/>
      <c r="K222" s="1398"/>
      <c r="L222" s="1258"/>
      <c r="M222" s="1412"/>
    </row>
    <row r="223" spans="1:13" ht="19.5" customHeight="1">
      <c r="A223" s="1260" t="s">
        <v>161</v>
      </c>
      <c r="B223" s="1257"/>
      <c r="C223" s="1261" t="s">
        <v>41</v>
      </c>
      <c r="D223" s="1390">
        <f>'하천기본계획(기준소요인력)'!$K$107</f>
        <v>0.1</v>
      </c>
      <c r="E223" s="1399">
        <f t="shared" si="53"/>
        <v>295138</v>
      </c>
      <c r="F223" s="1400">
        <f t="shared" si="54"/>
        <v>29513</v>
      </c>
      <c r="G223" s="1399">
        <f>'산근3 노임'!$B$8</f>
        <v>295138</v>
      </c>
      <c r="H223" s="1400">
        <f t="shared" si="55"/>
        <v>29513</v>
      </c>
      <c r="I223" s="1398"/>
      <c r="J223" s="1258"/>
      <c r="K223" s="1398"/>
      <c r="L223" s="1258"/>
      <c r="M223" s="1412"/>
    </row>
    <row r="224" spans="1:13" ht="19.5" customHeight="1">
      <c r="A224" s="1260" t="s">
        <v>159</v>
      </c>
      <c r="B224" s="1257"/>
      <c r="C224" s="1261" t="s">
        <v>41</v>
      </c>
      <c r="D224" s="1390">
        <f>'하천기본계획(기준소요인력)'!$L$107</f>
        <v>0.1</v>
      </c>
      <c r="E224" s="1399">
        <f t="shared" si="53"/>
        <v>235459</v>
      </c>
      <c r="F224" s="1400">
        <f t="shared" si="54"/>
        <v>23545</v>
      </c>
      <c r="G224" s="1399">
        <f>'산근3 노임'!$B$9</f>
        <v>235459</v>
      </c>
      <c r="H224" s="1400">
        <f t="shared" si="55"/>
        <v>23545</v>
      </c>
      <c r="I224" s="1398"/>
      <c r="J224" s="1258"/>
      <c r="K224" s="1398"/>
      <c r="L224" s="1258"/>
      <c r="M224" s="1412"/>
    </row>
    <row r="225" spans="1:13" ht="19.5" customHeight="1">
      <c r="A225" s="1262" t="s">
        <v>235</v>
      </c>
      <c r="B225" s="1257"/>
      <c r="C225" s="1257"/>
      <c r="D225" s="1259"/>
      <c r="E225" s="1399"/>
      <c r="F225" s="1400">
        <f>SUM(H225,J225,L225)</f>
        <v>84146</v>
      </c>
      <c r="G225" s="1398"/>
      <c r="H225" s="1400">
        <f>SUM(H220:H224)</f>
        <v>84146</v>
      </c>
      <c r="I225" s="1398"/>
      <c r="J225" s="1258"/>
      <c r="K225" s="1398"/>
      <c r="L225" s="1258"/>
      <c r="M225" s="1412"/>
    </row>
    <row r="226" spans="1:13" ht="19.5" customHeight="1">
      <c r="A226" s="1263">
        <f>$O$2</f>
        <v>1</v>
      </c>
      <c r="B226" s="1257"/>
      <c r="C226" s="1257"/>
      <c r="D226" s="1259"/>
      <c r="E226" s="1399"/>
      <c r="F226" s="1400">
        <f>INT($A226*F225)</f>
        <v>84146</v>
      </c>
      <c r="G226" s="1398"/>
      <c r="H226" s="1400">
        <f>INT($A226*H225)</f>
        <v>84146</v>
      </c>
      <c r="I226" s="1398"/>
      <c r="J226" s="1258"/>
      <c r="K226" s="1398"/>
      <c r="L226" s="1258"/>
      <c r="M226" s="1412"/>
    </row>
    <row r="227" spans="1:13" ht="19.5" customHeight="1">
      <c r="A227" s="1264"/>
      <c r="B227" s="1265"/>
      <c r="C227" s="1265"/>
      <c r="D227" s="1270"/>
      <c r="E227" s="1424"/>
      <c r="F227" s="1407"/>
      <c r="G227" s="1430"/>
      <c r="H227" s="1407"/>
      <c r="I227" s="1430"/>
      <c r="J227" s="1269"/>
      <c r="K227" s="1430"/>
      <c r="L227" s="1269"/>
      <c r="M227" s="1425"/>
    </row>
    <row r="228" spans="1:13" ht="19.5" customHeight="1">
      <c r="A228" s="1267" t="s">
        <v>1200</v>
      </c>
      <c r="B228" s="1253"/>
      <c r="C228" s="1253"/>
      <c r="D228" s="1255"/>
      <c r="E228" s="1427"/>
      <c r="F228" s="1428"/>
      <c r="G228" s="1431"/>
      <c r="H228" s="1428"/>
      <c r="I228" s="1431"/>
      <c r="J228" s="1254"/>
      <c r="K228" s="1431"/>
      <c r="L228" s="1254"/>
      <c r="M228" s="1429"/>
    </row>
    <row r="229" spans="1:13" ht="19.5" customHeight="1">
      <c r="A229" s="1260" t="s">
        <v>534</v>
      </c>
      <c r="B229" s="1257"/>
      <c r="C229" s="1261" t="s">
        <v>41</v>
      </c>
      <c r="D229" s="1390">
        <f>'하천기본계획(기준소요인력)'!$H$108</f>
        <v>0</v>
      </c>
      <c r="E229" s="1399">
        <f t="shared" ref="E229:E233" si="56">SUM(G229,I229,K229)</f>
        <v>467217</v>
      </c>
      <c r="F229" s="1400">
        <f t="shared" ref="F229:F233" si="57">SUM(H229,J229,L229)</f>
        <v>0</v>
      </c>
      <c r="G229" s="1399">
        <f>'산근3 노임'!$B$5</f>
        <v>467217</v>
      </c>
      <c r="H229" s="1400">
        <f t="shared" ref="H229:H233" si="58">TRUNC(D229*G229,0)</f>
        <v>0</v>
      </c>
      <c r="I229" s="1398"/>
      <c r="J229" s="1258"/>
      <c r="K229" s="1398"/>
      <c r="L229" s="1258"/>
      <c r="M229" s="1412"/>
    </row>
    <row r="230" spans="1:13" ht="19.5" customHeight="1">
      <c r="A230" s="1260" t="s">
        <v>140</v>
      </c>
      <c r="B230" s="1257"/>
      <c r="C230" s="1261" t="s">
        <v>41</v>
      </c>
      <c r="D230" s="1390">
        <f>'하천기본계획(기준소요인력)'!$I$108</f>
        <v>0</v>
      </c>
      <c r="E230" s="1399">
        <f t="shared" si="56"/>
        <v>373353</v>
      </c>
      <c r="F230" s="1400">
        <f t="shared" si="57"/>
        <v>0</v>
      </c>
      <c r="G230" s="1399">
        <f>'산근3 노임'!$B$6</f>
        <v>373353</v>
      </c>
      <c r="H230" s="1400">
        <f t="shared" si="58"/>
        <v>0</v>
      </c>
      <c r="I230" s="1398"/>
      <c r="J230" s="1258"/>
      <c r="K230" s="1398"/>
      <c r="L230" s="1258"/>
      <c r="M230" s="1412"/>
    </row>
    <row r="231" spans="1:13" ht="19.5" customHeight="1">
      <c r="A231" s="1260" t="s">
        <v>145</v>
      </c>
      <c r="B231" s="1257"/>
      <c r="C231" s="1261" t="s">
        <v>41</v>
      </c>
      <c r="D231" s="1390">
        <f>'하천기본계획(기준소요인력)'!$J$108</f>
        <v>0.1</v>
      </c>
      <c r="E231" s="1399">
        <f t="shared" si="56"/>
        <v>310884</v>
      </c>
      <c r="F231" s="1400">
        <f t="shared" si="57"/>
        <v>31088</v>
      </c>
      <c r="G231" s="1399">
        <f>'산근3 노임'!$B$7</f>
        <v>310884</v>
      </c>
      <c r="H231" s="1400">
        <f t="shared" si="58"/>
        <v>31088</v>
      </c>
      <c r="I231" s="1398"/>
      <c r="J231" s="1258"/>
      <c r="K231" s="1398"/>
      <c r="L231" s="1258"/>
      <c r="M231" s="1412"/>
    </row>
    <row r="232" spans="1:13" ht="19.5" customHeight="1">
      <c r="A232" s="1260" t="s">
        <v>161</v>
      </c>
      <c r="B232" s="1257"/>
      <c r="C232" s="1261" t="s">
        <v>41</v>
      </c>
      <c r="D232" s="1390">
        <f>'하천기본계획(기준소요인력)'!$K$108</f>
        <v>0</v>
      </c>
      <c r="E232" s="1399">
        <f t="shared" si="56"/>
        <v>295138</v>
      </c>
      <c r="F232" s="1400">
        <f t="shared" si="57"/>
        <v>0</v>
      </c>
      <c r="G232" s="1399">
        <f>'산근3 노임'!$B$8</f>
        <v>295138</v>
      </c>
      <c r="H232" s="1400">
        <f t="shared" si="58"/>
        <v>0</v>
      </c>
      <c r="I232" s="1398"/>
      <c r="J232" s="1258"/>
      <c r="K232" s="1398"/>
      <c r="L232" s="1258"/>
      <c r="M232" s="1412"/>
    </row>
    <row r="233" spans="1:13" ht="19.5" customHeight="1">
      <c r="A233" s="1260" t="s">
        <v>159</v>
      </c>
      <c r="B233" s="1257"/>
      <c r="C233" s="1261" t="s">
        <v>41</v>
      </c>
      <c r="D233" s="1390">
        <f>'하천기본계획(기준소요인력)'!$L$108</f>
        <v>0</v>
      </c>
      <c r="E233" s="1399">
        <f t="shared" si="56"/>
        <v>235459</v>
      </c>
      <c r="F233" s="1400">
        <f t="shared" si="57"/>
        <v>0</v>
      </c>
      <c r="G233" s="1399">
        <f>'산근3 노임'!$B$9</f>
        <v>235459</v>
      </c>
      <c r="H233" s="1400">
        <f t="shared" si="58"/>
        <v>0</v>
      </c>
      <c r="I233" s="1398"/>
      <c r="J233" s="1258"/>
      <c r="K233" s="1398"/>
      <c r="L233" s="1258"/>
      <c r="M233" s="1412"/>
    </row>
    <row r="234" spans="1:13" ht="19.5" customHeight="1">
      <c r="A234" s="1262" t="s">
        <v>235</v>
      </c>
      <c r="B234" s="1257"/>
      <c r="C234" s="1257"/>
      <c r="D234" s="1259"/>
      <c r="E234" s="1399"/>
      <c r="F234" s="1400">
        <f>SUM(H234,J234,L234)</f>
        <v>31088</v>
      </c>
      <c r="G234" s="1398"/>
      <c r="H234" s="1400">
        <f>SUM(H229:H233)</f>
        <v>31088</v>
      </c>
      <c r="I234" s="1398"/>
      <c r="J234" s="1258"/>
      <c r="K234" s="1398"/>
      <c r="L234" s="1258"/>
      <c r="M234" s="1412"/>
    </row>
    <row r="235" spans="1:13" ht="19.5" customHeight="1">
      <c r="A235" s="1263">
        <f>$O$2</f>
        <v>1</v>
      </c>
      <c r="B235" s="1257"/>
      <c r="C235" s="1257"/>
      <c r="D235" s="1259"/>
      <c r="E235" s="1399"/>
      <c r="F235" s="1400">
        <f>INT($A235*F234)</f>
        <v>31088</v>
      </c>
      <c r="G235" s="1398"/>
      <c r="H235" s="1400">
        <f>INT($A235*H234)</f>
        <v>31088</v>
      </c>
      <c r="I235" s="1398"/>
      <c r="J235" s="1258"/>
      <c r="K235" s="1398"/>
      <c r="L235" s="1258"/>
      <c r="M235" s="1412"/>
    </row>
    <row r="236" spans="1:13" ht="19.5" customHeight="1">
      <c r="A236" s="1256" t="s">
        <v>1201</v>
      </c>
      <c r="B236" s="1257"/>
      <c r="C236" s="1257"/>
      <c r="D236" s="1259"/>
      <c r="E236" s="1399"/>
      <c r="F236" s="1400"/>
      <c r="G236" s="1398"/>
      <c r="H236" s="1400"/>
      <c r="I236" s="1398"/>
      <c r="J236" s="1258"/>
      <c r="K236" s="1398"/>
      <c r="L236" s="1258"/>
      <c r="M236" s="1412"/>
    </row>
    <row r="237" spans="1:13" ht="19.5" customHeight="1">
      <c r="A237" s="1260" t="s">
        <v>534</v>
      </c>
      <c r="B237" s="1257"/>
      <c r="C237" s="1261" t="s">
        <v>41</v>
      </c>
      <c r="D237" s="1390">
        <f>'하천기본계획(기준소요인력)'!$H$109</f>
        <v>0</v>
      </c>
      <c r="E237" s="1399">
        <f t="shared" ref="E237:E241" si="59">SUM(G237,I237,K237)</f>
        <v>467217</v>
      </c>
      <c r="F237" s="1400">
        <f t="shared" ref="F237:F241" si="60">SUM(H237,J237,L237)</f>
        <v>0</v>
      </c>
      <c r="G237" s="1399">
        <f>'산근3 노임'!$B$5</f>
        <v>467217</v>
      </c>
      <c r="H237" s="1400">
        <f t="shared" ref="H237:H241" si="61">TRUNC(D237*G237,0)</f>
        <v>0</v>
      </c>
      <c r="I237" s="1398"/>
      <c r="J237" s="1258"/>
      <c r="K237" s="1398"/>
      <c r="L237" s="1258"/>
      <c r="M237" s="1412"/>
    </row>
    <row r="238" spans="1:13" ht="19.5" customHeight="1">
      <c r="A238" s="1260" t="s">
        <v>140</v>
      </c>
      <c r="B238" s="1257"/>
      <c r="C238" s="1261" t="s">
        <v>41</v>
      </c>
      <c r="D238" s="1390">
        <f>'하천기본계획(기준소요인력)'!$I$109</f>
        <v>0</v>
      </c>
      <c r="E238" s="1399">
        <f t="shared" si="59"/>
        <v>373353</v>
      </c>
      <c r="F238" s="1400">
        <f t="shared" si="60"/>
        <v>0</v>
      </c>
      <c r="G238" s="1399">
        <f>'산근3 노임'!$B$6</f>
        <v>373353</v>
      </c>
      <c r="H238" s="1400">
        <f t="shared" si="61"/>
        <v>0</v>
      </c>
      <c r="I238" s="1398"/>
      <c r="J238" s="1258"/>
      <c r="K238" s="1398"/>
      <c r="L238" s="1258"/>
      <c r="M238" s="1412"/>
    </row>
    <row r="239" spans="1:13" ht="19.5" customHeight="1">
      <c r="A239" s="1260" t="s">
        <v>145</v>
      </c>
      <c r="B239" s="1257"/>
      <c r="C239" s="1261" t="s">
        <v>41</v>
      </c>
      <c r="D239" s="1390">
        <f>'하천기본계획(기준소요인력)'!$J$109</f>
        <v>0.1</v>
      </c>
      <c r="E239" s="1399">
        <f t="shared" si="59"/>
        <v>310884</v>
      </c>
      <c r="F239" s="1400">
        <f t="shared" si="60"/>
        <v>31088</v>
      </c>
      <c r="G239" s="1399">
        <f>'산근3 노임'!$B$7</f>
        <v>310884</v>
      </c>
      <c r="H239" s="1400">
        <f t="shared" si="61"/>
        <v>31088</v>
      </c>
      <c r="I239" s="1398"/>
      <c r="J239" s="1258"/>
      <c r="K239" s="1398"/>
      <c r="L239" s="1258"/>
      <c r="M239" s="1412"/>
    </row>
    <row r="240" spans="1:13" ht="19.5" customHeight="1">
      <c r="A240" s="1260" t="s">
        <v>161</v>
      </c>
      <c r="B240" s="1257"/>
      <c r="C240" s="1261" t="s">
        <v>41</v>
      </c>
      <c r="D240" s="1390">
        <f>'하천기본계획(기준소요인력)'!$K$109</f>
        <v>0.1</v>
      </c>
      <c r="E240" s="1399">
        <f t="shared" si="59"/>
        <v>295138</v>
      </c>
      <c r="F240" s="1400">
        <f t="shared" si="60"/>
        <v>29513</v>
      </c>
      <c r="G240" s="1399">
        <f>'산근3 노임'!$B$8</f>
        <v>295138</v>
      </c>
      <c r="H240" s="1400">
        <f t="shared" si="61"/>
        <v>29513</v>
      </c>
      <c r="I240" s="1398"/>
      <c r="J240" s="1258"/>
      <c r="K240" s="1398"/>
      <c r="L240" s="1258"/>
      <c r="M240" s="1412"/>
    </row>
    <row r="241" spans="1:13" ht="19.5" customHeight="1">
      <c r="A241" s="1260" t="s">
        <v>159</v>
      </c>
      <c r="B241" s="1257"/>
      <c r="C241" s="1261" t="s">
        <v>41</v>
      </c>
      <c r="D241" s="1390">
        <f>'하천기본계획(기준소요인력)'!$L$109</f>
        <v>0.1</v>
      </c>
      <c r="E241" s="1399">
        <f t="shared" si="59"/>
        <v>235459</v>
      </c>
      <c r="F241" s="1400">
        <f t="shared" si="60"/>
        <v>23545</v>
      </c>
      <c r="G241" s="1399">
        <f>'산근3 노임'!$B$9</f>
        <v>235459</v>
      </c>
      <c r="H241" s="1400">
        <f t="shared" si="61"/>
        <v>23545</v>
      </c>
      <c r="I241" s="1398"/>
      <c r="J241" s="1258"/>
      <c r="K241" s="1398"/>
      <c r="L241" s="1258"/>
      <c r="M241" s="1412"/>
    </row>
    <row r="242" spans="1:13" ht="19.5" customHeight="1">
      <c r="A242" s="1262" t="s">
        <v>235</v>
      </c>
      <c r="B242" s="1257"/>
      <c r="C242" s="1257"/>
      <c r="D242" s="1259"/>
      <c r="E242" s="1399"/>
      <c r="F242" s="1400">
        <f>SUM(H242,J242,L242)</f>
        <v>84146</v>
      </c>
      <c r="G242" s="1398"/>
      <c r="H242" s="1400">
        <f>SUM(H237:H241)</f>
        <v>84146</v>
      </c>
      <c r="I242" s="1398"/>
      <c r="J242" s="1258"/>
      <c r="K242" s="1398"/>
      <c r="L242" s="1258"/>
      <c r="M242" s="1412"/>
    </row>
    <row r="243" spans="1:13" ht="19.5" customHeight="1">
      <c r="A243" s="1263">
        <f>$O$2</f>
        <v>1</v>
      </c>
      <c r="B243" s="1257"/>
      <c r="C243" s="1257"/>
      <c r="D243" s="1259"/>
      <c r="E243" s="1399"/>
      <c r="F243" s="1400">
        <f>INT($A243*F242)</f>
        <v>84146</v>
      </c>
      <c r="G243" s="1398"/>
      <c r="H243" s="1400">
        <f>INT($A243*H242)</f>
        <v>84146</v>
      </c>
      <c r="I243" s="1398"/>
      <c r="J243" s="1258"/>
      <c r="K243" s="1398"/>
      <c r="L243" s="1258"/>
      <c r="M243" s="1412"/>
    </row>
    <row r="244" spans="1:13" ht="19.5" customHeight="1">
      <c r="A244" s="1256" t="s">
        <v>1202</v>
      </c>
      <c r="B244" s="1257"/>
      <c r="C244" s="1257"/>
      <c r="D244" s="1259"/>
      <c r="E244" s="1399"/>
      <c r="F244" s="1400"/>
      <c r="G244" s="1398"/>
      <c r="H244" s="1400"/>
      <c r="I244" s="1398"/>
      <c r="J244" s="1258"/>
      <c r="K244" s="1398"/>
      <c r="L244" s="1258"/>
      <c r="M244" s="1412"/>
    </row>
    <row r="245" spans="1:13" ht="19.5" customHeight="1">
      <c r="A245" s="1260" t="s">
        <v>534</v>
      </c>
      <c r="B245" s="1257"/>
      <c r="C245" s="1261" t="s">
        <v>41</v>
      </c>
      <c r="D245" s="1390">
        <f>'하천기본계획(기준소요인력)'!$H$110</f>
        <v>0</v>
      </c>
      <c r="E245" s="1399">
        <f t="shared" ref="E245:E249" si="62">SUM(G245,I245,K245)</f>
        <v>467217</v>
      </c>
      <c r="F245" s="1400">
        <f t="shared" ref="F245:F249" si="63">SUM(H245,J245,L245)</f>
        <v>0</v>
      </c>
      <c r="G245" s="1399">
        <f>'산근3 노임'!$B$5</f>
        <v>467217</v>
      </c>
      <c r="H245" s="1400">
        <f t="shared" ref="H245:H249" si="64">TRUNC(D245*G245,0)</f>
        <v>0</v>
      </c>
      <c r="I245" s="1398"/>
      <c r="J245" s="1258"/>
      <c r="K245" s="1398"/>
      <c r="L245" s="1258"/>
      <c r="M245" s="1412"/>
    </row>
    <row r="246" spans="1:13" ht="19.5" customHeight="1">
      <c r="A246" s="1260" t="s">
        <v>140</v>
      </c>
      <c r="B246" s="1257"/>
      <c r="C246" s="1261" t="s">
        <v>41</v>
      </c>
      <c r="D246" s="1390">
        <f>'하천기본계획(기준소요인력)'!$I$110</f>
        <v>0</v>
      </c>
      <c r="E246" s="1399">
        <f t="shared" si="62"/>
        <v>373353</v>
      </c>
      <c r="F246" s="1400">
        <f t="shared" si="63"/>
        <v>0</v>
      </c>
      <c r="G246" s="1399">
        <f>'산근3 노임'!$B$6</f>
        <v>373353</v>
      </c>
      <c r="H246" s="1400">
        <f t="shared" si="64"/>
        <v>0</v>
      </c>
      <c r="I246" s="1398"/>
      <c r="J246" s="1258"/>
      <c r="K246" s="1398"/>
      <c r="L246" s="1258"/>
      <c r="M246" s="1412"/>
    </row>
    <row r="247" spans="1:13" ht="19.5" customHeight="1">
      <c r="A247" s="1260" t="s">
        <v>145</v>
      </c>
      <c r="B247" s="1257"/>
      <c r="C247" s="1261" t="s">
        <v>41</v>
      </c>
      <c r="D247" s="1390">
        <f>'하천기본계획(기준소요인력)'!$J$110</f>
        <v>0.1</v>
      </c>
      <c r="E247" s="1399">
        <f t="shared" si="62"/>
        <v>310884</v>
      </c>
      <c r="F247" s="1400">
        <f t="shared" si="63"/>
        <v>31088</v>
      </c>
      <c r="G247" s="1399">
        <f>'산근3 노임'!$B$7</f>
        <v>310884</v>
      </c>
      <c r="H247" s="1400">
        <f t="shared" si="64"/>
        <v>31088</v>
      </c>
      <c r="I247" s="1398"/>
      <c r="J247" s="1258"/>
      <c r="K247" s="1398"/>
      <c r="L247" s="1258"/>
      <c r="M247" s="1412"/>
    </row>
    <row r="248" spans="1:13" ht="19.5" customHeight="1">
      <c r="A248" s="1260" t="s">
        <v>161</v>
      </c>
      <c r="B248" s="1257"/>
      <c r="C248" s="1261" t="s">
        <v>41</v>
      </c>
      <c r="D248" s="1390">
        <f>'하천기본계획(기준소요인력)'!$K$110</f>
        <v>0</v>
      </c>
      <c r="E248" s="1399">
        <f t="shared" si="62"/>
        <v>295138</v>
      </c>
      <c r="F248" s="1400">
        <f t="shared" si="63"/>
        <v>0</v>
      </c>
      <c r="G248" s="1399">
        <f>'산근3 노임'!$B$8</f>
        <v>295138</v>
      </c>
      <c r="H248" s="1400">
        <f t="shared" si="64"/>
        <v>0</v>
      </c>
      <c r="I248" s="1398"/>
      <c r="J248" s="1258"/>
      <c r="K248" s="1398"/>
      <c r="L248" s="1258"/>
      <c r="M248" s="1412"/>
    </row>
    <row r="249" spans="1:13" ht="19.5" customHeight="1">
      <c r="A249" s="1260" t="s">
        <v>159</v>
      </c>
      <c r="B249" s="1257"/>
      <c r="C249" s="1261" t="s">
        <v>41</v>
      </c>
      <c r="D249" s="1390">
        <f>'하천기본계획(기준소요인력)'!$L$110</f>
        <v>0</v>
      </c>
      <c r="E249" s="1399">
        <f t="shared" si="62"/>
        <v>235459</v>
      </c>
      <c r="F249" s="1400">
        <f t="shared" si="63"/>
        <v>0</v>
      </c>
      <c r="G249" s="1399">
        <f>'산근3 노임'!$B$9</f>
        <v>235459</v>
      </c>
      <c r="H249" s="1400">
        <f t="shared" si="64"/>
        <v>0</v>
      </c>
      <c r="I249" s="1398"/>
      <c r="J249" s="1258"/>
      <c r="K249" s="1398"/>
      <c r="L249" s="1258"/>
      <c r="M249" s="1412"/>
    </row>
    <row r="250" spans="1:13" ht="19.5" customHeight="1">
      <c r="A250" s="1262" t="s">
        <v>235</v>
      </c>
      <c r="B250" s="1257"/>
      <c r="C250" s="1257"/>
      <c r="D250" s="1259"/>
      <c r="E250" s="1399"/>
      <c r="F250" s="1400">
        <f>SUM(H250,J250,L250)</f>
        <v>31088</v>
      </c>
      <c r="G250" s="1398"/>
      <c r="H250" s="1400">
        <f>SUM(H245:H249)</f>
        <v>31088</v>
      </c>
      <c r="I250" s="1398"/>
      <c r="J250" s="1258"/>
      <c r="K250" s="1398"/>
      <c r="L250" s="1258"/>
      <c r="M250" s="1412"/>
    </row>
    <row r="251" spans="1:13" ht="19.5" customHeight="1">
      <c r="A251" s="1263">
        <f>$O$2</f>
        <v>1</v>
      </c>
      <c r="B251" s="1257"/>
      <c r="C251" s="1257"/>
      <c r="D251" s="1259"/>
      <c r="E251" s="1399"/>
      <c r="F251" s="1400">
        <f>INT($A251*F250)</f>
        <v>31088</v>
      </c>
      <c r="G251" s="1398"/>
      <c r="H251" s="1400">
        <f>INT($A251*H250)</f>
        <v>31088</v>
      </c>
      <c r="I251" s="1398"/>
      <c r="J251" s="1258"/>
      <c r="K251" s="1398"/>
      <c r="L251" s="1258"/>
      <c r="M251" s="1412"/>
    </row>
    <row r="252" spans="1:13" ht="19.5" customHeight="1">
      <c r="A252" s="1264"/>
      <c r="B252" s="1265"/>
      <c r="C252" s="1265"/>
      <c r="D252" s="1270"/>
      <c r="E252" s="1424"/>
      <c r="F252" s="1407"/>
      <c r="G252" s="1430"/>
      <c r="H252" s="1407"/>
      <c r="I252" s="1430"/>
      <c r="J252" s="1269"/>
      <c r="K252" s="1430"/>
      <c r="L252" s="1269"/>
      <c r="M252" s="1425"/>
    </row>
    <row r="253" spans="1:13" ht="19.5" customHeight="1">
      <c r="A253" s="1267" t="s">
        <v>1203</v>
      </c>
      <c r="B253" s="1253"/>
      <c r="C253" s="1268"/>
      <c r="D253" s="1426"/>
      <c r="E253" s="1427"/>
      <c r="F253" s="1428"/>
      <c r="G253" s="1427"/>
      <c r="H253" s="1428"/>
      <c r="I253" s="1427"/>
      <c r="J253" s="1428"/>
      <c r="K253" s="1427"/>
      <c r="L253" s="1428"/>
      <c r="M253" s="1429"/>
    </row>
    <row r="254" spans="1:13" ht="19.5" customHeight="1">
      <c r="A254" s="1260" t="s">
        <v>534</v>
      </c>
      <c r="B254" s="1257"/>
      <c r="C254" s="1261" t="s">
        <v>41</v>
      </c>
      <c r="D254" s="1390">
        <f>'하천기본계획(기준소요인력)'!$H$112</f>
        <v>0</v>
      </c>
      <c r="E254" s="1399">
        <f t="shared" ref="E254:F258" si="65">SUM(G254,I254,K254)</f>
        <v>467217</v>
      </c>
      <c r="F254" s="1400">
        <f t="shared" si="65"/>
        <v>0</v>
      </c>
      <c r="G254" s="1399">
        <f>'산근3 노임'!$B$5</f>
        <v>467217</v>
      </c>
      <c r="H254" s="1400">
        <f t="shared" ref="H254:H258" si="66">TRUNC(D254*G254,0)</f>
        <v>0</v>
      </c>
      <c r="I254" s="1399"/>
      <c r="J254" s="1400"/>
      <c r="K254" s="1399"/>
      <c r="L254" s="1400"/>
      <c r="M254" s="1412"/>
    </row>
    <row r="255" spans="1:13" ht="19.5" customHeight="1">
      <c r="A255" s="1260" t="s">
        <v>140</v>
      </c>
      <c r="B255" s="1257"/>
      <c r="C255" s="1261" t="s">
        <v>41</v>
      </c>
      <c r="D255" s="1390">
        <f>'하천기본계획(기준소요인력)'!$I$112</f>
        <v>0.3</v>
      </c>
      <c r="E255" s="1399">
        <f t="shared" si="65"/>
        <v>373353</v>
      </c>
      <c r="F255" s="1400">
        <f t="shared" si="65"/>
        <v>112005</v>
      </c>
      <c r="G255" s="1399">
        <f>'산근3 노임'!$B$6</f>
        <v>373353</v>
      </c>
      <c r="H255" s="1400">
        <f t="shared" si="66"/>
        <v>112005</v>
      </c>
      <c r="I255" s="1399"/>
      <c r="J255" s="1400"/>
      <c r="K255" s="1399"/>
      <c r="L255" s="1400"/>
      <c r="M255" s="1412"/>
    </row>
    <row r="256" spans="1:13" ht="19.5" customHeight="1">
      <c r="A256" s="1260" t="s">
        <v>145</v>
      </c>
      <c r="B256" s="1257"/>
      <c r="C256" s="1261" t="s">
        <v>41</v>
      </c>
      <c r="D256" s="1390">
        <f>'하천기본계획(기준소요인력)'!$J$112</f>
        <v>0.4</v>
      </c>
      <c r="E256" s="1399">
        <f t="shared" si="65"/>
        <v>310884</v>
      </c>
      <c r="F256" s="1400">
        <f t="shared" si="65"/>
        <v>124353</v>
      </c>
      <c r="G256" s="1399">
        <f>'산근3 노임'!$B$7</f>
        <v>310884</v>
      </c>
      <c r="H256" s="1400">
        <f t="shared" si="66"/>
        <v>124353</v>
      </c>
      <c r="I256" s="1399"/>
      <c r="J256" s="1400"/>
      <c r="K256" s="1399"/>
      <c r="L256" s="1400"/>
      <c r="M256" s="1412"/>
    </row>
    <row r="257" spans="1:13" ht="19.5" customHeight="1">
      <c r="A257" s="1260" t="s">
        <v>161</v>
      </c>
      <c r="B257" s="1257"/>
      <c r="C257" s="1261" t="s">
        <v>41</v>
      </c>
      <c r="D257" s="1390">
        <f>'하천기본계획(기준소요인력)'!$K$112</f>
        <v>1.2</v>
      </c>
      <c r="E257" s="1399">
        <f t="shared" si="65"/>
        <v>295138</v>
      </c>
      <c r="F257" s="1400">
        <f t="shared" si="65"/>
        <v>354165</v>
      </c>
      <c r="G257" s="1399">
        <f>'산근3 노임'!$B$8</f>
        <v>295138</v>
      </c>
      <c r="H257" s="1400">
        <f t="shared" si="66"/>
        <v>354165</v>
      </c>
      <c r="I257" s="1399"/>
      <c r="J257" s="1400"/>
      <c r="K257" s="1399"/>
      <c r="L257" s="1400"/>
      <c r="M257" s="1412"/>
    </row>
    <row r="258" spans="1:13" ht="19.5" customHeight="1">
      <c r="A258" s="1260" t="s">
        <v>159</v>
      </c>
      <c r="B258" s="1257"/>
      <c r="C258" s="1261" t="s">
        <v>41</v>
      </c>
      <c r="D258" s="1390">
        <f>'하천기본계획(기준소요인력)'!$L$112</f>
        <v>2.2000000000000002</v>
      </c>
      <c r="E258" s="1399">
        <f t="shared" si="65"/>
        <v>235459</v>
      </c>
      <c r="F258" s="1400">
        <f t="shared" si="65"/>
        <v>518009</v>
      </c>
      <c r="G258" s="1399">
        <f>'산근3 노임'!$B$9</f>
        <v>235459</v>
      </c>
      <c r="H258" s="1400">
        <f t="shared" si="66"/>
        <v>518009</v>
      </c>
      <c r="I258" s="1399"/>
      <c r="J258" s="1400"/>
      <c r="K258" s="1399"/>
      <c r="L258" s="1400"/>
      <c r="M258" s="1412"/>
    </row>
    <row r="259" spans="1:13" ht="19.5" customHeight="1">
      <c r="A259" s="1262" t="s">
        <v>235</v>
      </c>
      <c r="B259" s="1257"/>
      <c r="C259" s="1257"/>
      <c r="D259" s="1259"/>
      <c r="E259" s="1399"/>
      <c r="F259" s="1400">
        <f>SUM(H259,J259,L259)</f>
        <v>1108532</v>
      </c>
      <c r="G259" s="1398"/>
      <c r="H259" s="1400">
        <f>SUM(H254:H258)</f>
        <v>1108532</v>
      </c>
      <c r="I259" s="1398"/>
      <c r="J259" s="1258"/>
      <c r="K259" s="1398"/>
      <c r="L259" s="1258"/>
      <c r="M259" s="1412"/>
    </row>
    <row r="260" spans="1:13" ht="19.5" customHeight="1">
      <c r="A260" s="1263">
        <f>$O$2</f>
        <v>1</v>
      </c>
      <c r="B260" s="1257"/>
      <c r="C260" s="1257"/>
      <c r="D260" s="1259"/>
      <c r="E260" s="1399"/>
      <c r="F260" s="1400">
        <f>INT($A260*F259)</f>
        <v>1108532</v>
      </c>
      <c r="G260" s="1398"/>
      <c r="H260" s="1400">
        <f>INT($A260*H259)</f>
        <v>1108532</v>
      </c>
      <c r="I260" s="1398"/>
      <c r="J260" s="1258"/>
      <c r="K260" s="1398"/>
      <c r="L260" s="1258"/>
      <c r="M260" s="1412"/>
    </row>
    <row r="261" spans="1:13" ht="19.5" customHeight="1">
      <c r="A261" s="1256" t="s">
        <v>1204</v>
      </c>
      <c r="B261" s="1257"/>
      <c r="C261" s="1261"/>
      <c r="D261" s="1390"/>
      <c r="E261" s="1399"/>
      <c r="F261" s="1400"/>
      <c r="G261" s="1399"/>
      <c r="H261" s="1400"/>
      <c r="I261" s="1398"/>
      <c r="J261" s="1258"/>
      <c r="K261" s="1398"/>
      <c r="L261" s="1258"/>
      <c r="M261" s="1412"/>
    </row>
    <row r="262" spans="1:13" ht="19.5" customHeight="1">
      <c r="A262" s="1260" t="s">
        <v>534</v>
      </c>
      <c r="B262" s="1257"/>
      <c r="C262" s="1261" t="s">
        <v>41</v>
      </c>
      <c r="D262" s="1390">
        <f>'하천기본계획(기준소요인력)'!$H$114</f>
        <v>0</v>
      </c>
      <c r="E262" s="1399">
        <f t="shared" ref="E262:E266" si="67">SUM(G262,I262,K262)</f>
        <v>467217</v>
      </c>
      <c r="F262" s="1400">
        <f t="shared" ref="F262:F266" si="68">SUM(H262,J262,L262)</f>
        <v>0</v>
      </c>
      <c r="G262" s="1399">
        <f>'산근3 노임'!$B$5</f>
        <v>467217</v>
      </c>
      <c r="H262" s="1400">
        <f t="shared" ref="H262:H266" si="69">TRUNC(D262*G262,0)</f>
        <v>0</v>
      </c>
      <c r="I262" s="1399"/>
      <c r="J262" s="1400"/>
      <c r="K262" s="1399"/>
      <c r="L262" s="1400"/>
      <c r="M262" s="1412"/>
    </row>
    <row r="263" spans="1:13" ht="19.5" customHeight="1">
      <c r="A263" s="1260" t="s">
        <v>140</v>
      </c>
      <c r="B263" s="1257"/>
      <c r="C263" s="1261" t="s">
        <v>41</v>
      </c>
      <c r="D263" s="1390">
        <f>'하천기본계획(기준소요인력)'!$I$114</f>
        <v>0</v>
      </c>
      <c r="E263" s="1399">
        <f t="shared" si="67"/>
        <v>373353</v>
      </c>
      <c r="F263" s="1400">
        <f t="shared" si="68"/>
        <v>0</v>
      </c>
      <c r="G263" s="1399">
        <f>'산근3 노임'!$B$6</f>
        <v>373353</v>
      </c>
      <c r="H263" s="1400">
        <f t="shared" si="69"/>
        <v>0</v>
      </c>
      <c r="I263" s="1399"/>
      <c r="J263" s="1400"/>
      <c r="K263" s="1399"/>
      <c r="L263" s="1400"/>
      <c r="M263" s="1412"/>
    </row>
    <row r="264" spans="1:13" ht="19.5" customHeight="1">
      <c r="A264" s="1260" t="s">
        <v>145</v>
      </c>
      <c r="B264" s="1257"/>
      <c r="C264" s="1261" t="s">
        <v>41</v>
      </c>
      <c r="D264" s="1390">
        <f>'하천기본계획(기준소요인력)'!$J$114</f>
        <v>0.2</v>
      </c>
      <c r="E264" s="1399">
        <f t="shared" si="67"/>
        <v>310884</v>
      </c>
      <c r="F264" s="1400">
        <f t="shared" si="68"/>
        <v>62176</v>
      </c>
      <c r="G264" s="1399">
        <f>'산근3 노임'!$B$7</f>
        <v>310884</v>
      </c>
      <c r="H264" s="1400">
        <f t="shared" si="69"/>
        <v>62176</v>
      </c>
      <c r="I264" s="1399"/>
      <c r="J264" s="1400"/>
      <c r="K264" s="1399"/>
      <c r="L264" s="1400"/>
      <c r="M264" s="1412"/>
    </row>
    <row r="265" spans="1:13" ht="19.5" customHeight="1">
      <c r="A265" s="1260" t="s">
        <v>161</v>
      </c>
      <c r="B265" s="1257"/>
      <c r="C265" s="1261" t="s">
        <v>41</v>
      </c>
      <c r="D265" s="1390">
        <f>'하천기본계획(기준소요인력)'!$K$114</f>
        <v>0.3</v>
      </c>
      <c r="E265" s="1399">
        <f t="shared" si="67"/>
        <v>295138</v>
      </c>
      <c r="F265" s="1400">
        <f t="shared" si="68"/>
        <v>88541</v>
      </c>
      <c r="G265" s="1399">
        <f>'산근3 노임'!$B$8</f>
        <v>295138</v>
      </c>
      <c r="H265" s="1400">
        <f t="shared" si="69"/>
        <v>88541</v>
      </c>
      <c r="I265" s="1399"/>
      <c r="J265" s="1400"/>
      <c r="K265" s="1399"/>
      <c r="L265" s="1400"/>
      <c r="M265" s="1412"/>
    </row>
    <row r="266" spans="1:13" ht="19.5" customHeight="1">
      <c r="A266" s="1260" t="s">
        <v>159</v>
      </c>
      <c r="B266" s="1257"/>
      <c r="C266" s="1261" t="s">
        <v>41</v>
      </c>
      <c r="D266" s="1390">
        <f>'하천기본계획(기준소요인력)'!$L$114</f>
        <v>0.5</v>
      </c>
      <c r="E266" s="1399">
        <f t="shared" si="67"/>
        <v>235459</v>
      </c>
      <c r="F266" s="1400">
        <f t="shared" si="68"/>
        <v>117729</v>
      </c>
      <c r="G266" s="1399">
        <f>'산근3 노임'!$B$9</f>
        <v>235459</v>
      </c>
      <c r="H266" s="1400">
        <f t="shared" si="69"/>
        <v>117729</v>
      </c>
      <c r="I266" s="1399"/>
      <c r="J266" s="1400"/>
      <c r="K266" s="1399"/>
      <c r="L266" s="1400"/>
      <c r="M266" s="1412"/>
    </row>
    <row r="267" spans="1:13" ht="19.5" customHeight="1">
      <c r="A267" s="1262" t="s">
        <v>235</v>
      </c>
      <c r="B267" s="1257"/>
      <c r="C267" s="1257"/>
      <c r="D267" s="1259"/>
      <c r="E267" s="1399"/>
      <c r="F267" s="1400">
        <f>SUM(H267,J267,L267)</f>
        <v>268446</v>
      </c>
      <c r="G267" s="1398"/>
      <c r="H267" s="1400">
        <f>SUM(H262:H266)</f>
        <v>268446</v>
      </c>
      <c r="I267" s="1399"/>
      <c r="J267" s="1400"/>
      <c r="K267" s="1399"/>
      <c r="L267" s="1400"/>
      <c r="M267" s="1412"/>
    </row>
    <row r="268" spans="1:13" ht="19.5" customHeight="1">
      <c r="A268" s="1263">
        <f>$O$2</f>
        <v>1</v>
      </c>
      <c r="B268" s="1257"/>
      <c r="C268" s="1257"/>
      <c r="D268" s="1259"/>
      <c r="E268" s="1399"/>
      <c r="F268" s="1400">
        <f>INT($A268*F267)</f>
        <v>268446</v>
      </c>
      <c r="G268" s="1398"/>
      <c r="H268" s="1400">
        <f>INT($A268*H267)</f>
        <v>268446</v>
      </c>
      <c r="I268" s="1398"/>
      <c r="J268" s="1258"/>
      <c r="K268" s="1398"/>
      <c r="L268" s="1258"/>
      <c r="M268" s="1412"/>
    </row>
    <row r="269" spans="1:13" ht="19.5" customHeight="1">
      <c r="A269" s="1256" t="s">
        <v>1205</v>
      </c>
      <c r="B269" s="1257"/>
      <c r="C269" s="1261"/>
      <c r="D269" s="1390"/>
      <c r="E269" s="1399"/>
      <c r="F269" s="1400"/>
      <c r="G269" s="1399"/>
      <c r="H269" s="1400"/>
      <c r="I269" s="1398"/>
      <c r="J269" s="1258"/>
      <c r="K269" s="1398"/>
      <c r="L269" s="1258"/>
      <c r="M269" s="1412"/>
    </row>
    <row r="270" spans="1:13" ht="19.5" customHeight="1">
      <c r="A270" s="1260" t="s">
        <v>534</v>
      </c>
      <c r="B270" s="1257"/>
      <c r="C270" s="1261" t="s">
        <v>41</v>
      </c>
      <c r="D270" s="1390">
        <f>'하천기본계획(기준소요인력)'!$H$115</f>
        <v>0</v>
      </c>
      <c r="E270" s="1399">
        <f t="shared" ref="E270:E274" si="70">SUM(G270,I270,K270)</f>
        <v>467217</v>
      </c>
      <c r="F270" s="1400">
        <f t="shared" ref="F270:F274" si="71">SUM(H270,J270,L270)</f>
        <v>0</v>
      </c>
      <c r="G270" s="1399">
        <f>'산근3 노임'!$B$5</f>
        <v>467217</v>
      </c>
      <c r="H270" s="1400">
        <f t="shared" ref="H270:H274" si="72">TRUNC(D270*G270,0)</f>
        <v>0</v>
      </c>
      <c r="I270" s="1398"/>
      <c r="J270" s="1258"/>
      <c r="K270" s="1398"/>
      <c r="L270" s="1258"/>
      <c r="M270" s="1412"/>
    </row>
    <row r="271" spans="1:13" ht="19.5" customHeight="1">
      <c r="A271" s="1260" t="s">
        <v>140</v>
      </c>
      <c r="B271" s="1257"/>
      <c r="C271" s="1261" t="s">
        <v>41</v>
      </c>
      <c r="D271" s="1390">
        <f>'하천기본계획(기준소요인력)'!$I$115</f>
        <v>0</v>
      </c>
      <c r="E271" s="1399">
        <f t="shared" si="70"/>
        <v>373353</v>
      </c>
      <c r="F271" s="1400">
        <f t="shared" si="71"/>
        <v>0</v>
      </c>
      <c r="G271" s="1399">
        <f>'산근3 노임'!$B$6</f>
        <v>373353</v>
      </c>
      <c r="H271" s="1400">
        <f t="shared" si="72"/>
        <v>0</v>
      </c>
      <c r="I271" s="1398"/>
      <c r="J271" s="1258"/>
      <c r="K271" s="1398"/>
      <c r="L271" s="1258"/>
      <c r="M271" s="1412"/>
    </row>
    <row r="272" spans="1:13" ht="19.5" customHeight="1">
      <c r="A272" s="1260" t="s">
        <v>145</v>
      </c>
      <c r="B272" s="1257"/>
      <c r="C272" s="1261" t="s">
        <v>41</v>
      </c>
      <c r="D272" s="1390">
        <f>'하천기본계획(기준소요인력)'!$J$115</f>
        <v>0.1</v>
      </c>
      <c r="E272" s="1399">
        <f t="shared" si="70"/>
        <v>310884</v>
      </c>
      <c r="F272" s="1400">
        <f t="shared" si="71"/>
        <v>31088</v>
      </c>
      <c r="G272" s="1399">
        <f>'산근3 노임'!$B$7</f>
        <v>310884</v>
      </c>
      <c r="H272" s="1400">
        <f t="shared" si="72"/>
        <v>31088</v>
      </c>
      <c r="I272" s="1398"/>
      <c r="J272" s="1258"/>
      <c r="K272" s="1398"/>
      <c r="L272" s="1258"/>
      <c r="M272" s="1412"/>
    </row>
    <row r="273" spans="1:13" ht="19.5" customHeight="1">
      <c r="A273" s="1260" t="s">
        <v>161</v>
      </c>
      <c r="B273" s="1257"/>
      <c r="C273" s="1261" t="s">
        <v>41</v>
      </c>
      <c r="D273" s="1390">
        <f>'하천기본계획(기준소요인력)'!$K$115</f>
        <v>0.1</v>
      </c>
      <c r="E273" s="1399">
        <f t="shared" si="70"/>
        <v>295138</v>
      </c>
      <c r="F273" s="1400">
        <f t="shared" si="71"/>
        <v>29513</v>
      </c>
      <c r="G273" s="1399">
        <f>'산근3 노임'!$B$8</f>
        <v>295138</v>
      </c>
      <c r="H273" s="1400">
        <f t="shared" si="72"/>
        <v>29513</v>
      </c>
      <c r="I273" s="1398"/>
      <c r="J273" s="1258"/>
      <c r="K273" s="1398"/>
      <c r="L273" s="1258"/>
      <c r="M273" s="1412"/>
    </row>
    <row r="274" spans="1:13" ht="19.5" customHeight="1">
      <c r="A274" s="1260" t="s">
        <v>159</v>
      </c>
      <c r="B274" s="1257"/>
      <c r="C274" s="1261" t="s">
        <v>41</v>
      </c>
      <c r="D274" s="1390">
        <f>'하천기본계획(기준소요인력)'!$L$115</f>
        <v>0.2</v>
      </c>
      <c r="E274" s="1399">
        <f t="shared" si="70"/>
        <v>235459</v>
      </c>
      <c r="F274" s="1400">
        <f t="shared" si="71"/>
        <v>47091</v>
      </c>
      <c r="G274" s="1399">
        <f>'산근3 노임'!$B$9</f>
        <v>235459</v>
      </c>
      <c r="H274" s="1400">
        <f t="shared" si="72"/>
        <v>47091</v>
      </c>
      <c r="I274" s="1398"/>
      <c r="J274" s="1258"/>
      <c r="K274" s="1398"/>
      <c r="L274" s="1258"/>
      <c r="M274" s="1412"/>
    </row>
    <row r="275" spans="1:13" ht="19.5" customHeight="1">
      <c r="A275" s="1262" t="s">
        <v>235</v>
      </c>
      <c r="B275" s="1257"/>
      <c r="C275" s="1257"/>
      <c r="D275" s="1259"/>
      <c r="E275" s="1399"/>
      <c r="F275" s="1400">
        <f>SUM(H275,J275,L275)</f>
        <v>107692</v>
      </c>
      <c r="G275" s="1398"/>
      <c r="H275" s="1400">
        <f>SUM(H270:H274)</f>
        <v>107692</v>
      </c>
      <c r="I275" s="1398"/>
      <c r="J275" s="1258"/>
      <c r="K275" s="1398"/>
      <c r="L275" s="1258"/>
      <c r="M275" s="1412"/>
    </row>
    <row r="276" spans="1:13" ht="19.5" customHeight="1">
      <c r="A276" s="1263">
        <f>$O$2</f>
        <v>1</v>
      </c>
      <c r="B276" s="1257"/>
      <c r="C276" s="1257"/>
      <c r="D276" s="1259"/>
      <c r="E276" s="1399"/>
      <c r="F276" s="1400">
        <f>INT($A276*F275)</f>
        <v>107692</v>
      </c>
      <c r="G276" s="1398"/>
      <c r="H276" s="1400">
        <f>INT($A276*H275)</f>
        <v>107692</v>
      </c>
      <c r="I276" s="1398"/>
      <c r="J276" s="1258"/>
      <c r="K276" s="1398"/>
      <c r="L276" s="1258"/>
      <c r="M276" s="1412"/>
    </row>
    <row r="277" spans="1:13" ht="19.5" customHeight="1">
      <c r="A277" s="1264"/>
      <c r="B277" s="1265"/>
      <c r="C277" s="1265"/>
      <c r="D277" s="1270"/>
      <c r="E277" s="1424"/>
      <c r="F277" s="1407"/>
      <c r="G277" s="1430"/>
      <c r="H277" s="1407"/>
      <c r="I277" s="1430"/>
      <c r="J277" s="1269"/>
      <c r="K277" s="1430"/>
      <c r="L277" s="1269"/>
      <c r="M277" s="1425"/>
    </row>
    <row r="278" spans="1:13" ht="19.5" customHeight="1">
      <c r="A278" s="1267" t="s">
        <v>1206</v>
      </c>
      <c r="B278" s="1253"/>
      <c r="C278" s="1268"/>
      <c r="D278" s="1426"/>
      <c r="E278" s="1427"/>
      <c r="F278" s="1428"/>
      <c r="G278" s="1427"/>
      <c r="H278" s="1428"/>
      <c r="I278" s="1431"/>
      <c r="J278" s="1254"/>
      <c r="K278" s="1431"/>
      <c r="L278" s="1254"/>
      <c r="M278" s="1429"/>
    </row>
    <row r="279" spans="1:13" ht="19.5" customHeight="1">
      <c r="A279" s="1260" t="s">
        <v>534</v>
      </c>
      <c r="B279" s="1257"/>
      <c r="C279" s="1261" t="s">
        <v>41</v>
      </c>
      <c r="D279" s="1390">
        <f>'하천기본계획(기준소요인력)'!$H$116</f>
        <v>0</v>
      </c>
      <c r="E279" s="1399">
        <f t="shared" ref="E279:E283" si="73">SUM(G279,I279,K279)</f>
        <v>467217</v>
      </c>
      <c r="F279" s="1400">
        <f t="shared" ref="F279:F283" si="74">SUM(H279,J279,L279)</f>
        <v>0</v>
      </c>
      <c r="G279" s="1399">
        <f>'산근3 노임'!$B$5</f>
        <v>467217</v>
      </c>
      <c r="H279" s="1400">
        <f t="shared" ref="H279:H283" si="75">TRUNC(D279*G279,0)</f>
        <v>0</v>
      </c>
      <c r="I279" s="1398"/>
      <c r="J279" s="1258"/>
      <c r="K279" s="1398"/>
      <c r="L279" s="1258"/>
      <c r="M279" s="1412"/>
    </row>
    <row r="280" spans="1:13" ht="19.5" customHeight="1">
      <c r="A280" s="1260" t="s">
        <v>140</v>
      </c>
      <c r="B280" s="1257"/>
      <c r="C280" s="1261" t="s">
        <v>41</v>
      </c>
      <c r="D280" s="1390">
        <f>'하천기본계획(기준소요인력)'!$I$116</f>
        <v>0</v>
      </c>
      <c r="E280" s="1399">
        <f t="shared" si="73"/>
        <v>373353</v>
      </c>
      <c r="F280" s="1400">
        <f t="shared" si="74"/>
        <v>0</v>
      </c>
      <c r="G280" s="1399">
        <f>'산근3 노임'!$B$6</f>
        <v>373353</v>
      </c>
      <c r="H280" s="1400">
        <f t="shared" si="75"/>
        <v>0</v>
      </c>
      <c r="I280" s="1398"/>
      <c r="J280" s="1258"/>
      <c r="K280" s="1398"/>
      <c r="L280" s="1258"/>
      <c r="M280" s="1412"/>
    </row>
    <row r="281" spans="1:13" ht="19.5" customHeight="1">
      <c r="A281" s="1260" t="s">
        <v>145</v>
      </c>
      <c r="B281" s="1257"/>
      <c r="C281" s="1261" t="s">
        <v>41</v>
      </c>
      <c r="D281" s="1390">
        <f>'하천기본계획(기준소요인력)'!$J$116</f>
        <v>0.2</v>
      </c>
      <c r="E281" s="1399">
        <f t="shared" si="73"/>
        <v>310884</v>
      </c>
      <c r="F281" s="1400">
        <f t="shared" si="74"/>
        <v>62176</v>
      </c>
      <c r="G281" s="1399">
        <f>'산근3 노임'!$B$7</f>
        <v>310884</v>
      </c>
      <c r="H281" s="1400">
        <f t="shared" si="75"/>
        <v>62176</v>
      </c>
      <c r="I281" s="1398"/>
      <c r="J281" s="1258"/>
      <c r="K281" s="1398"/>
      <c r="L281" s="1258"/>
      <c r="M281" s="1412"/>
    </row>
    <row r="282" spans="1:13" ht="19.5" customHeight="1">
      <c r="A282" s="1260" t="s">
        <v>161</v>
      </c>
      <c r="B282" s="1257"/>
      <c r="C282" s="1261" t="s">
        <v>41</v>
      </c>
      <c r="D282" s="1390">
        <f>'하천기본계획(기준소요인력)'!$K$116</f>
        <v>0.2</v>
      </c>
      <c r="E282" s="1399">
        <f t="shared" si="73"/>
        <v>295138</v>
      </c>
      <c r="F282" s="1400">
        <f t="shared" si="74"/>
        <v>59027</v>
      </c>
      <c r="G282" s="1399">
        <f>'산근3 노임'!$B$8</f>
        <v>295138</v>
      </c>
      <c r="H282" s="1400">
        <f t="shared" si="75"/>
        <v>59027</v>
      </c>
      <c r="I282" s="1398"/>
      <c r="J282" s="1258"/>
      <c r="K282" s="1398"/>
      <c r="L282" s="1258"/>
      <c r="M282" s="1412"/>
    </row>
    <row r="283" spans="1:13" ht="19.5" customHeight="1">
      <c r="A283" s="1260" t="s">
        <v>159</v>
      </c>
      <c r="B283" s="1257"/>
      <c r="C283" s="1261" t="s">
        <v>41</v>
      </c>
      <c r="D283" s="1390">
        <f>'하천기본계획(기준소요인력)'!$L$116</f>
        <v>0.4</v>
      </c>
      <c r="E283" s="1399">
        <f t="shared" si="73"/>
        <v>235459</v>
      </c>
      <c r="F283" s="1400">
        <f t="shared" si="74"/>
        <v>94183</v>
      </c>
      <c r="G283" s="1399">
        <f>'산근3 노임'!$B$9</f>
        <v>235459</v>
      </c>
      <c r="H283" s="1400">
        <f t="shared" si="75"/>
        <v>94183</v>
      </c>
      <c r="I283" s="1398"/>
      <c r="J283" s="1258"/>
      <c r="K283" s="1398"/>
      <c r="L283" s="1258"/>
      <c r="M283" s="1412"/>
    </row>
    <row r="284" spans="1:13" ht="19.5" customHeight="1">
      <c r="A284" s="1262" t="s">
        <v>235</v>
      </c>
      <c r="B284" s="1257"/>
      <c r="C284" s="1257"/>
      <c r="D284" s="1259"/>
      <c r="E284" s="1399"/>
      <c r="F284" s="1400">
        <f>SUM(H284,J284,L284)</f>
        <v>215386</v>
      </c>
      <c r="G284" s="1398"/>
      <c r="H284" s="1400">
        <f>SUM(H279:H283)</f>
        <v>215386</v>
      </c>
      <c r="I284" s="1398"/>
      <c r="J284" s="1258"/>
      <c r="K284" s="1398"/>
      <c r="L284" s="1258"/>
      <c r="M284" s="1412"/>
    </row>
    <row r="285" spans="1:13" ht="19.5" customHeight="1">
      <c r="A285" s="1263">
        <f>$O$2</f>
        <v>1</v>
      </c>
      <c r="B285" s="1257"/>
      <c r="C285" s="1257"/>
      <c r="D285" s="1259"/>
      <c r="E285" s="1399"/>
      <c r="F285" s="1400">
        <f>INT($A285*F284)</f>
        <v>215386</v>
      </c>
      <c r="G285" s="1398"/>
      <c r="H285" s="1400">
        <f>INT($A285*H284)</f>
        <v>215386</v>
      </c>
      <c r="I285" s="1398"/>
      <c r="J285" s="1258"/>
      <c r="K285" s="1398"/>
      <c r="L285" s="1258"/>
      <c r="M285" s="1412"/>
    </row>
    <row r="286" spans="1:13" ht="19.5" customHeight="1">
      <c r="A286" s="1256" t="s">
        <v>1207</v>
      </c>
      <c r="B286" s="1257"/>
      <c r="C286" s="1261"/>
      <c r="D286" s="1390"/>
      <c r="E286" s="1399"/>
      <c r="F286" s="1400"/>
      <c r="G286" s="1399"/>
      <c r="H286" s="1400"/>
      <c r="I286" s="1398"/>
      <c r="J286" s="1258"/>
      <c r="K286" s="1398"/>
      <c r="L286" s="1258"/>
      <c r="M286" s="1412"/>
    </row>
    <row r="287" spans="1:13" ht="19.5" customHeight="1">
      <c r="A287" s="1260" t="s">
        <v>534</v>
      </c>
      <c r="B287" s="1257"/>
      <c r="C287" s="1261" t="s">
        <v>41</v>
      </c>
      <c r="D287" s="1390">
        <f>'하천기본계획(기준소요인력)'!$H$117</f>
        <v>0.1</v>
      </c>
      <c r="E287" s="1399">
        <f t="shared" ref="E287:E291" si="76">SUM(G287,I287,K287)</f>
        <v>467217</v>
      </c>
      <c r="F287" s="1400">
        <f t="shared" ref="F287:F291" si="77">SUM(H287,J287,L287)</f>
        <v>46721</v>
      </c>
      <c r="G287" s="1399">
        <f>'산근3 노임'!$B$5</f>
        <v>467217</v>
      </c>
      <c r="H287" s="1400">
        <f t="shared" ref="H287:H291" si="78">TRUNC(D287*G287,0)</f>
        <v>46721</v>
      </c>
      <c r="I287" s="1398"/>
      <c r="J287" s="1258"/>
      <c r="K287" s="1398"/>
      <c r="L287" s="1258"/>
      <c r="M287" s="1412"/>
    </row>
    <row r="288" spans="1:13" ht="19.5" customHeight="1">
      <c r="A288" s="1260" t="s">
        <v>140</v>
      </c>
      <c r="B288" s="1257"/>
      <c r="C288" s="1261" t="s">
        <v>41</v>
      </c>
      <c r="D288" s="1390">
        <f>'하천기본계획(기준소요인력)'!$I$117</f>
        <v>0.1</v>
      </c>
      <c r="E288" s="1399">
        <f t="shared" si="76"/>
        <v>373353</v>
      </c>
      <c r="F288" s="1400">
        <f t="shared" si="77"/>
        <v>37335</v>
      </c>
      <c r="G288" s="1399">
        <f>'산근3 노임'!$B$6</f>
        <v>373353</v>
      </c>
      <c r="H288" s="1400">
        <f t="shared" si="78"/>
        <v>37335</v>
      </c>
      <c r="I288" s="1398"/>
      <c r="J288" s="1258"/>
      <c r="K288" s="1398"/>
      <c r="L288" s="1258"/>
      <c r="M288" s="1412"/>
    </row>
    <row r="289" spans="1:13" ht="19.5" customHeight="1">
      <c r="A289" s="1260" t="s">
        <v>145</v>
      </c>
      <c r="B289" s="1257"/>
      <c r="C289" s="1261" t="s">
        <v>41</v>
      </c>
      <c r="D289" s="1390">
        <f>'하천기본계획(기준소요인력)'!$J$117</f>
        <v>1</v>
      </c>
      <c r="E289" s="1399">
        <f t="shared" si="76"/>
        <v>310884</v>
      </c>
      <c r="F289" s="1400">
        <f t="shared" si="77"/>
        <v>310884</v>
      </c>
      <c r="G289" s="1399">
        <f>'산근3 노임'!$B$7</f>
        <v>310884</v>
      </c>
      <c r="H289" s="1400">
        <f t="shared" si="78"/>
        <v>310884</v>
      </c>
      <c r="I289" s="1398"/>
      <c r="J289" s="1258"/>
      <c r="K289" s="1398"/>
      <c r="L289" s="1258"/>
      <c r="M289" s="1412"/>
    </row>
    <row r="290" spans="1:13" ht="19.5" customHeight="1">
      <c r="A290" s="1260" t="s">
        <v>161</v>
      </c>
      <c r="B290" s="1257"/>
      <c r="C290" s="1261" t="s">
        <v>41</v>
      </c>
      <c r="D290" s="1390">
        <f>'하천기본계획(기준소요인력)'!$K$117</f>
        <v>1.1000000000000001</v>
      </c>
      <c r="E290" s="1399">
        <f t="shared" si="76"/>
        <v>295138</v>
      </c>
      <c r="F290" s="1400">
        <f t="shared" si="77"/>
        <v>324651</v>
      </c>
      <c r="G290" s="1399">
        <f>'산근3 노임'!$B$8</f>
        <v>295138</v>
      </c>
      <c r="H290" s="1400">
        <f t="shared" si="78"/>
        <v>324651</v>
      </c>
      <c r="I290" s="1398"/>
      <c r="J290" s="1258"/>
      <c r="K290" s="1398"/>
      <c r="L290" s="1258"/>
      <c r="M290" s="1412"/>
    </row>
    <row r="291" spans="1:13" ht="19.5" customHeight="1">
      <c r="A291" s="1260" t="s">
        <v>159</v>
      </c>
      <c r="B291" s="1257"/>
      <c r="C291" s="1261" t="s">
        <v>41</v>
      </c>
      <c r="D291" s="1390">
        <f>'하천기본계획(기준소요인력)'!$L$117</f>
        <v>2.1</v>
      </c>
      <c r="E291" s="1399">
        <f t="shared" si="76"/>
        <v>235459</v>
      </c>
      <c r="F291" s="1400">
        <f t="shared" si="77"/>
        <v>494463</v>
      </c>
      <c r="G291" s="1399">
        <f>'산근3 노임'!$B$9</f>
        <v>235459</v>
      </c>
      <c r="H291" s="1400">
        <f t="shared" si="78"/>
        <v>494463</v>
      </c>
      <c r="I291" s="1398"/>
      <c r="J291" s="1258"/>
      <c r="K291" s="1398"/>
      <c r="L291" s="1258"/>
      <c r="M291" s="1412"/>
    </row>
    <row r="292" spans="1:13" ht="19.5" customHeight="1">
      <c r="A292" s="1262" t="s">
        <v>235</v>
      </c>
      <c r="B292" s="1257"/>
      <c r="C292" s="1257"/>
      <c r="D292" s="1259"/>
      <c r="E292" s="1399"/>
      <c r="F292" s="1400">
        <f>SUM(H292,J292,L292)</f>
        <v>1214054</v>
      </c>
      <c r="G292" s="1398"/>
      <c r="H292" s="1400">
        <f>SUM(H287:H291)</f>
        <v>1214054</v>
      </c>
      <c r="I292" s="1398"/>
      <c r="J292" s="1258"/>
      <c r="K292" s="1398"/>
      <c r="L292" s="1258"/>
      <c r="M292" s="1412"/>
    </row>
    <row r="293" spans="1:13" ht="19.5" customHeight="1">
      <c r="A293" s="1263">
        <f>$O$2</f>
        <v>1</v>
      </c>
      <c r="B293" s="1257"/>
      <c r="C293" s="1257"/>
      <c r="D293" s="1259"/>
      <c r="E293" s="1399"/>
      <c r="F293" s="1400">
        <f>INT($A293*F292)</f>
        <v>1214054</v>
      </c>
      <c r="G293" s="1398"/>
      <c r="H293" s="1400">
        <f>INT($A293*H292)</f>
        <v>1214054</v>
      </c>
      <c r="I293" s="1398"/>
      <c r="J293" s="1258"/>
      <c r="K293" s="1398"/>
      <c r="L293" s="1258"/>
      <c r="M293" s="1412"/>
    </row>
    <row r="294" spans="1:13" ht="19.5" customHeight="1">
      <c r="A294" s="1256" t="s">
        <v>1208</v>
      </c>
      <c r="B294" s="1257"/>
      <c r="C294" s="1261"/>
      <c r="D294" s="1390"/>
      <c r="E294" s="1399"/>
      <c r="F294" s="1400"/>
      <c r="G294" s="1399"/>
      <c r="H294" s="1400"/>
      <c r="I294" s="1398"/>
      <c r="J294" s="1258"/>
      <c r="K294" s="1398"/>
      <c r="L294" s="1258"/>
      <c r="M294" s="1412"/>
    </row>
    <row r="295" spans="1:13" ht="19.5" customHeight="1">
      <c r="A295" s="1260" t="s">
        <v>534</v>
      </c>
      <c r="B295" s="1257"/>
      <c r="C295" s="1261" t="s">
        <v>41</v>
      </c>
      <c r="D295" s="1390">
        <f>'하천기본계획(기준소요인력)'!$H$118</f>
        <v>0</v>
      </c>
      <c r="E295" s="1399">
        <f t="shared" ref="E295:E299" si="79">SUM(G295,I295,K295)</f>
        <v>467217</v>
      </c>
      <c r="F295" s="1400">
        <f t="shared" ref="F295:F299" si="80">SUM(H295,J295,L295)</f>
        <v>0</v>
      </c>
      <c r="G295" s="1399">
        <f>'산근3 노임'!$B$5</f>
        <v>467217</v>
      </c>
      <c r="H295" s="1400">
        <f t="shared" ref="H295:H299" si="81">TRUNC(D295*G295,0)</f>
        <v>0</v>
      </c>
      <c r="I295" s="1398"/>
      <c r="J295" s="1258"/>
      <c r="K295" s="1398"/>
      <c r="L295" s="1258"/>
      <c r="M295" s="1412"/>
    </row>
    <row r="296" spans="1:13" ht="19.5" customHeight="1">
      <c r="A296" s="1260" t="s">
        <v>140</v>
      </c>
      <c r="B296" s="1257"/>
      <c r="C296" s="1261" t="s">
        <v>41</v>
      </c>
      <c r="D296" s="1390">
        <f>'하천기본계획(기준소요인력)'!$I$118</f>
        <v>0.1</v>
      </c>
      <c r="E296" s="1399">
        <f t="shared" si="79"/>
        <v>373353</v>
      </c>
      <c r="F296" s="1400">
        <f t="shared" si="80"/>
        <v>37335</v>
      </c>
      <c r="G296" s="1399">
        <f>'산근3 노임'!$B$6</f>
        <v>373353</v>
      </c>
      <c r="H296" s="1400">
        <f t="shared" si="81"/>
        <v>37335</v>
      </c>
      <c r="I296" s="1398"/>
      <c r="J296" s="1258"/>
      <c r="K296" s="1398"/>
      <c r="L296" s="1258"/>
      <c r="M296" s="1412"/>
    </row>
    <row r="297" spans="1:13" ht="19.5" customHeight="1">
      <c r="A297" s="1260" t="s">
        <v>145</v>
      </c>
      <c r="B297" s="1257"/>
      <c r="C297" s="1261" t="s">
        <v>41</v>
      </c>
      <c r="D297" s="1390">
        <f>'하천기본계획(기준소요인력)'!$J$118</f>
        <v>0.4</v>
      </c>
      <c r="E297" s="1399">
        <f t="shared" si="79"/>
        <v>310884</v>
      </c>
      <c r="F297" s="1400">
        <f t="shared" si="80"/>
        <v>124353</v>
      </c>
      <c r="G297" s="1399">
        <f>'산근3 노임'!$B$7</f>
        <v>310884</v>
      </c>
      <c r="H297" s="1400">
        <f t="shared" si="81"/>
        <v>124353</v>
      </c>
      <c r="I297" s="1398"/>
      <c r="J297" s="1258"/>
      <c r="K297" s="1398"/>
      <c r="L297" s="1258"/>
      <c r="M297" s="1412"/>
    </row>
    <row r="298" spans="1:13" ht="19.5" customHeight="1">
      <c r="A298" s="1260" t="s">
        <v>161</v>
      </c>
      <c r="B298" s="1257"/>
      <c r="C298" s="1261" t="s">
        <v>41</v>
      </c>
      <c r="D298" s="1390">
        <f>'하천기본계획(기준소요인력)'!$K$118</f>
        <v>0.5</v>
      </c>
      <c r="E298" s="1399">
        <f t="shared" si="79"/>
        <v>295138</v>
      </c>
      <c r="F298" s="1400">
        <f t="shared" si="80"/>
        <v>147569</v>
      </c>
      <c r="G298" s="1399">
        <f>'산근3 노임'!$B$8</f>
        <v>295138</v>
      </c>
      <c r="H298" s="1400">
        <f t="shared" si="81"/>
        <v>147569</v>
      </c>
      <c r="I298" s="1398"/>
      <c r="J298" s="1258"/>
      <c r="K298" s="1398"/>
      <c r="L298" s="1258"/>
      <c r="M298" s="1412"/>
    </row>
    <row r="299" spans="1:13" ht="19.5" customHeight="1">
      <c r="A299" s="1260" t="s">
        <v>159</v>
      </c>
      <c r="B299" s="1257"/>
      <c r="C299" s="1261" t="s">
        <v>41</v>
      </c>
      <c r="D299" s="1390">
        <f>'하천기본계획(기준소요인력)'!$L$118</f>
        <v>0.9</v>
      </c>
      <c r="E299" s="1399">
        <f t="shared" si="79"/>
        <v>235459</v>
      </c>
      <c r="F299" s="1400">
        <f t="shared" si="80"/>
        <v>211913</v>
      </c>
      <c r="G299" s="1399">
        <f>'산근3 노임'!$B$9</f>
        <v>235459</v>
      </c>
      <c r="H299" s="1400">
        <f t="shared" si="81"/>
        <v>211913</v>
      </c>
      <c r="I299" s="1398"/>
      <c r="J299" s="1258"/>
      <c r="K299" s="1398"/>
      <c r="L299" s="1258"/>
      <c r="M299" s="1412"/>
    </row>
    <row r="300" spans="1:13" ht="19.5" customHeight="1">
      <c r="A300" s="1262" t="s">
        <v>235</v>
      </c>
      <c r="B300" s="1257"/>
      <c r="C300" s="1257"/>
      <c r="D300" s="1259"/>
      <c r="E300" s="1399"/>
      <c r="F300" s="1400">
        <f>SUM(H300,J300,L300)</f>
        <v>521170</v>
      </c>
      <c r="G300" s="1398"/>
      <c r="H300" s="1400">
        <f>SUM(H295:H299)</f>
        <v>521170</v>
      </c>
      <c r="I300" s="1398"/>
      <c r="J300" s="1258"/>
      <c r="K300" s="1398"/>
      <c r="L300" s="1258"/>
      <c r="M300" s="1412"/>
    </row>
    <row r="301" spans="1:13" ht="19.5" customHeight="1">
      <c r="A301" s="1263">
        <f>$O$2</f>
        <v>1</v>
      </c>
      <c r="B301" s="1257"/>
      <c r="C301" s="1257"/>
      <c r="D301" s="1259"/>
      <c r="E301" s="1399"/>
      <c r="F301" s="1400">
        <f>INT($A301*F300)</f>
        <v>521170</v>
      </c>
      <c r="G301" s="1398"/>
      <c r="H301" s="1400">
        <f>INT($A301*H300)</f>
        <v>521170</v>
      </c>
      <c r="I301" s="1398"/>
      <c r="J301" s="1258"/>
      <c r="K301" s="1398"/>
      <c r="L301" s="1258"/>
      <c r="M301" s="1412"/>
    </row>
    <row r="302" spans="1:13" ht="19.5" customHeight="1">
      <c r="A302" s="1264"/>
      <c r="B302" s="1265"/>
      <c r="C302" s="1265"/>
      <c r="D302" s="1270"/>
      <c r="E302" s="1424"/>
      <c r="F302" s="1407"/>
      <c r="G302" s="1430"/>
      <c r="H302" s="1407"/>
      <c r="I302" s="1430"/>
      <c r="J302" s="1269"/>
      <c r="K302" s="1430"/>
      <c r="L302" s="1269"/>
      <c r="M302" s="1425"/>
    </row>
    <row r="303" spans="1:13" ht="19.5" customHeight="1">
      <c r="A303" s="1267" t="s">
        <v>1209</v>
      </c>
      <c r="B303" s="1253"/>
      <c r="C303" s="1268"/>
      <c r="D303" s="1426"/>
      <c r="E303" s="1427"/>
      <c r="F303" s="1428"/>
      <c r="G303" s="1427"/>
      <c r="H303" s="1428"/>
      <c r="I303" s="1431"/>
      <c r="J303" s="1254"/>
      <c r="K303" s="1431"/>
      <c r="L303" s="1254"/>
      <c r="M303" s="1429"/>
    </row>
    <row r="304" spans="1:13" ht="19.5" customHeight="1">
      <c r="A304" s="1260" t="s">
        <v>534</v>
      </c>
      <c r="B304" s="1257"/>
      <c r="C304" s="1261" t="s">
        <v>41</v>
      </c>
      <c r="D304" s="1390">
        <f>'하천기본계획(기준소요인력)'!$H$119</f>
        <v>0</v>
      </c>
      <c r="E304" s="1399">
        <f t="shared" ref="E304:E308" si="82">SUM(G304,I304,K304)</f>
        <v>467217</v>
      </c>
      <c r="F304" s="1400">
        <f t="shared" ref="F304:F308" si="83">SUM(H304,J304,L304)</f>
        <v>0</v>
      </c>
      <c r="G304" s="1399">
        <f>'산근3 노임'!$B$5</f>
        <v>467217</v>
      </c>
      <c r="H304" s="1400">
        <f t="shared" ref="H304:H308" si="84">TRUNC(D304*G304,0)</f>
        <v>0</v>
      </c>
      <c r="I304" s="1398"/>
      <c r="J304" s="1258"/>
      <c r="K304" s="1398"/>
      <c r="L304" s="1258"/>
      <c r="M304" s="1412"/>
    </row>
    <row r="305" spans="1:13" ht="19.5" customHeight="1">
      <c r="A305" s="1260" t="s">
        <v>140</v>
      </c>
      <c r="B305" s="1257"/>
      <c r="C305" s="1261" t="s">
        <v>41</v>
      </c>
      <c r="D305" s="1390">
        <f>'하천기본계획(기준소요인력)'!$I$119</f>
        <v>0</v>
      </c>
      <c r="E305" s="1399">
        <f t="shared" si="82"/>
        <v>373353</v>
      </c>
      <c r="F305" s="1400">
        <f t="shared" si="83"/>
        <v>0</v>
      </c>
      <c r="G305" s="1399">
        <f>'산근3 노임'!$B$6</f>
        <v>373353</v>
      </c>
      <c r="H305" s="1400">
        <f t="shared" si="84"/>
        <v>0</v>
      </c>
      <c r="I305" s="1398"/>
      <c r="J305" s="1258"/>
      <c r="K305" s="1398"/>
      <c r="L305" s="1258"/>
      <c r="M305" s="1412"/>
    </row>
    <row r="306" spans="1:13" ht="19.5" customHeight="1">
      <c r="A306" s="1260" t="s">
        <v>145</v>
      </c>
      <c r="B306" s="1257"/>
      <c r="C306" s="1261" t="s">
        <v>41</v>
      </c>
      <c r="D306" s="1390">
        <f>'하천기본계획(기준소요인력)'!$J$119</f>
        <v>0.5</v>
      </c>
      <c r="E306" s="1399">
        <f t="shared" si="82"/>
        <v>310884</v>
      </c>
      <c r="F306" s="1400">
        <f t="shared" si="83"/>
        <v>155442</v>
      </c>
      <c r="G306" s="1399">
        <f>'산근3 노임'!$B$7</f>
        <v>310884</v>
      </c>
      <c r="H306" s="1400">
        <f t="shared" si="84"/>
        <v>155442</v>
      </c>
      <c r="I306" s="1398"/>
      <c r="J306" s="1258"/>
      <c r="K306" s="1398"/>
      <c r="L306" s="1258"/>
      <c r="M306" s="1412"/>
    </row>
    <row r="307" spans="1:13" ht="19.5" customHeight="1">
      <c r="A307" s="1260" t="s">
        <v>161</v>
      </c>
      <c r="B307" s="1257"/>
      <c r="C307" s="1261" t="s">
        <v>41</v>
      </c>
      <c r="D307" s="1390">
        <f>'하천기본계획(기준소요인력)'!$K$119</f>
        <v>0.4</v>
      </c>
      <c r="E307" s="1399">
        <f t="shared" si="82"/>
        <v>295138</v>
      </c>
      <c r="F307" s="1400">
        <f t="shared" si="83"/>
        <v>118055</v>
      </c>
      <c r="G307" s="1399">
        <f>'산근3 노임'!$B$8</f>
        <v>295138</v>
      </c>
      <c r="H307" s="1400">
        <f t="shared" si="84"/>
        <v>118055</v>
      </c>
      <c r="I307" s="1398"/>
      <c r="J307" s="1258"/>
      <c r="K307" s="1398"/>
      <c r="L307" s="1258"/>
      <c r="M307" s="1412"/>
    </row>
    <row r="308" spans="1:13" ht="19.5" customHeight="1">
      <c r="A308" s="1260" t="s">
        <v>159</v>
      </c>
      <c r="B308" s="1257"/>
      <c r="C308" s="1261" t="s">
        <v>41</v>
      </c>
      <c r="D308" s="1390">
        <f>'하천기본계획(기준소요인력)'!$L$119</f>
        <v>0.7</v>
      </c>
      <c r="E308" s="1399">
        <f t="shared" si="82"/>
        <v>235459</v>
      </c>
      <c r="F308" s="1400">
        <f t="shared" si="83"/>
        <v>164821</v>
      </c>
      <c r="G308" s="1399">
        <f>'산근3 노임'!$B$9</f>
        <v>235459</v>
      </c>
      <c r="H308" s="1400">
        <f t="shared" si="84"/>
        <v>164821</v>
      </c>
      <c r="I308" s="1398"/>
      <c r="J308" s="1258"/>
      <c r="K308" s="1398"/>
      <c r="L308" s="1258"/>
      <c r="M308" s="1412"/>
    </row>
    <row r="309" spans="1:13" ht="19.5" customHeight="1">
      <c r="A309" s="1262" t="s">
        <v>235</v>
      </c>
      <c r="B309" s="1257"/>
      <c r="C309" s="1257"/>
      <c r="D309" s="1259"/>
      <c r="E309" s="1399"/>
      <c r="F309" s="1400">
        <f>SUM(H309,J309,L309)</f>
        <v>438318</v>
      </c>
      <c r="G309" s="1398"/>
      <c r="H309" s="1400">
        <f>SUM(H304:H308)</f>
        <v>438318</v>
      </c>
      <c r="I309" s="1398"/>
      <c r="J309" s="1258"/>
      <c r="K309" s="1398"/>
      <c r="L309" s="1258"/>
      <c r="M309" s="1412"/>
    </row>
    <row r="310" spans="1:13" ht="19.5" customHeight="1">
      <c r="A310" s="1263">
        <f>$O$2</f>
        <v>1</v>
      </c>
      <c r="B310" s="1257"/>
      <c r="C310" s="1257"/>
      <c r="D310" s="1259"/>
      <c r="E310" s="1399"/>
      <c r="F310" s="1400">
        <f>INT($A310*F309)</f>
        <v>438318</v>
      </c>
      <c r="G310" s="1398"/>
      <c r="H310" s="1400">
        <f>INT($A310*H309)</f>
        <v>438318</v>
      </c>
      <c r="I310" s="1398"/>
      <c r="J310" s="1258"/>
      <c r="K310" s="1398"/>
      <c r="L310" s="1258"/>
      <c r="M310" s="1412"/>
    </row>
    <row r="311" spans="1:13" ht="19.5" customHeight="1">
      <c r="A311" s="1256" t="s">
        <v>1210</v>
      </c>
      <c r="B311" s="1257"/>
      <c r="C311" s="1261"/>
      <c r="D311" s="1390"/>
      <c r="E311" s="1399"/>
      <c r="F311" s="1400"/>
      <c r="G311" s="1399"/>
      <c r="H311" s="1400"/>
      <c r="I311" s="1399"/>
      <c r="J311" s="1400"/>
      <c r="K311" s="1399"/>
      <c r="L311" s="1400"/>
      <c r="M311" s="1412"/>
    </row>
    <row r="312" spans="1:13" ht="19.5" customHeight="1">
      <c r="A312" s="1260" t="s">
        <v>534</v>
      </c>
      <c r="B312" s="1257"/>
      <c r="C312" s="1261" t="s">
        <v>41</v>
      </c>
      <c r="D312" s="1390">
        <f>'하천기본계획(기준소요인력)'!$H$121</f>
        <v>0</v>
      </c>
      <c r="E312" s="1399">
        <f t="shared" ref="E312:F316" si="85">SUM(G312,I312,K312)</f>
        <v>467217</v>
      </c>
      <c r="F312" s="1400">
        <f t="shared" si="85"/>
        <v>0</v>
      </c>
      <c r="G312" s="1399">
        <f>'산근3 노임'!$B$5</f>
        <v>467217</v>
      </c>
      <c r="H312" s="1400">
        <f t="shared" ref="H312:H316" si="86">TRUNC(D312*G312,0)</f>
        <v>0</v>
      </c>
      <c r="I312" s="1399"/>
      <c r="J312" s="1400"/>
      <c r="K312" s="1399"/>
      <c r="L312" s="1400"/>
      <c r="M312" s="1412"/>
    </row>
    <row r="313" spans="1:13" ht="19.5" customHeight="1">
      <c r="A313" s="1260" t="s">
        <v>140</v>
      </c>
      <c r="B313" s="1257"/>
      <c r="C313" s="1261" t="s">
        <v>41</v>
      </c>
      <c r="D313" s="1390">
        <f>'하천기본계획(기준소요인력)'!$I$121</f>
        <v>0.2</v>
      </c>
      <c r="E313" s="1399">
        <f t="shared" si="85"/>
        <v>373353</v>
      </c>
      <c r="F313" s="1400">
        <f t="shared" si="85"/>
        <v>74670</v>
      </c>
      <c r="G313" s="1399">
        <f>'산근3 노임'!$B$6</f>
        <v>373353</v>
      </c>
      <c r="H313" s="1400">
        <f t="shared" si="86"/>
        <v>74670</v>
      </c>
      <c r="I313" s="1399"/>
      <c r="J313" s="1400"/>
      <c r="K313" s="1399"/>
      <c r="L313" s="1400"/>
      <c r="M313" s="1412"/>
    </row>
    <row r="314" spans="1:13" ht="19.5" customHeight="1">
      <c r="A314" s="1260" t="s">
        <v>145</v>
      </c>
      <c r="B314" s="1257"/>
      <c r="C314" s="1261" t="s">
        <v>41</v>
      </c>
      <c r="D314" s="1390">
        <f>'하천기본계획(기준소요인력)'!$J$121</f>
        <v>0.2</v>
      </c>
      <c r="E314" s="1399">
        <f t="shared" si="85"/>
        <v>310884</v>
      </c>
      <c r="F314" s="1400">
        <f t="shared" si="85"/>
        <v>62176</v>
      </c>
      <c r="G314" s="1399">
        <f>'산근3 노임'!$B$7</f>
        <v>310884</v>
      </c>
      <c r="H314" s="1400">
        <f t="shared" si="86"/>
        <v>62176</v>
      </c>
      <c r="I314" s="1399"/>
      <c r="J314" s="1400"/>
      <c r="K314" s="1399"/>
      <c r="L314" s="1400"/>
      <c r="M314" s="1412"/>
    </row>
    <row r="315" spans="1:13" ht="19.5" customHeight="1">
      <c r="A315" s="1260" t="s">
        <v>161</v>
      </c>
      <c r="B315" s="1257"/>
      <c r="C315" s="1261" t="s">
        <v>41</v>
      </c>
      <c r="D315" s="1390">
        <f>'하천기본계획(기준소요인력)'!$K$121</f>
        <v>0.5</v>
      </c>
      <c r="E315" s="1399">
        <f t="shared" si="85"/>
        <v>295138</v>
      </c>
      <c r="F315" s="1400">
        <f t="shared" si="85"/>
        <v>147569</v>
      </c>
      <c r="G315" s="1399">
        <f>'산근3 노임'!$B$8</f>
        <v>295138</v>
      </c>
      <c r="H315" s="1400">
        <f t="shared" si="86"/>
        <v>147569</v>
      </c>
      <c r="I315" s="1399"/>
      <c r="J315" s="1400"/>
      <c r="K315" s="1399"/>
      <c r="L315" s="1400"/>
      <c r="M315" s="1412"/>
    </row>
    <row r="316" spans="1:13" ht="19.5" customHeight="1">
      <c r="A316" s="1260" t="s">
        <v>159</v>
      </c>
      <c r="B316" s="1257"/>
      <c r="C316" s="1261" t="s">
        <v>41</v>
      </c>
      <c r="D316" s="1390">
        <f>'하천기본계획(기준소요인력)'!$L$121</f>
        <v>3.2</v>
      </c>
      <c r="E316" s="1399">
        <f t="shared" si="85"/>
        <v>235459</v>
      </c>
      <c r="F316" s="1400">
        <f t="shared" si="85"/>
        <v>753468</v>
      </c>
      <c r="G316" s="1399">
        <f>'산근3 노임'!$B$9</f>
        <v>235459</v>
      </c>
      <c r="H316" s="1400">
        <f t="shared" si="86"/>
        <v>753468</v>
      </c>
      <c r="I316" s="1399"/>
      <c r="J316" s="1400"/>
      <c r="K316" s="1399"/>
      <c r="L316" s="1400"/>
      <c r="M316" s="1412"/>
    </row>
    <row r="317" spans="1:13" ht="19.5" customHeight="1">
      <c r="A317" s="1262" t="s">
        <v>235</v>
      </c>
      <c r="B317" s="1257"/>
      <c r="C317" s="1257"/>
      <c r="D317" s="1259"/>
      <c r="E317" s="1399"/>
      <c r="F317" s="1400">
        <f>SUM(H317,J317,L317)</f>
        <v>1037883</v>
      </c>
      <c r="G317" s="1398"/>
      <c r="H317" s="1400">
        <f>SUM(H312:H316)</f>
        <v>1037883</v>
      </c>
      <c r="I317" s="1398"/>
      <c r="J317" s="1258"/>
      <c r="K317" s="1398"/>
      <c r="L317" s="1258"/>
      <c r="M317" s="1412"/>
    </row>
    <row r="318" spans="1:13" ht="19.5" customHeight="1">
      <c r="A318" s="1263">
        <f>$O$2</f>
        <v>1</v>
      </c>
      <c r="B318" s="1257"/>
      <c r="C318" s="1257"/>
      <c r="D318" s="1259"/>
      <c r="E318" s="1399"/>
      <c r="F318" s="1400">
        <f>INT($A318*F317)</f>
        <v>1037883</v>
      </c>
      <c r="G318" s="1398"/>
      <c r="H318" s="1400">
        <f>INT($A318*H317)</f>
        <v>1037883</v>
      </c>
      <c r="I318" s="1398"/>
      <c r="J318" s="1258"/>
      <c r="K318" s="1398"/>
      <c r="L318" s="1258"/>
      <c r="M318" s="1412"/>
    </row>
    <row r="319" spans="1:13" ht="19.5" customHeight="1">
      <c r="A319" s="1256" t="s">
        <v>1211</v>
      </c>
      <c r="B319" s="1257"/>
      <c r="C319" s="1261"/>
      <c r="D319" s="1390"/>
      <c r="E319" s="1399"/>
      <c r="F319" s="1400"/>
      <c r="G319" s="1399"/>
      <c r="H319" s="1400"/>
      <c r="I319" s="1399"/>
      <c r="J319" s="1400"/>
      <c r="K319" s="1399"/>
      <c r="L319" s="1400"/>
      <c r="M319" s="1412"/>
    </row>
    <row r="320" spans="1:13" ht="19.5" customHeight="1">
      <c r="A320" s="1260" t="s">
        <v>534</v>
      </c>
      <c r="B320" s="1257"/>
      <c r="C320" s="1261" t="s">
        <v>41</v>
      </c>
      <c r="D320" s="1390">
        <f>'하천기본계획(기준소요인력)'!$H$122</f>
        <v>0</v>
      </c>
      <c r="E320" s="1399">
        <f t="shared" ref="E320:F324" si="87">SUM(G320,I320,K320)</f>
        <v>467217</v>
      </c>
      <c r="F320" s="1400">
        <f t="shared" si="87"/>
        <v>0</v>
      </c>
      <c r="G320" s="1399">
        <f>'산근3 노임'!$B$5</f>
        <v>467217</v>
      </c>
      <c r="H320" s="1400">
        <f t="shared" ref="H320:H324" si="88">TRUNC(D320*G320,0)</f>
        <v>0</v>
      </c>
      <c r="I320" s="1399"/>
      <c r="J320" s="1400"/>
      <c r="K320" s="1399"/>
      <c r="L320" s="1400"/>
      <c r="M320" s="1412"/>
    </row>
    <row r="321" spans="1:13" ht="19.5" customHeight="1">
      <c r="A321" s="1260" t="s">
        <v>140</v>
      </c>
      <c r="B321" s="1257"/>
      <c r="C321" s="1261" t="s">
        <v>41</v>
      </c>
      <c r="D321" s="1390">
        <f>'하천기본계획(기준소요인력)'!$I$122</f>
        <v>0.2</v>
      </c>
      <c r="E321" s="1399">
        <f t="shared" si="87"/>
        <v>373353</v>
      </c>
      <c r="F321" s="1400">
        <f t="shared" si="87"/>
        <v>74670</v>
      </c>
      <c r="G321" s="1399">
        <f>'산근3 노임'!$B$6</f>
        <v>373353</v>
      </c>
      <c r="H321" s="1400">
        <f t="shared" si="88"/>
        <v>74670</v>
      </c>
      <c r="I321" s="1399"/>
      <c r="J321" s="1400"/>
      <c r="K321" s="1399"/>
      <c r="L321" s="1400"/>
      <c r="M321" s="1412"/>
    </row>
    <row r="322" spans="1:13" ht="19.5" customHeight="1">
      <c r="A322" s="1260" t="s">
        <v>145</v>
      </c>
      <c r="B322" s="1257"/>
      <c r="C322" s="1261" t="s">
        <v>41</v>
      </c>
      <c r="D322" s="1390">
        <f>'하천기본계획(기준소요인력)'!$J$122</f>
        <v>0.2</v>
      </c>
      <c r="E322" s="1399">
        <f t="shared" si="87"/>
        <v>310884</v>
      </c>
      <c r="F322" s="1400">
        <f t="shared" si="87"/>
        <v>62176</v>
      </c>
      <c r="G322" s="1399">
        <f>'산근3 노임'!$B$7</f>
        <v>310884</v>
      </c>
      <c r="H322" s="1400">
        <f t="shared" si="88"/>
        <v>62176</v>
      </c>
      <c r="I322" s="1399"/>
      <c r="J322" s="1400"/>
      <c r="K322" s="1399"/>
      <c r="L322" s="1400"/>
      <c r="M322" s="1412"/>
    </row>
    <row r="323" spans="1:13" ht="19.5" customHeight="1">
      <c r="A323" s="1260" t="s">
        <v>161</v>
      </c>
      <c r="B323" s="1257"/>
      <c r="C323" s="1261" t="s">
        <v>41</v>
      </c>
      <c r="D323" s="1390">
        <f>'하천기본계획(기준소요인력)'!$K$122</f>
        <v>0.5</v>
      </c>
      <c r="E323" s="1399">
        <f t="shared" si="87"/>
        <v>295138</v>
      </c>
      <c r="F323" s="1400">
        <f t="shared" si="87"/>
        <v>147569</v>
      </c>
      <c r="G323" s="1399">
        <f>'산근3 노임'!$B$8</f>
        <v>295138</v>
      </c>
      <c r="H323" s="1400">
        <f t="shared" si="88"/>
        <v>147569</v>
      </c>
      <c r="I323" s="1399"/>
      <c r="J323" s="1400"/>
      <c r="K323" s="1399"/>
      <c r="L323" s="1400"/>
      <c r="M323" s="1412"/>
    </row>
    <row r="324" spans="1:13" ht="19.5" customHeight="1">
      <c r="A324" s="1260" t="s">
        <v>159</v>
      </c>
      <c r="B324" s="1257"/>
      <c r="C324" s="1261" t="s">
        <v>41</v>
      </c>
      <c r="D324" s="1390">
        <f>'하천기본계획(기준소요인력)'!$L$122</f>
        <v>3.2</v>
      </c>
      <c r="E324" s="1399">
        <f t="shared" si="87"/>
        <v>235459</v>
      </c>
      <c r="F324" s="1400">
        <f t="shared" si="87"/>
        <v>753468</v>
      </c>
      <c r="G324" s="1399">
        <f>'산근3 노임'!$B$9</f>
        <v>235459</v>
      </c>
      <c r="H324" s="1400">
        <f t="shared" si="88"/>
        <v>753468</v>
      </c>
      <c r="I324" s="1399"/>
      <c r="J324" s="1400"/>
      <c r="K324" s="1399"/>
      <c r="L324" s="1400"/>
      <c r="M324" s="1412"/>
    </row>
    <row r="325" spans="1:13" ht="19.5" customHeight="1">
      <c r="A325" s="1262" t="s">
        <v>235</v>
      </c>
      <c r="B325" s="1257"/>
      <c r="C325" s="1257"/>
      <c r="D325" s="1259"/>
      <c r="E325" s="1399"/>
      <c r="F325" s="1400">
        <f>SUM(H325,J325,L325)</f>
        <v>1037883</v>
      </c>
      <c r="G325" s="1398"/>
      <c r="H325" s="1400">
        <f>SUM(H320:H324)</f>
        <v>1037883</v>
      </c>
      <c r="I325" s="1398"/>
      <c r="J325" s="1258"/>
      <c r="K325" s="1398"/>
      <c r="L325" s="1258"/>
      <c r="M325" s="1412"/>
    </row>
    <row r="326" spans="1:13" ht="19.5" customHeight="1">
      <c r="A326" s="1263">
        <f>$O$2</f>
        <v>1</v>
      </c>
      <c r="B326" s="1257"/>
      <c r="C326" s="1257"/>
      <c r="D326" s="1259"/>
      <c r="E326" s="1399"/>
      <c r="F326" s="1400">
        <f>INT($A326*F325)</f>
        <v>1037883</v>
      </c>
      <c r="G326" s="1398"/>
      <c r="H326" s="1400">
        <f>INT($A326*H325)</f>
        <v>1037883</v>
      </c>
      <c r="I326" s="1398"/>
      <c r="J326" s="1258"/>
      <c r="K326" s="1398"/>
      <c r="L326" s="1258"/>
      <c r="M326" s="1412"/>
    </row>
    <row r="327" spans="1:13" ht="19.5" customHeight="1">
      <c r="A327" s="1264"/>
      <c r="B327" s="1265"/>
      <c r="C327" s="1265"/>
      <c r="D327" s="1270"/>
      <c r="E327" s="1424"/>
      <c r="F327" s="1407"/>
      <c r="G327" s="1430"/>
      <c r="H327" s="1407"/>
      <c r="I327" s="1430"/>
      <c r="J327" s="1269"/>
      <c r="K327" s="1430"/>
      <c r="L327" s="1269"/>
      <c r="M327" s="1425"/>
    </row>
    <row r="328" spans="1:13" ht="19.5" customHeight="1">
      <c r="A328" s="1418" t="s">
        <v>1212</v>
      </c>
      <c r="B328" s="1388"/>
      <c r="C328" s="1419"/>
      <c r="D328" s="1420"/>
      <c r="E328" s="1421"/>
      <c r="F328" s="1422"/>
      <c r="G328" s="1421"/>
      <c r="H328" s="1422"/>
      <c r="I328" s="1421"/>
      <c r="J328" s="1422"/>
      <c r="K328" s="1421"/>
      <c r="L328" s="1422"/>
      <c r="M328" s="1411"/>
    </row>
    <row r="329" spans="1:13" ht="19.5" customHeight="1">
      <c r="A329" s="1260" t="s">
        <v>534</v>
      </c>
      <c r="B329" s="1257"/>
      <c r="C329" s="1261" t="s">
        <v>41</v>
      </c>
      <c r="D329" s="1390">
        <f>'하천기본계획(기준소요인력)'!$H$123</f>
        <v>0</v>
      </c>
      <c r="E329" s="1399">
        <f t="shared" ref="E329:F333" si="89">SUM(G329,I329,K329)</f>
        <v>467217</v>
      </c>
      <c r="F329" s="1400">
        <f t="shared" si="89"/>
        <v>0</v>
      </c>
      <c r="G329" s="1399">
        <f>'산근3 노임'!$B$5</f>
        <v>467217</v>
      </c>
      <c r="H329" s="1400">
        <f t="shared" ref="H329:H333" si="90">TRUNC(D329*G329,0)</f>
        <v>0</v>
      </c>
      <c r="I329" s="1399"/>
      <c r="J329" s="1400"/>
      <c r="K329" s="1399"/>
      <c r="L329" s="1400"/>
      <c r="M329" s="1412"/>
    </row>
    <row r="330" spans="1:13" ht="19.5" customHeight="1">
      <c r="A330" s="1260" t="s">
        <v>140</v>
      </c>
      <c r="B330" s="1257"/>
      <c r="C330" s="1261" t="s">
        <v>41</v>
      </c>
      <c r="D330" s="1390">
        <f>'하천기본계획(기준소요인력)'!$I$123</f>
        <v>0</v>
      </c>
      <c r="E330" s="1399">
        <f t="shared" si="89"/>
        <v>373353</v>
      </c>
      <c r="F330" s="1400">
        <f t="shared" si="89"/>
        <v>0</v>
      </c>
      <c r="G330" s="1399">
        <f>'산근3 노임'!$B$6</f>
        <v>373353</v>
      </c>
      <c r="H330" s="1400">
        <f t="shared" si="90"/>
        <v>0</v>
      </c>
      <c r="I330" s="1399"/>
      <c r="J330" s="1400"/>
      <c r="K330" s="1399"/>
      <c r="L330" s="1400"/>
      <c r="M330" s="1412"/>
    </row>
    <row r="331" spans="1:13" ht="19.5" customHeight="1">
      <c r="A331" s="1260" t="s">
        <v>145</v>
      </c>
      <c r="B331" s="1257"/>
      <c r="C331" s="1261" t="s">
        <v>41</v>
      </c>
      <c r="D331" s="1390">
        <f>'하천기본계획(기준소요인력)'!$J$123</f>
        <v>0.1</v>
      </c>
      <c r="E331" s="1399">
        <f t="shared" si="89"/>
        <v>310884</v>
      </c>
      <c r="F331" s="1400">
        <f t="shared" si="89"/>
        <v>31088</v>
      </c>
      <c r="G331" s="1399">
        <f>'산근3 노임'!$B$7</f>
        <v>310884</v>
      </c>
      <c r="H331" s="1400">
        <f t="shared" si="90"/>
        <v>31088</v>
      </c>
      <c r="I331" s="1399"/>
      <c r="J331" s="1400"/>
      <c r="K331" s="1399"/>
      <c r="L331" s="1400"/>
      <c r="M331" s="1412"/>
    </row>
    <row r="332" spans="1:13" ht="19.5" customHeight="1">
      <c r="A332" s="1260" t="s">
        <v>161</v>
      </c>
      <c r="B332" s="1257"/>
      <c r="C332" s="1261" t="s">
        <v>41</v>
      </c>
      <c r="D332" s="1390">
        <f>'하천기본계획(기준소요인력)'!$K$123</f>
        <v>0.1</v>
      </c>
      <c r="E332" s="1399">
        <f t="shared" si="89"/>
        <v>295138</v>
      </c>
      <c r="F332" s="1400">
        <f t="shared" si="89"/>
        <v>29513</v>
      </c>
      <c r="G332" s="1399">
        <f>'산근3 노임'!$B$8</f>
        <v>295138</v>
      </c>
      <c r="H332" s="1400">
        <f t="shared" si="90"/>
        <v>29513</v>
      </c>
      <c r="I332" s="1399"/>
      <c r="J332" s="1400"/>
      <c r="K332" s="1399"/>
      <c r="L332" s="1400"/>
      <c r="M332" s="1412"/>
    </row>
    <row r="333" spans="1:13" ht="19.5" customHeight="1">
      <c r="A333" s="1260" t="s">
        <v>159</v>
      </c>
      <c r="B333" s="1257"/>
      <c r="C333" s="1261" t="s">
        <v>41</v>
      </c>
      <c r="D333" s="1390">
        <f>'하천기본계획(기준소요인력)'!$L$123</f>
        <v>0.5</v>
      </c>
      <c r="E333" s="1399">
        <f t="shared" si="89"/>
        <v>235459</v>
      </c>
      <c r="F333" s="1400">
        <f t="shared" si="89"/>
        <v>117729</v>
      </c>
      <c r="G333" s="1399">
        <f>'산근3 노임'!$B$9</f>
        <v>235459</v>
      </c>
      <c r="H333" s="1400">
        <f t="shared" si="90"/>
        <v>117729</v>
      </c>
      <c r="I333" s="1399"/>
      <c r="J333" s="1400"/>
      <c r="K333" s="1399"/>
      <c r="L333" s="1400"/>
      <c r="M333" s="1412"/>
    </row>
    <row r="334" spans="1:13" ht="19.5" customHeight="1">
      <c r="A334" s="1262" t="s">
        <v>235</v>
      </c>
      <c r="B334" s="1257"/>
      <c r="C334" s="1257"/>
      <c r="D334" s="1259"/>
      <c r="E334" s="1399"/>
      <c r="F334" s="1400">
        <f>SUM(H334,J334,L334)</f>
        <v>178330</v>
      </c>
      <c r="G334" s="1398"/>
      <c r="H334" s="1400">
        <f>SUM(H329:H333)</f>
        <v>178330</v>
      </c>
      <c r="I334" s="1398"/>
      <c r="J334" s="1258"/>
      <c r="K334" s="1398"/>
      <c r="L334" s="1258"/>
      <c r="M334" s="1412"/>
    </row>
    <row r="335" spans="1:13" ht="19.5" customHeight="1">
      <c r="A335" s="1263">
        <f>$O$2</f>
        <v>1</v>
      </c>
      <c r="B335" s="1257"/>
      <c r="C335" s="1257"/>
      <c r="D335" s="1259"/>
      <c r="E335" s="1399"/>
      <c r="F335" s="1400">
        <f>INT($A335*F334)</f>
        <v>178330</v>
      </c>
      <c r="G335" s="1398"/>
      <c r="H335" s="1400">
        <f>INT($A335*H334)</f>
        <v>178330</v>
      </c>
      <c r="I335" s="1398"/>
      <c r="J335" s="1258"/>
      <c r="K335" s="1398"/>
      <c r="L335" s="1258"/>
      <c r="M335" s="1412"/>
    </row>
    <row r="336" spans="1:13" ht="19.5" customHeight="1">
      <c r="A336" s="1263"/>
      <c r="B336" s="1257"/>
      <c r="C336" s="1257"/>
      <c r="D336" s="1259"/>
      <c r="E336" s="1399"/>
      <c r="F336" s="1400"/>
      <c r="G336" s="1398"/>
      <c r="H336" s="1400"/>
      <c r="I336" s="1398"/>
      <c r="J336" s="1258"/>
      <c r="K336" s="1398"/>
      <c r="L336" s="1258"/>
      <c r="M336" s="1412"/>
    </row>
    <row r="337" spans="1:13" ht="19.5" customHeight="1">
      <c r="A337" s="1256" t="s">
        <v>1213</v>
      </c>
      <c r="B337" s="1387"/>
      <c r="C337" s="1387"/>
      <c r="D337" s="1391"/>
      <c r="E337" s="1256"/>
      <c r="F337" s="1401"/>
      <c r="G337" s="1402"/>
      <c r="H337" s="1401"/>
      <c r="I337" s="1402"/>
      <c r="J337" s="1401"/>
      <c r="K337" s="1402"/>
      <c r="L337" s="1401"/>
      <c r="M337" s="1413"/>
    </row>
    <row r="338" spans="1:13" ht="19.5" customHeight="1">
      <c r="A338" s="1850" t="s">
        <v>1131</v>
      </c>
      <c r="B338" s="1374" t="s">
        <v>1132</v>
      </c>
      <c r="C338" s="1375">
        <v>150</v>
      </c>
      <c r="D338" s="1392" t="s">
        <v>1133</v>
      </c>
      <c r="E338" s="1379">
        <f t="shared" ref="E338:F343" si="91">G338+I338+K338</f>
        <v>7500</v>
      </c>
      <c r="F338" s="1380">
        <f t="shared" si="91"/>
        <v>1125000</v>
      </c>
      <c r="G338" s="1402"/>
      <c r="H338" s="1401"/>
      <c r="I338" s="1379"/>
      <c r="J338" s="1401"/>
      <c r="K338" s="1409">
        <f>150*50</f>
        <v>7500</v>
      </c>
      <c r="L338" s="1401">
        <f>TRUNC(C338*K338,0)</f>
        <v>1125000</v>
      </c>
      <c r="M338" s="1413"/>
    </row>
    <row r="339" spans="1:13" ht="19.5" customHeight="1">
      <c r="A339" s="1851"/>
      <c r="B339" s="1374" t="s">
        <v>1134</v>
      </c>
      <c r="C339" s="1375">
        <v>80</v>
      </c>
      <c r="D339" s="1392" t="s">
        <v>1133</v>
      </c>
      <c r="E339" s="1379">
        <f t="shared" si="91"/>
        <v>62500</v>
      </c>
      <c r="F339" s="1380">
        <f t="shared" si="91"/>
        <v>5000000</v>
      </c>
      <c r="G339" s="1402"/>
      <c r="H339" s="1401"/>
      <c r="I339" s="1379"/>
      <c r="J339" s="1401"/>
      <c r="K339" s="1379">
        <f>1250*50</f>
        <v>62500</v>
      </c>
      <c r="L339" s="1401">
        <f t="shared" ref="L339:L343" si="92">TRUNC(C339*K339,0)</f>
        <v>5000000</v>
      </c>
      <c r="M339" s="1413"/>
    </row>
    <row r="340" spans="1:13" ht="19.5" customHeight="1">
      <c r="A340" s="1260" t="s">
        <v>1135</v>
      </c>
      <c r="B340" s="1374" t="s">
        <v>1132</v>
      </c>
      <c r="C340" s="1375">
        <v>300</v>
      </c>
      <c r="D340" s="1392" t="s">
        <v>1130</v>
      </c>
      <c r="E340" s="1379">
        <f t="shared" si="91"/>
        <v>7500</v>
      </c>
      <c r="F340" s="1380">
        <f t="shared" si="91"/>
        <v>2250000</v>
      </c>
      <c r="G340" s="1402"/>
      <c r="H340" s="1401"/>
      <c r="I340" s="1402"/>
      <c r="J340" s="1401"/>
      <c r="K340" s="1409">
        <f>150*50</f>
        <v>7500</v>
      </c>
      <c r="L340" s="1401">
        <f t="shared" si="92"/>
        <v>2250000</v>
      </c>
      <c r="M340" s="1413"/>
    </row>
    <row r="341" spans="1:13" ht="19.5" customHeight="1">
      <c r="A341" s="1260" t="s">
        <v>1136</v>
      </c>
      <c r="B341" s="1432" t="s">
        <v>1137</v>
      </c>
      <c r="C341" s="1375">
        <v>10</v>
      </c>
      <c r="D341" s="1392" t="s">
        <v>1130</v>
      </c>
      <c r="E341" s="1379">
        <f t="shared" si="91"/>
        <v>62500</v>
      </c>
      <c r="F341" s="1380">
        <f t="shared" si="91"/>
        <v>625000</v>
      </c>
      <c r="G341" s="1402"/>
      <c r="H341" s="1401"/>
      <c r="I341" s="1402"/>
      <c r="J341" s="1401"/>
      <c r="K341" s="1379">
        <f>1250*50</f>
        <v>62500</v>
      </c>
      <c r="L341" s="1401">
        <f t="shared" si="92"/>
        <v>625000</v>
      </c>
      <c r="M341" s="1413"/>
    </row>
    <row r="342" spans="1:13" ht="19.5" customHeight="1">
      <c r="A342" s="1260" t="s">
        <v>1138</v>
      </c>
      <c r="B342" s="1374" t="s">
        <v>1132</v>
      </c>
      <c r="C342" s="1375">
        <v>2</v>
      </c>
      <c r="D342" s="1392" t="s">
        <v>1130</v>
      </c>
      <c r="E342" s="1379">
        <f t="shared" si="91"/>
        <v>7500</v>
      </c>
      <c r="F342" s="1380">
        <f t="shared" si="91"/>
        <v>15000</v>
      </c>
      <c r="G342" s="1402"/>
      <c r="H342" s="1401"/>
      <c r="I342" s="1402"/>
      <c r="J342" s="1401"/>
      <c r="K342" s="1409">
        <f>150*50</f>
        <v>7500</v>
      </c>
      <c r="L342" s="1401">
        <f t="shared" si="92"/>
        <v>15000</v>
      </c>
      <c r="M342" s="1413"/>
    </row>
    <row r="343" spans="1:13" ht="19.5" customHeight="1">
      <c r="A343" s="1260" t="s">
        <v>1139</v>
      </c>
      <c r="B343" s="1374" t="s">
        <v>1132</v>
      </c>
      <c r="C343" s="1375">
        <v>40</v>
      </c>
      <c r="D343" s="1392" t="s">
        <v>1130</v>
      </c>
      <c r="E343" s="1379">
        <f t="shared" si="91"/>
        <v>7500</v>
      </c>
      <c r="F343" s="1380">
        <f t="shared" si="91"/>
        <v>300000</v>
      </c>
      <c r="G343" s="1402"/>
      <c r="H343" s="1401"/>
      <c r="I343" s="1402"/>
      <c r="J343" s="1401"/>
      <c r="K343" s="1409">
        <f>150*50</f>
        <v>7500</v>
      </c>
      <c r="L343" s="1401">
        <f t="shared" si="92"/>
        <v>300000</v>
      </c>
      <c r="M343" s="1413"/>
    </row>
    <row r="344" spans="1:13" ht="19.5" customHeight="1">
      <c r="A344" s="1378" t="s">
        <v>235</v>
      </c>
      <c r="B344" s="1376"/>
      <c r="C344" s="1376"/>
      <c r="D344" s="1392"/>
      <c r="E344" s="1402"/>
      <c r="F344" s="1401">
        <f>SUM(F338:F343)</f>
        <v>9315000</v>
      </c>
      <c r="G344" s="1402"/>
      <c r="H344" s="1401"/>
      <c r="I344" s="1402"/>
      <c r="J344" s="1401"/>
      <c r="K344" s="1402"/>
      <c r="L344" s="1401">
        <f>SUM(L338:L343)</f>
        <v>9315000</v>
      </c>
      <c r="M344" s="1413"/>
    </row>
    <row r="345" spans="1:13" ht="19.5" customHeight="1">
      <c r="A345" s="1263">
        <f>$O$2</f>
        <v>1</v>
      </c>
      <c r="B345" s="1376"/>
      <c r="C345" s="1376"/>
      <c r="D345" s="1392"/>
      <c r="E345" s="1402"/>
      <c r="F345" s="1400">
        <f>INT($A345*F344)</f>
        <v>9315000</v>
      </c>
      <c r="G345" s="1402"/>
      <c r="H345" s="1400">
        <f>INT($A345*H344)</f>
        <v>0</v>
      </c>
      <c r="I345" s="1402"/>
      <c r="J345" s="1401"/>
      <c r="K345" s="1402"/>
      <c r="L345" s="1400">
        <f>INT($A345*L344)</f>
        <v>9315000</v>
      </c>
      <c r="M345" s="1413"/>
    </row>
    <row r="346" spans="1:13" ht="19.5" customHeight="1">
      <c r="A346" s="1263"/>
      <c r="B346" s="1376"/>
      <c r="C346" s="1376"/>
      <c r="D346" s="1392"/>
      <c r="E346" s="1402"/>
      <c r="F346" s="1400"/>
      <c r="G346" s="1402"/>
      <c r="H346" s="1400"/>
      <c r="I346" s="1402"/>
      <c r="J346" s="1401"/>
      <c r="K346" s="1402"/>
      <c r="L346" s="1400"/>
      <c r="M346" s="1413"/>
    </row>
    <row r="347" spans="1:13" ht="18" customHeight="1">
      <c r="A347" s="1256" t="s">
        <v>1214</v>
      </c>
      <c r="B347" s="1387"/>
      <c r="C347" s="1387"/>
      <c r="D347" s="1392"/>
      <c r="E347" s="1402"/>
      <c r="F347" s="1401"/>
      <c r="G347" s="1402"/>
      <c r="H347" s="1401"/>
      <c r="I347" s="1402"/>
      <c r="J347" s="1401"/>
      <c r="K347" s="1402"/>
      <c r="L347" s="1401"/>
      <c r="M347" s="1413"/>
    </row>
    <row r="348" spans="1:13" ht="18" customHeight="1">
      <c r="A348" s="1260" t="s">
        <v>1140</v>
      </c>
      <c r="B348" s="1432" t="s">
        <v>1141</v>
      </c>
      <c r="C348" s="1375">
        <v>50</v>
      </c>
      <c r="D348" s="1392" t="s">
        <v>1142</v>
      </c>
      <c r="E348" s="1379">
        <f t="shared" ref="E348:F357" si="93">G348+I348+K348</f>
        <v>1500</v>
      </c>
      <c r="F348" s="1380">
        <f t="shared" si="93"/>
        <v>75000</v>
      </c>
      <c r="G348" s="1402"/>
      <c r="H348" s="1401"/>
      <c r="I348" s="1379"/>
      <c r="J348" s="1401"/>
      <c r="K348" s="1379">
        <f>300*5</f>
        <v>1500</v>
      </c>
      <c r="L348" s="1401">
        <f>TRUNC(C348*K348,0)</f>
        <v>75000</v>
      </c>
      <c r="M348" s="1413"/>
    </row>
    <row r="349" spans="1:13" ht="18" customHeight="1">
      <c r="A349" s="1260" t="s">
        <v>1143</v>
      </c>
      <c r="B349" s="1432" t="s">
        <v>1141</v>
      </c>
      <c r="C349" s="1375">
        <v>20</v>
      </c>
      <c r="D349" s="1392" t="s">
        <v>1142</v>
      </c>
      <c r="E349" s="1379">
        <f t="shared" si="93"/>
        <v>1500</v>
      </c>
      <c r="F349" s="1380">
        <f t="shared" si="93"/>
        <v>30000</v>
      </c>
      <c r="G349" s="1402"/>
      <c r="H349" s="1401"/>
      <c r="I349" s="1402"/>
      <c r="J349" s="1401"/>
      <c r="K349" s="1379">
        <f>300*5</f>
        <v>1500</v>
      </c>
      <c r="L349" s="1401">
        <f t="shared" ref="L349:L357" si="94">TRUNC(C349*K349,0)</f>
        <v>30000</v>
      </c>
      <c r="M349" s="1413"/>
    </row>
    <row r="350" spans="1:13" ht="18" customHeight="1">
      <c r="A350" s="1260" t="s">
        <v>1136</v>
      </c>
      <c r="B350" s="1374" t="s">
        <v>1134</v>
      </c>
      <c r="C350" s="1375">
        <v>10</v>
      </c>
      <c r="D350" s="1392" t="s">
        <v>1130</v>
      </c>
      <c r="E350" s="1379">
        <f t="shared" si="93"/>
        <v>50000</v>
      </c>
      <c r="F350" s="1380">
        <f t="shared" si="93"/>
        <v>500000</v>
      </c>
      <c r="G350" s="1402"/>
      <c r="H350" s="1401"/>
      <c r="I350" s="1402"/>
      <c r="J350" s="1401"/>
      <c r="K350" s="1379">
        <f>10000*5</f>
        <v>50000</v>
      </c>
      <c r="L350" s="1401">
        <f t="shared" si="94"/>
        <v>500000</v>
      </c>
      <c r="M350" s="1413"/>
    </row>
    <row r="351" spans="1:13" ht="18" customHeight="1">
      <c r="A351" s="1260" t="s">
        <v>1138</v>
      </c>
      <c r="B351" s="1374" t="s">
        <v>1132</v>
      </c>
      <c r="C351" s="1375">
        <v>2</v>
      </c>
      <c r="D351" s="1392" t="s">
        <v>1130</v>
      </c>
      <c r="E351" s="1379">
        <f t="shared" si="93"/>
        <v>5000</v>
      </c>
      <c r="F351" s="1380">
        <f t="shared" si="93"/>
        <v>10000</v>
      </c>
      <c r="G351" s="1402"/>
      <c r="H351" s="1401"/>
      <c r="I351" s="1402"/>
      <c r="J351" s="1401"/>
      <c r="K351" s="1379">
        <f>1000*5</f>
        <v>5000</v>
      </c>
      <c r="L351" s="1401">
        <f t="shared" si="94"/>
        <v>10000</v>
      </c>
      <c r="M351" s="1413"/>
    </row>
    <row r="352" spans="1:13" ht="18" customHeight="1">
      <c r="A352" s="1260" t="s">
        <v>1139</v>
      </c>
      <c r="B352" s="1374" t="s">
        <v>1132</v>
      </c>
      <c r="C352" s="1375">
        <v>5</v>
      </c>
      <c r="D352" s="1392" t="s">
        <v>1130</v>
      </c>
      <c r="E352" s="1379">
        <f t="shared" si="93"/>
        <v>5000</v>
      </c>
      <c r="F352" s="1380">
        <f t="shared" si="93"/>
        <v>25000</v>
      </c>
      <c r="G352" s="1402"/>
      <c r="H352" s="1401"/>
      <c r="I352" s="1402"/>
      <c r="J352" s="1401"/>
      <c r="K352" s="1379">
        <f>1000*5</f>
        <v>5000</v>
      </c>
      <c r="L352" s="1401">
        <f t="shared" si="94"/>
        <v>25000</v>
      </c>
      <c r="M352" s="1413"/>
    </row>
    <row r="353" spans="1:13" ht="18" customHeight="1">
      <c r="A353" s="1260" t="s">
        <v>1144</v>
      </c>
      <c r="B353" s="1374" t="s">
        <v>1134</v>
      </c>
      <c r="C353" s="1375">
        <v>10</v>
      </c>
      <c r="D353" s="1392" t="s">
        <v>1130</v>
      </c>
      <c r="E353" s="1379">
        <f t="shared" si="93"/>
        <v>50000</v>
      </c>
      <c r="F353" s="1380">
        <f t="shared" si="93"/>
        <v>500000</v>
      </c>
      <c r="G353" s="1402"/>
      <c r="H353" s="1401"/>
      <c r="I353" s="1379"/>
      <c r="J353" s="1401"/>
      <c r="K353" s="1379">
        <f>10000*5</f>
        <v>50000</v>
      </c>
      <c r="L353" s="1401">
        <f t="shared" si="94"/>
        <v>500000</v>
      </c>
      <c r="M353" s="1413"/>
    </row>
    <row r="354" spans="1:13" ht="18" customHeight="1">
      <c r="A354" s="1260" t="s">
        <v>1145</v>
      </c>
      <c r="B354" s="1374" t="s">
        <v>1134</v>
      </c>
      <c r="C354" s="1375">
        <v>10</v>
      </c>
      <c r="D354" s="1392" t="s">
        <v>1130</v>
      </c>
      <c r="E354" s="1379">
        <f t="shared" si="93"/>
        <v>50000</v>
      </c>
      <c r="F354" s="1380">
        <f t="shared" si="93"/>
        <v>500000</v>
      </c>
      <c r="G354" s="1402"/>
      <c r="H354" s="1401"/>
      <c r="I354" s="1402"/>
      <c r="J354" s="1401"/>
      <c r="K354" s="1379">
        <f>10000*5</f>
        <v>50000</v>
      </c>
      <c r="L354" s="1401">
        <f t="shared" si="94"/>
        <v>500000</v>
      </c>
      <c r="M354" s="1413"/>
    </row>
    <row r="355" spans="1:13" ht="18" customHeight="1">
      <c r="A355" s="1260" t="s">
        <v>1146</v>
      </c>
      <c r="B355" s="1374" t="s">
        <v>1134</v>
      </c>
      <c r="C355" s="1375">
        <v>10</v>
      </c>
      <c r="D355" s="1392" t="s">
        <v>1130</v>
      </c>
      <c r="E355" s="1379">
        <f t="shared" si="93"/>
        <v>50000</v>
      </c>
      <c r="F355" s="1380">
        <f t="shared" si="93"/>
        <v>500000</v>
      </c>
      <c r="G355" s="1402"/>
      <c r="H355" s="1401"/>
      <c r="I355" s="1402"/>
      <c r="J355" s="1401"/>
      <c r="K355" s="1379">
        <f>10000*5</f>
        <v>50000</v>
      </c>
      <c r="L355" s="1401">
        <f t="shared" si="94"/>
        <v>500000</v>
      </c>
      <c r="M355" s="1413"/>
    </row>
    <row r="356" spans="1:13" ht="18" customHeight="1">
      <c r="A356" s="1260" t="s">
        <v>1147</v>
      </c>
      <c r="B356" s="1374" t="s">
        <v>1148</v>
      </c>
      <c r="C356" s="1375">
        <v>30</v>
      </c>
      <c r="D356" s="1392" t="s">
        <v>1130</v>
      </c>
      <c r="E356" s="1379">
        <f t="shared" si="93"/>
        <v>1500</v>
      </c>
      <c r="F356" s="1380">
        <f t="shared" si="93"/>
        <v>45000</v>
      </c>
      <c r="G356" s="1402"/>
      <c r="H356" s="1401"/>
      <c r="I356" s="1402"/>
      <c r="J356" s="1401"/>
      <c r="K356" s="1379">
        <f>300*5</f>
        <v>1500</v>
      </c>
      <c r="L356" s="1401">
        <f t="shared" si="94"/>
        <v>45000</v>
      </c>
      <c r="M356" s="1413"/>
    </row>
    <row r="357" spans="1:13" ht="18" customHeight="1">
      <c r="A357" s="1260" t="s">
        <v>1149</v>
      </c>
      <c r="B357" s="1374" t="s">
        <v>1134</v>
      </c>
      <c r="C357" s="1375">
        <v>25</v>
      </c>
      <c r="D357" s="1392" t="s">
        <v>1130</v>
      </c>
      <c r="E357" s="1379">
        <f t="shared" si="93"/>
        <v>35000</v>
      </c>
      <c r="F357" s="1380">
        <f t="shared" si="93"/>
        <v>875000</v>
      </c>
      <c r="G357" s="1402"/>
      <c r="H357" s="1401"/>
      <c r="I357" s="1402"/>
      <c r="J357" s="1401"/>
      <c r="K357" s="1379">
        <f>7000*5</f>
        <v>35000</v>
      </c>
      <c r="L357" s="1401">
        <f t="shared" si="94"/>
        <v>875000</v>
      </c>
      <c r="M357" s="1413"/>
    </row>
    <row r="358" spans="1:13" ht="18" customHeight="1">
      <c r="A358" s="1378" t="s">
        <v>235</v>
      </c>
      <c r="B358" s="1376"/>
      <c r="C358" s="1376"/>
      <c r="D358" s="1392"/>
      <c r="E358" s="1402"/>
      <c r="F358" s="1401">
        <f>L358</f>
        <v>3060000</v>
      </c>
      <c r="G358" s="1402"/>
      <c r="H358" s="1401"/>
      <c r="I358" s="1402"/>
      <c r="J358" s="1401"/>
      <c r="K358" s="1402"/>
      <c r="L358" s="1401">
        <f>SUM(L348:L357)</f>
        <v>3060000</v>
      </c>
      <c r="M358" s="1413"/>
    </row>
    <row r="359" spans="1:13" ht="18" customHeight="1">
      <c r="A359" s="1263">
        <f>$O$2</f>
        <v>1</v>
      </c>
      <c r="B359" s="1376"/>
      <c r="C359" s="1376"/>
      <c r="D359" s="1392"/>
      <c r="E359" s="1402"/>
      <c r="F359" s="1400">
        <f>INT($A359*F358)</f>
        <v>3060000</v>
      </c>
      <c r="G359" s="1402"/>
      <c r="H359" s="1400">
        <f>INT($A359*H358)</f>
        <v>0</v>
      </c>
      <c r="I359" s="1402"/>
      <c r="J359" s="1401"/>
      <c r="K359" s="1402"/>
      <c r="L359" s="1400">
        <f>INT($A359*L358)</f>
        <v>3060000</v>
      </c>
      <c r="M359" s="1413"/>
    </row>
    <row r="360" spans="1:13" ht="18" customHeight="1">
      <c r="A360" s="1256" t="s">
        <v>1215</v>
      </c>
      <c r="B360" s="1387"/>
      <c r="C360" s="1387"/>
      <c r="D360" s="1392"/>
      <c r="E360" s="1402"/>
      <c r="F360" s="1401"/>
      <c r="G360" s="1402"/>
      <c r="H360" s="1401"/>
      <c r="I360" s="1402"/>
      <c r="J360" s="1401"/>
      <c r="K360" s="1402"/>
      <c r="L360" s="1401"/>
      <c r="M360" s="1413"/>
    </row>
    <row r="361" spans="1:13" ht="18" customHeight="1">
      <c r="A361" s="1260" t="s">
        <v>1150</v>
      </c>
      <c r="B361" s="1374" t="s">
        <v>1151</v>
      </c>
      <c r="C361" s="1375">
        <v>20</v>
      </c>
      <c r="D361" s="1392" t="s">
        <v>1130</v>
      </c>
      <c r="E361" s="1379">
        <f t="shared" ref="E361:F367" si="95">G361+I361+K361</f>
        <v>30000</v>
      </c>
      <c r="F361" s="1380">
        <f t="shared" si="95"/>
        <v>600000</v>
      </c>
      <c r="G361" s="1402"/>
      <c r="H361" s="1401"/>
      <c r="I361" s="1379"/>
      <c r="J361" s="1401"/>
      <c r="K361" s="1379">
        <v>30000</v>
      </c>
      <c r="L361" s="1401">
        <f>TRUNC(C361*K361,0)</f>
        <v>600000</v>
      </c>
      <c r="M361" s="1413"/>
    </row>
    <row r="362" spans="1:13" ht="18" customHeight="1">
      <c r="A362" s="1260" t="s">
        <v>1152</v>
      </c>
      <c r="B362" s="1374" t="s">
        <v>1151</v>
      </c>
      <c r="C362" s="1375">
        <v>20</v>
      </c>
      <c r="D362" s="1392" t="s">
        <v>1130</v>
      </c>
      <c r="E362" s="1379">
        <f t="shared" si="95"/>
        <v>30000</v>
      </c>
      <c r="F362" s="1380">
        <f t="shared" si="95"/>
        <v>600000</v>
      </c>
      <c r="G362" s="1402"/>
      <c r="H362" s="1401"/>
      <c r="I362" s="1402"/>
      <c r="J362" s="1401"/>
      <c r="K362" s="1379">
        <v>30000</v>
      </c>
      <c r="L362" s="1401">
        <f t="shared" ref="L362:L367" si="96">TRUNC(C362*K362,0)</f>
        <v>600000</v>
      </c>
      <c r="M362" s="1413"/>
    </row>
    <row r="363" spans="1:13" ht="18" customHeight="1">
      <c r="A363" s="1260" t="s">
        <v>1140</v>
      </c>
      <c r="B363" s="1374" t="s">
        <v>1153</v>
      </c>
      <c r="C363" s="1375">
        <v>5</v>
      </c>
      <c r="D363" s="1392" t="s">
        <v>1154</v>
      </c>
      <c r="E363" s="1379">
        <f t="shared" si="95"/>
        <v>40000</v>
      </c>
      <c r="F363" s="1380">
        <f t="shared" si="95"/>
        <v>200000</v>
      </c>
      <c r="G363" s="1402"/>
      <c r="H363" s="1401"/>
      <c r="I363" s="1402"/>
      <c r="J363" s="1401"/>
      <c r="K363" s="1379">
        <v>40000</v>
      </c>
      <c r="L363" s="1401">
        <f t="shared" si="96"/>
        <v>200000</v>
      </c>
      <c r="M363" s="1413"/>
    </row>
    <row r="364" spans="1:13" ht="18" customHeight="1">
      <c r="A364" s="1260" t="s">
        <v>1143</v>
      </c>
      <c r="B364" s="1374" t="s">
        <v>1153</v>
      </c>
      <c r="C364" s="1375">
        <v>5</v>
      </c>
      <c r="D364" s="1392" t="s">
        <v>1154</v>
      </c>
      <c r="E364" s="1379">
        <f t="shared" si="95"/>
        <v>40000</v>
      </c>
      <c r="F364" s="1380">
        <f t="shared" si="95"/>
        <v>200000</v>
      </c>
      <c r="G364" s="1402"/>
      <c r="H364" s="1401"/>
      <c r="I364" s="1402"/>
      <c r="J364" s="1401"/>
      <c r="K364" s="1379">
        <v>40000</v>
      </c>
      <c r="L364" s="1401">
        <f t="shared" si="96"/>
        <v>200000</v>
      </c>
      <c r="M364" s="1413"/>
    </row>
    <row r="365" spans="1:13" ht="18" customHeight="1">
      <c r="A365" s="1260" t="s">
        <v>1155</v>
      </c>
      <c r="B365" s="1374" t="s">
        <v>1153</v>
      </c>
      <c r="C365" s="1375">
        <v>5</v>
      </c>
      <c r="D365" s="1392" t="s">
        <v>1154</v>
      </c>
      <c r="E365" s="1379">
        <f t="shared" si="95"/>
        <v>60000</v>
      </c>
      <c r="F365" s="1380">
        <f t="shared" si="95"/>
        <v>300000</v>
      </c>
      <c r="G365" s="1402"/>
      <c r="H365" s="1401"/>
      <c r="I365" s="1402"/>
      <c r="J365" s="1401"/>
      <c r="K365" s="1379">
        <v>60000</v>
      </c>
      <c r="L365" s="1401">
        <f t="shared" si="96"/>
        <v>300000</v>
      </c>
      <c r="M365" s="1413"/>
    </row>
    <row r="366" spans="1:13" ht="18" customHeight="1">
      <c r="A366" s="1260" t="s">
        <v>1147</v>
      </c>
      <c r="B366" s="1374" t="s">
        <v>1153</v>
      </c>
      <c r="C366" s="1375">
        <v>5</v>
      </c>
      <c r="D366" s="1392" t="s">
        <v>1154</v>
      </c>
      <c r="E366" s="1379">
        <f t="shared" si="95"/>
        <v>60000</v>
      </c>
      <c r="F366" s="1380">
        <f t="shared" si="95"/>
        <v>300000</v>
      </c>
      <c r="G366" s="1402"/>
      <c r="H366" s="1401"/>
      <c r="I366" s="1379"/>
      <c r="J366" s="1401"/>
      <c r="K366" s="1379">
        <v>60000</v>
      </c>
      <c r="L366" s="1401">
        <f t="shared" si="96"/>
        <v>300000</v>
      </c>
      <c r="M366" s="1413"/>
    </row>
    <row r="367" spans="1:13" ht="18" customHeight="1">
      <c r="A367" s="1260" t="s">
        <v>1149</v>
      </c>
      <c r="B367" s="1374" t="s">
        <v>1153</v>
      </c>
      <c r="C367" s="1375">
        <v>5</v>
      </c>
      <c r="D367" s="1392" t="s">
        <v>1154</v>
      </c>
      <c r="E367" s="1379">
        <f t="shared" si="95"/>
        <v>50000</v>
      </c>
      <c r="F367" s="1380">
        <f t="shared" si="95"/>
        <v>250000</v>
      </c>
      <c r="G367" s="1402"/>
      <c r="H367" s="1401"/>
      <c r="I367" s="1402"/>
      <c r="J367" s="1401"/>
      <c r="K367" s="1379">
        <v>50000</v>
      </c>
      <c r="L367" s="1401">
        <f t="shared" si="96"/>
        <v>250000</v>
      </c>
      <c r="M367" s="1413"/>
    </row>
    <row r="368" spans="1:13" ht="18" customHeight="1">
      <c r="A368" s="1378" t="s">
        <v>235</v>
      </c>
      <c r="B368" s="1376"/>
      <c r="C368" s="1376"/>
      <c r="D368" s="1392"/>
      <c r="E368" s="1402"/>
      <c r="F368" s="1401">
        <f>SUM(F361:F367)</f>
        <v>2450000</v>
      </c>
      <c r="G368" s="1402"/>
      <c r="H368" s="1401"/>
      <c r="I368" s="1402"/>
      <c r="J368" s="1401"/>
      <c r="K368" s="1402"/>
      <c r="L368" s="1401">
        <f>SUM(L361:L367)</f>
        <v>2450000</v>
      </c>
      <c r="M368" s="1413"/>
    </row>
    <row r="369" spans="1:13" ht="18" customHeight="1">
      <c r="A369" s="1263">
        <f>$O$2</f>
        <v>1</v>
      </c>
      <c r="B369" s="1376"/>
      <c r="C369" s="1376"/>
      <c r="D369" s="1392"/>
      <c r="E369" s="1402"/>
      <c r="F369" s="1380">
        <f>H369+J369+L369</f>
        <v>2450000</v>
      </c>
      <c r="G369" s="1402"/>
      <c r="H369" s="1400">
        <f>INT($A369*H368)</f>
        <v>0</v>
      </c>
      <c r="I369" s="1402"/>
      <c r="J369" s="1401"/>
      <c r="K369" s="1402"/>
      <c r="L369" s="1400">
        <f>INT($A369*L368)</f>
        <v>2450000</v>
      </c>
      <c r="M369" s="1413"/>
    </row>
    <row r="370" spans="1:13" ht="18" customHeight="1">
      <c r="A370" s="1256" t="s">
        <v>1216</v>
      </c>
      <c r="B370" s="1387"/>
      <c r="C370" s="1387"/>
      <c r="D370" s="1392"/>
      <c r="E370" s="1402"/>
      <c r="F370" s="1401"/>
      <c r="G370" s="1402"/>
      <c r="H370" s="1401"/>
      <c r="I370" s="1402"/>
      <c r="J370" s="1401"/>
      <c r="K370" s="1402"/>
      <c r="L370" s="1401"/>
      <c r="M370" s="1413"/>
    </row>
    <row r="371" spans="1:13" ht="18" customHeight="1">
      <c r="A371" s="1379" t="s">
        <v>1156</v>
      </c>
      <c r="B371" s="1377"/>
      <c r="C371" s="1377">
        <v>1</v>
      </c>
      <c r="D371" s="1393" t="s">
        <v>296</v>
      </c>
      <c r="E371" s="1379">
        <f>I371+G371+K371</f>
        <v>90000</v>
      </c>
      <c r="F371" s="1380">
        <f>J371+H371+L371</f>
        <v>90000</v>
      </c>
      <c r="G371" s="1379"/>
      <c r="H371" s="1380"/>
      <c r="I371" s="1379"/>
      <c r="J371" s="1380"/>
      <c r="K371" s="1379">
        <v>90000</v>
      </c>
      <c r="L371" s="1380">
        <f>INT($C371*K371)</f>
        <v>90000</v>
      </c>
      <c r="M371" s="1414"/>
    </row>
    <row r="372" spans="1:13" ht="18" customHeight="1">
      <c r="A372" s="1379" t="s">
        <v>1157</v>
      </c>
      <c r="B372" s="1377"/>
      <c r="C372" s="1377"/>
      <c r="D372" s="1393"/>
      <c r="E372" s="1379"/>
      <c r="F372" s="1380">
        <f>SUM(F371)</f>
        <v>90000</v>
      </c>
      <c r="G372" s="1379"/>
      <c r="H372" s="1380"/>
      <c r="I372" s="1379"/>
      <c r="J372" s="1380"/>
      <c r="K372" s="1379"/>
      <c r="L372" s="1380">
        <f>SUM(L371)</f>
        <v>90000</v>
      </c>
      <c r="M372" s="1414"/>
    </row>
    <row r="373" spans="1:13" ht="18" customHeight="1">
      <c r="A373" s="1264">
        <f>$O$2</f>
        <v>1</v>
      </c>
      <c r="B373" s="1415"/>
      <c r="C373" s="1415"/>
      <c r="D373" s="1416"/>
      <c r="E373" s="1403"/>
      <c r="F373" s="1404">
        <f>H373+J373+L373</f>
        <v>90000</v>
      </c>
      <c r="G373" s="1403"/>
      <c r="H373" s="1407">
        <f>INT($A373*H372)</f>
        <v>0</v>
      </c>
      <c r="I373" s="1403"/>
      <c r="J373" s="1408"/>
      <c r="K373" s="1403"/>
      <c r="L373" s="1407">
        <f>INT($A373*L372)</f>
        <v>90000</v>
      </c>
      <c r="M373" s="1417"/>
    </row>
    <row r="374" spans="1:13">
      <c r="A374" s="1272"/>
      <c r="C374" s="1273"/>
    </row>
    <row r="375" spans="1:13">
      <c r="A375" s="1272"/>
      <c r="C375" s="1273"/>
    </row>
    <row r="376" spans="1:13">
      <c r="A376" s="1272"/>
      <c r="C376" s="1273"/>
    </row>
    <row r="377" spans="1:13">
      <c r="A377" s="1274"/>
    </row>
    <row r="378" spans="1:13">
      <c r="A378" s="1271"/>
    </row>
    <row r="380" spans="1:13">
      <c r="A380" s="1272"/>
      <c r="C380" s="1273"/>
    </row>
    <row r="381" spans="1:13">
      <c r="A381" s="1272"/>
      <c r="C381" s="1273"/>
    </row>
    <row r="382" spans="1:13">
      <c r="A382" s="1272"/>
      <c r="C382" s="1273"/>
    </row>
    <row r="383" spans="1:13">
      <c r="A383" s="1272"/>
      <c r="C383" s="1273"/>
    </row>
    <row r="384" spans="1:13">
      <c r="A384" s="1272"/>
      <c r="C384" s="1273"/>
    </row>
    <row r="385" spans="1:3">
      <c r="A385" s="1272"/>
      <c r="C385" s="1273"/>
    </row>
    <row r="386" spans="1:3">
      <c r="A386" s="1274"/>
    </row>
    <row r="387" spans="1:3">
      <c r="A387" s="1271"/>
    </row>
    <row r="389" spans="1:3">
      <c r="A389" s="1272"/>
      <c r="C389" s="1273"/>
    </row>
    <row r="390" spans="1:3">
      <c r="A390" s="1272"/>
      <c r="C390" s="1273"/>
    </row>
    <row r="391" spans="1:3">
      <c r="A391" s="1272"/>
      <c r="C391" s="1273"/>
    </row>
    <row r="392" spans="1:3">
      <c r="A392" s="1272"/>
      <c r="C392" s="1273"/>
    </row>
    <row r="393" spans="1:3">
      <c r="A393" s="1272"/>
      <c r="C393" s="1273"/>
    </row>
    <row r="394" spans="1:3">
      <c r="A394" s="1272"/>
      <c r="C394" s="1273"/>
    </row>
    <row r="395" spans="1:3">
      <c r="A395" s="1274"/>
    </row>
    <row r="396" spans="1:3">
      <c r="A396" s="1271"/>
    </row>
    <row r="398" spans="1:3">
      <c r="A398" s="1272"/>
      <c r="C398" s="1273"/>
    </row>
    <row r="399" spans="1:3">
      <c r="A399" s="1272"/>
      <c r="C399" s="1273"/>
    </row>
    <row r="400" spans="1:3">
      <c r="A400" s="1272"/>
      <c r="C400" s="1273"/>
    </row>
    <row r="401" spans="1:3">
      <c r="A401" s="1272"/>
      <c r="C401" s="1273"/>
    </row>
    <row r="402" spans="1:3">
      <c r="A402" s="1272"/>
      <c r="C402" s="1273"/>
    </row>
    <row r="403" spans="1:3">
      <c r="A403" s="1272"/>
      <c r="C403" s="1273"/>
    </row>
    <row r="404" spans="1:3">
      <c r="A404" s="1274"/>
    </row>
    <row r="405" spans="1:3">
      <c r="A405" s="1271"/>
    </row>
    <row r="407" spans="1:3">
      <c r="A407" s="1272"/>
      <c r="C407" s="1273"/>
    </row>
    <row r="408" spans="1:3">
      <c r="A408" s="1272"/>
      <c r="C408" s="1273"/>
    </row>
    <row r="409" spans="1:3">
      <c r="A409" s="1272"/>
      <c r="C409" s="1273"/>
    </row>
    <row r="410" spans="1:3">
      <c r="A410" s="1272"/>
      <c r="C410" s="1273"/>
    </row>
    <row r="411" spans="1:3">
      <c r="A411" s="1272"/>
      <c r="C411" s="1273"/>
    </row>
    <row r="412" spans="1:3">
      <c r="A412" s="1272"/>
      <c r="C412" s="1273"/>
    </row>
    <row r="413" spans="1:3">
      <c r="A413" s="1274"/>
    </row>
    <row r="414" spans="1:3">
      <c r="A414" s="1271"/>
    </row>
  </sheetData>
  <mergeCells count="7">
    <mergeCell ref="A338:A339"/>
    <mergeCell ref="M1:M2"/>
    <mergeCell ref="A1:A2"/>
    <mergeCell ref="B1:B2"/>
    <mergeCell ref="C1:C2"/>
    <mergeCell ref="D1:D2"/>
    <mergeCell ref="E1:F1"/>
  </mergeCells>
  <phoneticPr fontId="181" type="noConversion"/>
  <printOptions horizontalCentered="1"/>
  <pageMargins left="0.23622047244094491" right="0.23622047244094491" top="0.39370078740157483" bottom="0.39370078740157483" header="0" footer="0"/>
  <pageSetup paperSize="9" fitToHeight="0" orientation="landscape" r:id="rId1"/>
  <rowBreaks count="1" manualBreakCount="1">
    <brk id="346" max="12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4">
    <tabColor theme="3" tint="0.59999389629810485"/>
  </sheetPr>
  <dimension ref="A1:O103"/>
  <sheetViews>
    <sheetView view="pageBreakPreview" zoomScaleNormal="100" zoomScaleSheetLayoutView="100" workbookViewId="0">
      <selection activeCell="AA49" sqref="AA49"/>
    </sheetView>
  </sheetViews>
  <sheetFormatPr defaultRowHeight="14.25"/>
  <cols>
    <col min="1" max="1" width="19.44140625" style="1358" customWidth="1"/>
    <col min="2" max="2" width="9.88671875" style="1358" customWidth="1"/>
    <col min="3" max="3" width="9.88671875" style="1373" customWidth="1"/>
    <col min="4" max="4" width="9.88671875" style="1358" customWidth="1"/>
    <col min="5" max="5" width="10.77734375" style="1358" customWidth="1"/>
    <col min="6" max="6" width="13.33203125" style="1361" bestFit="1" customWidth="1"/>
    <col min="7" max="10" width="8.88671875" style="1338"/>
    <col min="11" max="11" width="14.33203125" style="1338" customWidth="1"/>
    <col min="12" max="14" width="8.88671875" style="1338"/>
    <col min="15" max="15" width="16.109375" style="1338" bestFit="1" customWidth="1"/>
    <col min="16" max="256" width="8.88671875" style="1338"/>
    <col min="257" max="257" width="11.77734375" style="1338" customWidth="1"/>
    <col min="258" max="260" width="9.88671875" style="1338" customWidth="1"/>
    <col min="261" max="261" width="10.77734375" style="1338" customWidth="1"/>
    <col min="262" max="262" width="11.21875" style="1338" bestFit="1" customWidth="1"/>
    <col min="263" max="270" width="8.88671875" style="1338"/>
    <col min="271" max="271" width="16.109375" style="1338" bestFit="1" customWidth="1"/>
    <col min="272" max="512" width="8.88671875" style="1338"/>
    <col min="513" max="513" width="11.77734375" style="1338" customWidth="1"/>
    <col min="514" max="516" width="9.88671875" style="1338" customWidth="1"/>
    <col min="517" max="517" width="10.77734375" style="1338" customWidth="1"/>
    <col min="518" max="518" width="11.21875" style="1338" bestFit="1" customWidth="1"/>
    <col min="519" max="526" width="8.88671875" style="1338"/>
    <col min="527" max="527" width="16.109375" style="1338" bestFit="1" customWidth="1"/>
    <col min="528" max="768" width="8.88671875" style="1338"/>
    <col min="769" max="769" width="11.77734375" style="1338" customWidth="1"/>
    <col min="770" max="772" width="9.88671875" style="1338" customWidth="1"/>
    <col min="773" max="773" width="10.77734375" style="1338" customWidth="1"/>
    <col min="774" max="774" width="11.21875" style="1338" bestFit="1" customWidth="1"/>
    <col min="775" max="782" width="8.88671875" style="1338"/>
    <col min="783" max="783" width="16.109375" style="1338" bestFit="1" customWidth="1"/>
    <col min="784" max="1024" width="8.88671875" style="1338"/>
    <col min="1025" max="1025" width="11.77734375" style="1338" customWidth="1"/>
    <col min="1026" max="1028" width="9.88671875" style="1338" customWidth="1"/>
    <col min="1029" max="1029" width="10.77734375" style="1338" customWidth="1"/>
    <col min="1030" max="1030" width="11.21875" style="1338" bestFit="1" customWidth="1"/>
    <col min="1031" max="1038" width="8.88671875" style="1338"/>
    <col min="1039" max="1039" width="16.109375" style="1338" bestFit="1" customWidth="1"/>
    <col min="1040" max="1280" width="8.88671875" style="1338"/>
    <col min="1281" max="1281" width="11.77734375" style="1338" customWidth="1"/>
    <col min="1282" max="1284" width="9.88671875" style="1338" customWidth="1"/>
    <col min="1285" max="1285" width="10.77734375" style="1338" customWidth="1"/>
    <col min="1286" max="1286" width="11.21875" style="1338" bestFit="1" customWidth="1"/>
    <col min="1287" max="1294" width="8.88671875" style="1338"/>
    <col min="1295" max="1295" width="16.109375" style="1338" bestFit="1" customWidth="1"/>
    <col min="1296" max="1536" width="8.88671875" style="1338"/>
    <col min="1537" max="1537" width="11.77734375" style="1338" customWidth="1"/>
    <col min="1538" max="1540" width="9.88671875" style="1338" customWidth="1"/>
    <col min="1541" max="1541" width="10.77734375" style="1338" customWidth="1"/>
    <col min="1542" max="1542" width="11.21875" style="1338" bestFit="1" customWidth="1"/>
    <col min="1543" max="1550" width="8.88671875" style="1338"/>
    <col min="1551" max="1551" width="16.109375" style="1338" bestFit="1" customWidth="1"/>
    <col min="1552" max="1792" width="8.88671875" style="1338"/>
    <col min="1793" max="1793" width="11.77734375" style="1338" customWidth="1"/>
    <col min="1794" max="1796" width="9.88671875" style="1338" customWidth="1"/>
    <col min="1797" max="1797" width="10.77734375" style="1338" customWidth="1"/>
    <col min="1798" max="1798" width="11.21875" style="1338" bestFit="1" customWidth="1"/>
    <col min="1799" max="1806" width="8.88671875" style="1338"/>
    <col min="1807" max="1807" width="16.109375" style="1338" bestFit="1" customWidth="1"/>
    <col min="1808" max="2048" width="8.88671875" style="1338"/>
    <col min="2049" max="2049" width="11.77734375" style="1338" customWidth="1"/>
    <col min="2050" max="2052" width="9.88671875" style="1338" customWidth="1"/>
    <col min="2053" max="2053" width="10.77734375" style="1338" customWidth="1"/>
    <col min="2054" max="2054" width="11.21875" style="1338" bestFit="1" customWidth="1"/>
    <col min="2055" max="2062" width="8.88671875" style="1338"/>
    <col min="2063" max="2063" width="16.109375" style="1338" bestFit="1" customWidth="1"/>
    <col min="2064" max="2304" width="8.88671875" style="1338"/>
    <col min="2305" max="2305" width="11.77734375" style="1338" customWidth="1"/>
    <col min="2306" max="2308" width="9.88671875" style="1338" customWidth="1"/>
    <col min="2309" max="2309" width="10.77734375" style="1338" customWidth="1"/>
    <col min="2310" max="2310" width="11.21875" style="1338" bestFit="1" customWidth="1"/>
    <col min="2311" max="2318" width="8.88671875" style="1338"/>
    <col min="2319" max="2319" width="16.109375" style="1338" bestFit="1" customWidth="1"/>
    <col min="2320" max="2560" width="8.88671875" style="1338"/>
    <col min="2561" max="2561" width="11.77734375" style="1338" customWidth="1"/>
    <col min="2562" max="2564" width="9.88671875" style="1338" customWidth="1"/>
    <col min="2565" max="2565" width="10.77734375" style="1338" customWidth="1"/>
    <col min="2566" max="2566" width="11.21875" style="1338" bestFit="1" customWidth="1"/>
    <col min="2567" max="2574" width="8.88671875" style="1338"/>
    <col min="2575" max="2575" width="16.109375" style="1338" bestFit="1" customWidth="1"/>
    <col min="2576" max="2816" width="8.88671875" style="1338"/>
    <col min="2817" max="2817" width="11.77734375" style="1338" customWidth="1"/>
    <col min="2818" max="2820" width="9.88671875" style="1338" customWidth="1"/>
    <col min="2821" max="2821" width="10.77734375" style="1338" customWidth="1"/>
    <col min="2822" max="2822" width="11.21875" style="1338" bestFit="1" customWidth="1"/>
    <col min="2823" max="2830" width="8.88671875" style="1338"/>
    <col min="2831" max="2831" width="16.109375" style="1338" bestFit="1" customWidth="1"/>
    <col min="2832" max="3072" width="8.88671875" style="1338"/>
    <col min="3073" max="3073" width="11.77734375" style="1338" customWidth="1"/>
    <col min="3074" max="3076" width="9.88671875" style="1338" customWidth="1"/>
    <col min="3077" max="3077" width="10.77734375" style="1338" customWidth="1"/>
    <col min="3078" max="3078" width="11.21875" style="1338" bestFit="1" customWidth="1"/>
    <col min="3079" max="3086" width="8.88671875" style="1338"/>
    <col min="3087" max="3087" width="16.109375" style="1338" bestFit="1" customWidth="1"/>
    <col min="3088" max="3328" width="8.88671875" style="1338"/>
    <col min="3329" max="3329" width="11.77734375" style="1338" customWidth="1"/>
    <col min="3330" max="3332" width="9.88671875" style="1338" customWidth="1"/>
    <col min="3333" max="3333" width="10.77734375" style="1338" customWidth="1"/>
    <col min="3334" max="3334" width="11.21875" style="1338" bestFit="1" customWidth="1"/>
    <col min="3335" max="3342" width="8.88671875" style="1338"/>
    <col min="3343" max="3343" width="16.109375" style="1338" bestFit="1" customWidth="1"/>
    <col min="3344" max="3584" width="8.88671875" style="1338"/>
    <col min="3585" max="3585" width="11.77734375" style="1338" customWidth="1"/>
    <col min="3586" max="3588" width="9.88671875" style="1338" customWidth="1"/>
    <col min="3589" max="3589" width="10.77734375" style="1338" customWidth="1"/>
    <col min="3590" max="3590" width="11.21875" style="1338" bestFit="1" customWidth="1"/>
    <col min="3591" max="3598" width="8.88671875" style="1338"/>
    <col min="3599" max="3599" width="16.109375" style="1338" bestFit="1" customWidth="1"/>
    <col min="3600" max="3840" width="8.88671875" style="1338"/>
    <col min="3841" max="3841" width="11.77734375" style="1338" customWidth="1"/>
    <col min="3842" max="3844" width="9.88671875" style="1338" customWidth="1"/>
    <col min="3845" max="3845" width="10.77734375" style="1338" customWidth="1"/>
    <col min="3846" max="3846" width="11.21875" style="1338" bestFit="1" customWidth="1"/>
    <col min="3847" max="3854" width="8.88671875" style="1338"/>
    <col min="3855" max="3855" width="16.109375" style="1338" bestFit="1" customWidth="1"/>
    <col min="3856" max="4096" width="8.88671875" style="1338"/>
    <col min="4097" max="4097" width="11.77734375" style="1338" customWidth="1"/>
    <col min="4098" max="4100" width="9.88671875" style="1338" customWidth="1"/>
    <col min="4101" max="4101" width="10.77734375" style="1338" customWidth="1"/>
    <col min="4102" max="4102" width="11.21875" style="1338" bestFit="1" customWidth="1"/>
    <col min="4103" max="4110" width="8.88671875" style="1338"/>
    <col min="4111" max="4111" width="16.109375" style="1338" bestFit="1" customWidth="1"/>
    <col min="4112" max="4352" width="8.88671875" style="1338"/>
    <col min="4353" max="4353" width="11.77734375" style="1338" customWidth="1"/>
    <col min="4354" max="4356" width="9.88671875" style="1338" customWidth="1"/>
    <col min="4357" max="4357" width="10.77734375" style="1338" customWidth="1"/>
    <col min="4358" max="4358" width="11.21875" style="1338" bestFit="1" customWidth="1"/>
    <col min="4359" max="4366" width="8.88671875" style="1338"/>
    <col min="4367" max="4367" width="16.109375" style="1338" bestFit="1" customWidth="1"/>
    <col min="4368" max="4608" width="8.88671875" style="1338"/>
    <col min="4609" max="4609" width="11.77734375" style="1338" customWidth="1"/>
    <col min="4610" max="4612" width="9.88671875" style="1338" customWidth="1"/>
    <col min="4613" max="4613" width="10.77734375" style="1338" customWidth="1"/>
    <col min="4614" max="4614" width="11.21875" style="1338" bestFit="1" customWidth="1"/>
    <col min="4615" max="4622" width="8.88671875" style="1338"/>
    <col min="4623" max="4623" width="16.109375" style="1338" bestFit="1" customWidth="1"/>
    <col min="4624" max="4864" width="8.88671875" style="1338"/>
    <col min="4865" max="4865" width="11.77734375" style="1338" customWidth="1"/>
    <col min="4866" max="4868" width="9.88671875" style="1338" customWidth="1"/>
    <col min="4869" max="4869" width="10.77734375" style="1338" customWidth="1"/>
    <col min="4870" max="4870" width="11.21875" style="1338" bestFit="1" customWidth="1"/>
    <col min="4871" max="4878" width="8.88671875" style="1338"/>
    <col min="4879" max="4879" width="16.109375" style="1338" bestFit="1" customWidth="1"/>
    <col min="4880" max="5120" width="8.88671875" style="1338"/>
    <col min="5121" max="5121" width="11.77734375" style="1338" customWidth="1"/>
    <col min="5122" max="5124" width="9.88671875" style="1338" customWidth="1"/>
    <col min="5125" max="5125" width="10.77734375" style="1338" customWidth="1"/>
    <col min="5126" max="5126" width="11.21875" style="1338" bestFit="1" customWidth="1"/>
    <col min="5127" max="5134" width="8.88671875" style="1338"/>
    <col min="5135" max="5135" width="16.109375" style="1338" bestFit="1" customWidth="1"/>
    <col min="5136" max="5376" width="8.88671875" style="1338"/>
    <col min="5377" max="5377" width="11.77734375" style="1338" customWidth="1"/>
    <col min="5378" max="5380" width="9.88671875" style="1338" customWidth="1"/>
    <col min="5381" max="5381" width="10.77734375" style="1338" customWidth="1"/>
    <col min="5382" max="5382" width="11.21875" style="1338" bestFit="1" customWidth="1"/>
    <col min="5383" max="5390" width="8.88671875" style="1338"/>
    <col min="5391" max="5391" width="16.109375" style="1338" bestFit="1" customWidth="1"/>
    <col min="5392" max="5632" width="8.88671875" style="1338"/>
    <col min="5633" max="5633" width="11.77734375" style="1338" customWidth="1"/>
    <col min="5634" max="5636" width="9.88671875" style="1338" customWidth="1"/>
    <col min="5637" max="5637" width="10.77734375" style="1338" customWidth="1"/>
    <col min="5638" max="5638" width="11.21875" style="1338" bestFit="1" customWidth="1"/>
    <col min="5639" max="5646" width="8.88671875" style="1338"/>
    <col min="5647" max="5647" width="16.109375" style="1338" bestFit="1" customWidth="1"/>
    <col min="5648" max="5888" width="8.88671875" style="1338"/>
    <col min="5889" max="5889" width="11.77734375" style="1338" customWidth="1"/>
    <col min="5890" max="5892" width="9.88671875" style="1338" customWidth="1"/>
    <col min="5893" max="5893" width="10.77734375" style="1338" customWidth="1"/>
    <col min="5894" max="5894" width="11.21875" style="1338" bestFit="1" customWidth="1"/>
    <col min="5895" max="5902" width="8.88671875" style="1338"/>
    <col min="5903" max="5903" width="16.109375" style="1338" bestFit="1" customWidth="1"/>
    <col min="5904" max="6144" width="8.88671875" style="1338"/>
    <col min="6145" max="6145" width="11.77734375" style="1338" customWidth="1"/>
    <col min="6146" max="6148" width="9.88671875" style="1338" customWidth="1"/>
    <col min="6149" max="6149" width="10.77734375" style="1338" customWidth="1"/>
    <col min="6150" max="6150" width="11.21875" style="1338" bestFit="1" customWidth="1"/>
    <col min="6151" max="6158" width="8.88671875" style="1338"/>
    <col min="6159" max="6159" width="16.109375" style="1338" bestFit="1" customWidth="1"/>
    <col min="6160" max="6400" width="8.88671875" style="1338"/>
    <col min="6401" max="6401" width="11.77734375" style="1338" customWidth="1"/>
    <col min="6402" max="6404" width="9.88671875" style="1338" customWidth="1"/>
    <col min="6405" max="6405" width="10.77734375" style="1338" customWidth="1"/>
    <col min="6406" max="6406" width="11.21875" style="1338" bestFit="1" customWidth="1"/>
    <col min="6407" max="6414" width="8.88671875" style="1338"/>
    <col min="6415" max="6415" width="16.109375" style="1338" bestFit="1" customWidth="1"/>
    <col min="6416" max="6656" width="8.88671875" style="1338"/>
    <col min="6657" max="6657" width="11.77734375" style="1338" customWidth="1"/>
    <col min="6658" max="6660" width="9.88671875" style="1338" customWidth="1"/>
    <col min="6661" max="6661" width="10.77734375" style="1338" customWidth="1"/>
    <col min="6662" max="6662" width="11.21875" style="1338" bestFit="1" customWidth="1"/>
    <col min="6663" max="6670" width="8.88671875" style="1338"/>
    <col min="6671" max="6671" width="16.109375" style="1338" bestFit="1" customWidth="1"/>
    <col min="6672" max="6912" width="8.88671875" style="1338"/>
    <col min="6913" max="6913" width="11.77734375" style="1338" customWidth="1"/>
    <col min="6914" max="6916" width="9.88671875" style="1338" customWidth="1"/>
    <col min="6917" max="6917" width="10.77734375" style="1338" customWidth="1"/>
    <col min="6918" max="6918" width="11.21875" style="1338" bestFit="1" customWidth="1"/>
    <col min="6919" max="6926" width="8.88671875" style="1338"/>
    <col min="6927" max="6927" width="16.109375" style="1338" bestFit="1" customWidth="1"/>
    <col min="6928" max="7168" width="8.88671875" style="1338"/>
    <col min="7169" max="7169" width="11.77734375" style="1338" customWidth="1"/>
    <col min="7170" max="7172" width="9.88671875" style="1338" customWidth="1"/>
    <col min="7173" max="7173" width="10.77734375" style="1338" customWidth="1"/>
    <col min="7174" max="7174" width="11.21875" style="1338" bestFit="1" customWidth="1"/>
    <col min="7175" max="7182" width="8.88671875" style="1338"/>
    <col min="7183" max="7183" width="16.109375" style="1338" bestFit="1" customWidth="1"/>
    <col min="7184" max="7424" width="8.88671875" style="1338"/>
    <col min="7425" max="7425" width="11.77734375" style="1338" customWidth="1"/>
    <col min="7426" max="7428" width="9.88671875" style="1338" customWidth="1"/>
    <col min="7429" max="7429" width="10.77734375" style="1338" customWidth="1"/>
    <col min="7430" max="7430" width="11.21875" style="1338" bestFit="1" customWidth="1"/>
    <col min="7431" max="7438" width="8.88671875" style="1338"/>
    <col min="7439" max="7439" width="16.109375" style="1338" bestFit="1" customWidth="1"/>
    <col min="7440" max="7680" width="8.88671875" style="1338"/>
    <col min="7681" max="7681" width="11.77734375" style="1338" customWidth="1"/>
    <col min="7682" max="7684" width="9.88671875" style="1338" customWidth="1"/>
    <col min="7685" max="7685" width="10.77734375" style="1338" customWidth="1"/>
    <col min="7686" max="7686" width="11.21875" style="1338" bestFit="1" customWidth="1"/>
    <col min="7687" max="7694" width="8.88671875" style="1338"/>
    <col min="7695" max="7695" width="16.109375" style="1338" bestFit="1" customWidth="1"/>
    <col min="7696" max="7936" width="8.88671875" style="1338"/>
    <col min="7937" max="7937" width="11.77734375" style="1338" customWidth="1"/>
    <col min="7938" max="7940" width="9.88671875" style="1338" customWidth="1"/>
    <col min="7941" max="7941" width="10.77734375" style="1338" customWidth="1"/>
    <col min="7942" max="7942" width="11.21875" style="1338" bestFit="1" customWidth="1"/>
    <col min="7943" max="7950" width="8.88671875" style="1338"/>
    <col min="7951" max="7951" width="16.109375" style="1338" bestFit="1" customWidth="1"/>
    <col min="7952" max="8192" width="8.88671875" style="1338"/>
    <col min="8193" max="8193" width="11.77734375" style="1338" customWidth="1"/>
    <col min="8194" max="8196" width="9.88671875" style="1338" customWidth="1"/>
    <col min="8197" max="8197" width="10.77734375" style="1338" customWidth="1"/>
    <col min="8198" max="8198" width="11.21875" style="1338" bestFit="1" customWidth="1"/>
    <col min="8199" max="8206" width="8.88671875" style="1338"/>
    <col min="8207" max="8207" width="16.109375" style="1338" bestFit="1" customWidth="1"/>
    <col min="8208" max="8448" width="8.88671875" style="1338"/>
    <col min="8449" max="8449" width="11.77734375" style="1338" customWidth="1"/>
    <col min="8450" max="8452" width="9.88671875" style="1338" customWidth="1"/>
    <col min="8453" max="8453" width="10.77734375" style="1338" customWidth="1"/>
    <col min="8454" max="8454" width="11.21875" style="1338" bestFit="1" customWidth="1"/>
    <col min="8455" max="8462" width="8.88671875" style="1338"/>
    <col min="8463" max="8463" width="16.109375" style="1338" bestFit="1" customWidth="1"/>
    <col min="8464" max="8704" width="8.88671875" style="1338"/>
    <col min="8705" max="8705" width="11.77734375" style="1338" customWidth="1"/>
    <col min="8706" max="8708" width="9.88671875" style="1338" customWidth="1"/>
    <col min="8709" max="8709" width="10.77734375" style="1338" customWidth="1"/>
    <col min="8710" max="8710" width="11.21875" style="1338" bestFit="1" customWidth="1"/>
    <col min="8711" max="8718" width="8.88671875" style="1338"/>
    <col min="8719" max="8719" width="16.109375" style="1338" bestFit="1" customWidth="1"/>
    <col min="8720" max="8960" width="8.88671875" style="1338"/>
    <col min="8961" max="8961" width="11.77734375" style="1338" customWidth="1"/>
    <col min="8962" max="8964" width="9.88671875" style="1338" customWidth="1"/>
    <col min="8965" max="8965" width="10.77734375" style="1338" customWidth="1"/>
    <col min="8966" max="8966" width="11.21875" style="1338" bestFit="1" customWidth="1"/>
    <col min="8967" max="8974" width="8.88671875" style="1338"/>
    <col min="8975" max="8975" width="16.109375" style="1338" bestFit="1" customWidth="1"/>
    <col min="8976" max="9216" width="8.88671875" style="1338"/>
    <col min="9217" max="9217" width="11.77734375" style="1338" customWidth="1"/>
    <col min="9218" max="9220" width="9.88671875" style="1338" customWidth="1"/>
    <col min="9221" max="9221" width="10.77734375" style="1338" customWidth="1"/>
    <col min="9222" max="9222" width="11.21875" style="1338" bestFit="1" customWidth="1"/>
    <col min="9223" max="9230" width="8.88671875" style="1338"/>
    <col min="9231" max="9231" width="16.109375" style="1338" bestFit="1" customWidth="1"/>
    <col min="9232" max="9472" width="8.88671875" style="1338"/>
    <col min="9473" max="9473" width="11.77734375" style="1338" customWidth="1"/>
    <col min="9474" max="9476" width="9.88671875" style="1338" customWidth="1"/>
    <col min="9477" max="9477" width="10.77734375" style="1338" customWidth="1"/>
    <col min="9478" max="9478" width="11.21875" style="1338" bestFit="1" customWidth="1"/>
    <col min="9479" max="9486" width="8.88671875" style="1338"/>
    <col min="9487" max="9487" width="16.109375" style="1338" bestFit="1" customWidth="1"/>
    <col min="9488" max="9728" width="8.88671875" style="1338"/>
    <col min="9729" max="9729" width="11.77734375" style="1338" customWidth="1"/>
    <col min="9730" max="9732" width="9.88671875" style="1338" customWidth="1"/>
    <col min="9733" max="9733" width="10.77734375" style="1338" customWidth="1"/>
    <col min="9734" max="9734" width="11.21875" style="1338" bestFit="1" customWidth="1"/>
    <col min="9735" max="9742" width="8.88671875" style="1338"/>
    <col min="9743" max="9743" width="16.109375" style="1338" bestFit="1" customWidth="1"/>
    <col min="9744" max="9984" width="8.88671875" style="1338"/>
    <col min="9985" max="9985" width="11.77734375" style="1338" customWidth="1"/>
    <col min="9986" max="9988" width="9.88671875" style="1338" customWidth="1"/>
    <col min="9989" max="9989" width="10.77734375" style="1338" customWidth="1"/>
    <col min="9990" max="9990" width="11.21875" style="1338" bestFit="1" customWidth="1"/>
    <col min="9991" max="9998" width="8.88671875" style="1338"/>
    <col min="9999" max="9999" width="16.109375" style="1338" bestFit="1" customWidth="1"/>
    <col min="10000" max="10240" width="8.88671875" style="1338"/>
    <col min="10241" max="10241" width="11.77734375" style="1338" customWidth="1"/>
    <col min="10242" max="10244" width="9.88671875" style="1338" customWidth="1"/>
    <col min="10245" max="10245" width="10.77734375" style="1338" customWidth="1"/>
    <col min="10246" max="10246" width="11.21875" style="1338" bestFit="1" customWidth="1"/>
    <col min="10247" max="10254" width="8.88671875" style="1338"/>
    <col min="10255" max="10255" width="16.109375" style="1338" bestFit="1" customWidth="1"/>
    <col min="10256" max="10496" width="8.88671875" style="1338"/>
    <col min="10497" max="10497" width="11.77734375" style="1338" customWidth="1"/>
    <col min="10498" max="10500" width="9.88671875" style="1338" customWidth="1"/>
    <col min="10501" max="10501" width="10.77734375" style="1338" customWidth="1"/>
    <col min="10502" max="10502" width="11.21875" style="1338" bestFit="1" customWidth="1"/>
    <col min="10503" max="10510" width="8.88671875" style="1338"/>
    <col min="10511" max="10511" width="16.109375" style="1338" bestFit="1" customWidth="1"/>
    <col min="10512" max="10752" width="8.88671875" style="1338"/>
    <col min="10753" max="10753" width="11.77734375" style="1338" customWidth="1"/>
    <col min="10754" max="10756" width="9.88671875" style="1338" customWidth="1"/>
    <col min="10757" max="10757" width="10.77734375" style="1338" customWidth="1"/>
    <col min="10758" max="10758" width="11.21875" style="1338" bestFit="1" customWidth="1"/>
    <col min="10759" max="10766" width="8.88671875" style="1338"/>
    <col min="10767" max="10767" width="16.109375" style="1338" bestFit="1" customWidth="1"/>
    <col min="10768" max="11008" width="8.88671875" style="1338"/>
    <col min="11009" max="11009" width="11.77734375" style="1338" customWidth="1"/>
    <col min="11010" max="11012" width="9.88671875" style="1338" customWidth="1"/>
    <col min="11013" max="11013" width="10.77734375" style="1338" customWidth="1"/>
    <col min="11014" max="11014" width="11.21875" style="1338" bestFit="1" customWidth="1"/>
    <col min="11015" max="11022" width="8.88671875" style="1338"/>
    <col min="11023" max="11023" width="16.109375" style="1338" bestFit="1" customWidth="1"/>
    <col min="11024" max="11264" width="8.88671875" style="1338"/>
    <col min="11265" max="11265" width="11.77734375" style="1338" customWidth="1"/>
    <col min="11266" max="11268" width="9.88671875" style="1338" customWidth="1"/>
    <col min="11269" max="11269" width="10.77734375" style="1338" customWidth="1"/>
    <col min="11270" max="11270" width="11.21875" style="1338" bestFit="1" customWidth="1"/>
    <col min="11271" max="11278" width="8.88671875" style="1338"/>
    <col min="11279" max="11279" width="16.109375" style="1338" bestFit="1" customWidth="1"/>
    <col min="11280" max="11520" width="8.88671875" style="1338"/>
    <col min="11521" max="11521" width="11.77734375" style="1338" customWidth="1"/>
    <col min="11522" max="11524" width="9.88671875" style="1338" customWidth="1"/>
    <col min="11525" max="11525" width="10.77734375" style="1338" customWidth="1"/>
    <col min="11526" max="11526" width="11.21875" style="1338" bestFit="1" customWidth="1"/>
    <col min="11527" max="11534" width="8.88671875" style="1338"/>
    <col min="11535" max="11535" width="16.109375" style="1338" bestFit="1" customWidth="1"/>
    <col min="11536" max="11776" width="8.88671875" style="1338"/>
    <col min="11777" max="11777" width="11.77734375" style="1338" customWidth="1"/>
    <col min="11778" max="11780" width="9.88671875" style="1338" customWidth="1"/>
    <col min="11781" max="11781" width="10.77734375" style="1338" customWidth="1"/>
    <col min="11782" max="11782" width="11.21875" style="1338" bestFit="1" customWidth="1"/>
    <col min="11783" max="11790" width="8.88671875" style="1338"/>
    <col min="11791" max="11791" width="16.109375" style="1338" bestFit="1" customWidth="1"/>
    <col min="11792" max="12032" width="8.88671875" style="1338"/>
    <col min="12033" max="12033" width="11.77734375" style="1338" customWidth="1"/>
    <col min="12034" max="12036" width="9.88671875" style="1338" customWidth="1"/>
    <col min="12037" max="12037" width="10.77734375" style="1338" customWidth="1"/>
    <col min="12038" max="12038" width="11.21875" style="1338" bestFit="1" customWidth="1"/>
    <col min="12039" max="12046" width="8.88671875" style="1338"/>
    <col min="12047" max="12047" width="16.109375" style="1338" bestFit="1" customWidth="1"/>
    <col min="12048" max="12288" width="8.88671875" style="1338"/>
    <col min="12289" max="12289" width="11.77734375" style="1338" customWidth="1"/>
    <col min="12290" max="12292" width="9.88671875" style="1338" customWidth="1"/>
    <col min="12293" max="12293" width="10.77734375" style="1338" customWidth="1"/>
    <col min="12294" max="12294" width="11.21875" style="1338" bestFit="1" customWidth="1"/>
    <col min="12295" max="12302" width="8.88671875" style="1338"/>
    <col min="12303" max="12303" width="16.109375" style="1338" bestFit="1" customWidth="1"/>
    <col min="12304" max="12544" width="8.88671875" style="1338"/>
    <col min="12545" max="12545" width="11.77734375" style="1338" customWidth="1"/>
    <col min="12546" max="12548" width="9.88671875" style="1338" customWidth="1"/>
    <col min="12549" max="12549" width="10.77734375" style="1338" customWidth="1"/>
    <col min="12550" max="12550" width="11.21875" style="1338" bestFit="1" customWidth="1"/>
    <col min="12551" max="12558" width="8.88671875" style="1338"/>
    <col min="12559" max="12559" width="16.109375" style="1338" bestFit="1" customWidth="1"/>
    <col min="12560" max="12800" width="8.88671875" style="1338"/>
    <col min="12801" max="12801" width="11.77734375" style="1338" customWidth="1"/>
    <col min="12802" max="12804" width="9.88671875" style="1338" customWidth="1"/>
    <col min="12805" max="12805" width="10.77734375" style="1338" customWidth="1"/>
    <col min="12806" max="12806" width="11.21875" style="1338" bestFit="1" customWidth="1"/>
    <col min="12807" max="12814" width="8.88671875" style="1338"/>
    <col min="12815" max="12815" width="16.109375" style="1338" bestFit="1" customWidth="1"/>
    <col min="12816" max="13056" width="8.88671875" style="1338"/>
    <col min="13057" max="13057" width="11.77734375" style="1338" customWidth="1"/>
    <col min="13058" max="13060" width="9.88671875" style="1338" customWidth="1"/>
    <col min="13061" max="13061" width="10.77734375" style="1338" customWidth="1"/>
    <col min="13062" max="13062" width="11.21875" style="1338" bestFit="1" customWidth="1"/>
    <col min="13063" max="13070" width="8.88671875" style="1338"/>
    <col min="13071" max="13071" width="16.109375" style="1338" bestFit="1" customWidth="1"/>
    <col min="13072" max="13312" width="8.88671875" style="1338"/>
    <col min="13313" max="13313" width="11.77734375" style="1338" customWidth="1"/>
    <col min="13314" max="13316" width="9.88671875" style="1338" customWidth="1"/>
    <col min="13317" max="13317" width="10.77734375" style="1338" customWidth="1"/>
    <col min="13318" max="13318" width="11.21875" style="1338" bestFit="1" customWidth="1"/>
    <col min="13319" max="13326" width="8.88671875" style="1338"/>
    <col min="13327" max="13327" width="16.109375" style="1338" bestFit="1" customWidth="1"/>
    <col min="13328" max="13568" width="8.88671875" style="1338"/>
    <col min="13569" max="13569" width="11.77734375" style="1338" customWidth="1"/>
    <col min="13570" max="13572" width="9.88671875" style="1338" customWidth="1"/>
    <col min="13573" max="13573" width="10.77734375" style="1338" customWidth="1"/>
    <col min="13574" max="13574" width="11.21875" style="1338" bestFit="1" customWidth="1"/>
    <col min="13575" max="13582" width="8.88671875" style="1338"/>
    <col min="13583" max="13583" width="16.109375" style="1338" bestFit="1" customWidth="1"/>
    <col min="13584" max="13824" width="8.88671875" style="1338"/>
    <col min="13825" max="13825" width="11.77734375" style="1338" customWidth="1"/>
    <col min="13826" max="13828" width="9.88671875" style="1338" customWidth="1"/>
    <col min="13829" max="13829" width="10.77734375" style="1338" customWidth="1"/>
    <col min="13830" max="13830" width="11.21875" style="1338" bestFit="1" customWidth="1"/>
    <col min="13831" max="13838" width="8.88671875" style="1338"/>
    <col min="13839" max="13839" width="16.109375" style="1338" bestFit="1" customWidth="1"/>
    <col min="13840" max="14080" width="8.88671875" style="1338"/>
    <col min="14081" max="14081" width="11.77734375" style="1338" customWidth="1"/>
    <col min="14082" max="14084" width="9.88671875" style="1338" customWidth="1"/>
    <col min="14085" max="14085" width="10.77734375" style="1338" customWidth="1"/>
    <col min="14086" max="14086" width="11.21875" style="1338" bestFit="1" customWidth="1"/>
    <col min="14087" max="14094" width="8.88671875" style="1338"/>
    <col min="14095" max="14095" width="16.109375" style="1338" bestFit="1" customWidth="1"/>
    <col min="14096" max="14336" width="8.88671875" style="1338"/>
    <col min="14337" max="14337" width="11.77734375" style="1338" customWidth="1"/>
    <col min="14338" max="14340" width="9.88671875" style="1338" customWidth="1"/>
    <col min="14341" max="14341" width="10.77734375" style="1338" customWidth="1"/>
    <col min="14342" max="14342" width="11.21875" style="1338" bestFit="1" customWidth="1"/>
    <col min="14343" max="14350" width="8.88671875" style="1338"/>
    <col min="14351" max="14351" width="16.109375" style="1338" bestFit="1" customWidth="1"/>
    <col min="14352" max="14592" width="8.88671875" style="1338"/>
    <col min="14593" max="14593" width="11.77734375" style="1338" customWidth="1"/>
    <col min="14594" max="14596" width="9.88671875" style="1338" customWidth="1"/>
    <col min="14597" max="14597" width="10.77734375" style="1338" customWidth="1"/>
    <col min="14598" max="14598" width="11.21875" style="1338" bestFit="1" customWidth="1"/>
    <col min="14599" max="14606" width="8.88671875" style="1338"/>
    <col min="14607" max="14607" width="16.109375" style="1338" bestFit="1" customWidth="1"/>
    <col min="14608" max="14848" width="8.88671875" style="1338"/>
    <col min="14849" max="14849" width="11.77734375" style="1338" customWidth="1"/>
    <col min="14850" max="14852" width="9.88671875" style="1338" customWidth="1"/>
    <col min="14853" max="14853" width="10.77734375" style="1338" customWidth="1"/>
    <col min="14854" max="14854" width="11.21875" style="1338" bestFit="1" customWidth="1"/>
    <col min="14855" max="14862" width="8.88671875" style="1338"/>
    <col min="14863" max="14863" width="16.109375" style="1338" bestFit="1" customWidth="1"/>
    <col min="14864" max="15104" width="8.88671875" style="1338"/>
    <col min="15105" max="15105" width="11.77734375" style="1338" customWidth="1"/>
    <col min="15106" max="15108" width="9.88671875" style="1338" customWidth="1"/>
    <col min="15109" max="15109" width="10.77734375" style="1338" customWidth="1"/>
    <col min="15110" max="15110" width="11.21875" style="1338" bestFit="1" customWidth="1"/>
    <col min="15111" max="15118" width="8.88671875" style="1338"/>
    <col min="15119" max="15119" width="16.109375" style="1338" bestFit="1" customWidth="1"/>
    <col min="15120" max="15360" width="8.88671875" style="1338"/>
    <col min="15361" max="15361" width="11.77734375" style="1338" customWidth="1"/>
    <col min="15362" max="15364" width="9.88671875" style="1338" customWidth="1"/>
    <col min="15365" max="15365" width="10.77734375" style="1338" customWidth="1"/>
    <col min="15366" max="15366" width="11.21875" style="1338" bestFit="1" customWidth="1"/>
    <col min="15367" max="15374" width="8.88671875" style="1338"/>
    <col min="15375" max="15375" width="16.109375" style="1338" bestFit="1" customWidth="1"/>
    <col min="15376" max="15616" width="8.88671875" style="1338"/>
    <col min="15617" max="15617" width="11.77734375" style="1338" customWidth="1"/>
    <col min="15618" max="15620" width="9.88671875" style="1338" customWidth="1"/>
    <col min="15621" max="15621" width="10.77734375" style="1338" customWidth="1"/>
    <col min="15622" max="15622" width="11.21875" style="1338" bestFit="1" customWidth="1"/>
    <col min="15623" max="15630" width="8.88671875" style="1338"/>
    <col min="15631" max="15631" width="16.109375" style="1338" bestFit="1" customWidth="1"/>
    <col min="15632" max="15872" width="8.88671875" style="1338"/>
    <col min="15873" max="15873" width="11.77734375" style="1338" customWidth="1"/>
    <col min="15874" max="15876" width="9.88671875" style="1338" customWidth="1"/>
    <col min="15877" max="15877" width="10.77734375" style="1338" customWidth="1"/>
    <col min="15878" max="15878" width="11.21875" style="1338" bestFit="1" customWidth="1"/>
    <col min="15879" max="15886" width="8.88671875" style="1338"/>
    <col min="15887" max="15887" width="16.109375" style="1338" bestFit="1" customWidth="1"/>
    <col min="15888" max="16128" width="8.88671875" style="1338"/>
    <col min="16129" max="16129" width="11.77734375" style="1338" customWidth="1"/>
    <col min="16130" max="16132" width="9.88671875" style="1338" customWidth="1"/>
    <col min="16133" max="16133" width="10.77734375" style="1338" customWidth="1"/>
    <col min="16134" max="16134" width="11.21875" style="1338" bestFit="1" customWidth="1"/>
    <col min="16135" max="16142" width="8.88671875" style="1338"/>
    <col min="16143" max="16143" width="16.109375" style="1338" bestFit="1" customWidth="1"/>
    <col min="16144" max="16384" width="8.88671875" style="1338"/>
  </cols>
  <sheetData>
    <row r="1" spans="1:15" ht="23.1" customHeight="1">
      <c r="A1" s="1334" t="s">
        <v>1217</v>
      </c>
      <c r="B1" s="1335"/>
      <c r="C1" s="1336"/>
      <c r="D1" s="1335"/>
      <c r="E1" s="1335"/>
      <c r="F1" s="1337"/>
      <c r="I1" s="1339" t="s">
        <v>1110</v>
      </c>
      <c r="J1" s="1339"/>
      <c r="K1" s="1340"/>
    </row>
    <row r="2" spans="1:15" ht="23.1" customHeight="1">
      <c r="A2" s="1341" t="s">
        <v>1111</v>
      </c>
      <c r="B2" s="1341" t="s">
        <v>1112</v>
      </c>
      <c r="C2" s="1341" t="s">
        <v>1113</v>
      </c>
      <c r="D2" s="1341" t="s">
        <v>1114</v>
      </c>
      <c r="E2" s="1341" t="s">
        <v>1115</v>
      </c>
      <c r="F2" s="1341" t="s">
        <v>1116</v>
      </c>
      <c r="I2" s="1339">
        <v>100</v>
      </c>
      <c r="J2" s="1339"/>
      <c r="K2" s="1340"/>
    </row>
    <row r="3" spans="1:15" ht="23.1" customHeight="1">
      <c r="A3" s="1343" t="str">
        <f>"소계의"&amp;ROUND(G3*100,0)&amp;"%"&amp;"적용"</f>
        <v>소계의100%적용</v>
      </c>
      <c r="B3" s="1344"/>
      <c r="C3" s="1345"/>
      <c r="D3" s="1344"/>
      <c r="E3" s="1344">
        <f>E5*0.6</f>
        <v>36300</v>
      </c>
      <c r="F3" s="1346">
        <f>E3*10</f>
        <v>363000</v>
      </c>
      <c r="G3" s="1338">
        <v>1</v>
      </c>
    </row>
    <row r="4" spans="1:15" ht="23.1" customHeight="1">
      <c r="A4" s="1347" t="str">
        <f>"도급율 적용("&amp;ROUND($I$2,1)&amp;"%)"</f>
        <v>도급율 적용(100%)</v>
      </c>
      <c r="B4" s="1341"/>
      <c r="C4" s="1342"/>
      <c r="D4" s="1341"/>
      <c r="E4" s="1341">
        <f>ROUND(E3*$I$2/100,0)</f>
        <v>36300</v>
      </c>
      <c r="F4" s="1348">
        <f>E4*10</f>
        <v>363000</v>
      </c>
    </row>
    <row r="5" spans="1:15" ht="23.1" customHeight="1">
      <c r="A5" s="1341" t="s">
        <v>1117</v>
      </c>
      <c r="B5" s="1341"/>
      <c r="C5" s="1342"/>
      <c r="D5" s="1341"/>
      <c r="E5" s="1341">
        <f>SUM(E6:E11)</f>
        <v>60500</v>
      </c>
      <c r="F5" s="1348">
        <f>E5*10</f>
        <v>605000</v>
      </c>
    </row>
    <row r="6" spans="1:15" ht="23.1" customHeight="1">
      <c r="A6" s="1341" t="s">
        <v>1118</v>
      </c>
      <c r="B6" s="1341">
        <f>$E$38</f>
        <v>45000</v>
      </c>
      <c r="C6" s="1342">
        <v>1</v>
      </c>
      <c r="D6" s="1349">
        <v>0.1</v>
      </c>
      <c r="E6" s="1341">
        <f t="shared" ref="E6:E11" si="0">B6*C6*D6</f>
        <v>4500</v>
      </c>
      <c r="F6" s="1348">
        <f t="shared" ref="F6:F11" si="1">E6*10</f>
        <v>45000</v>
      </c>
    </row>
    <row r="7" spans="1:15" ht="23.1" customHeight="1">
      <c r="A7" s="1341" t="s">
        <v>140</v>
      </c>
      <c r="B7" s="1341">
        <f>$E$39</f>
        <v>40000</v>
      </c>
      <c r="C7" s="1342">
        <v>2</v>
      </c>
      <c r="D7" s="1349">
        <v>0.1</v>
      </c>
      <c r="E7" s="1341">
        <f t="shared" si="0"/>
        <v>8000</v>
      </c>
      <c r="F7" s="1348">
        <f t="shared" si="1"/>
        <v>80000</v>
      </c>
    </row>
    <row r="8" spans="1:15" ht="23.1" customHeight="1">
      <c r="A8" s="1341" t="s">
        <v>145</v>
      </c>
      <c r="B8" s="1341">
        <f>$E$40</f>
        <v>40000</v>
      </c>
      <c r="C8" s="1342">
        <v>2</v>
      </c>
      <c r="D8" s="1349">
        <v>0.2</v>
      </c>
      <c r="E8" s="1341">
        <f t="shared" si="0"/>
        <v>16000</v>
      </c>
      <c r="F8" s="1348">
        <f t="shared" si="1"/>
        <v>160000</v>
      </c>
    </row>
    <row r="9" spans="1:15" ht="23.1" customHeight="1">
      <c r="A9" s="1341" t="s">
        <v>161</v>
      </c>
      <c r="B9" s="1341">
        <f>$E$41</f>
        <v>40000</v>
      </c>
      <c r="C9" s="1342">
        <v>2</v>
      </c>
      <c r="D9" s="1349">
        <v>0.2</v>
      </c>
      <c r="E9" s="1341">
        <f t="shared" si="0"/>
        <v>16000</v>
      </c>
      <c r="F9" s="1348">
        <f t="shared" si="1"/>
        <v>160000</v>
      </c>
    </row>
    <row r="10" spans="1:15" ht="23.1" customHeight="1">
      <c r="A10" s="1341" t="s">
        <v>159</v>
      </c>
      <c r="B10" s="1341">
        <f>$E$42</f>
        <v>40000</v>
      </c>
      <c r="C10" s="1342">
        <v>2</v>
      </c>
      <c r="D10" s="1349">
        <v>0.2</v>
      </c>
      <c r="E10" s="1341">
        <f t="shared" si="0"/>
        <v>16000</v>
      </c>
      <c r="F10" s="1348">
        <f t="shared" si="1"/>
        <v>160000</v>
      </c>
      <c r="O10" s="1350"/>
    </row>
    <row r="11" spans="1:15" ht="23.1" customHeight="1">
      <c r="A11" s="1341" t="s">
        <v>1158</v>
      </c>
      <c r="B11" s="1341">
        <f>$E$43</f>
        <v>40000</v>
      </c>
      <c r="C11" s="1342">
        <v>0</v>
      </c>
      <c r="D11" s="1349">
        <v>0.4</v>
      </c>
      <c r="E11" s="1341">
        <f t="shared" si="0"/>
        <v>0</v>
      </c>
      <c r="F11" s="1348">
        <f t="shared" si="1"/>
        <v>0</v>
      </c>
      <c r="O11" s="1350"/>
    </row>
    <row r="12" spans="1:15" ht="23.1" customHeight="1">
      <c r="A12" s="1335"/>
      <c r="B12" s="1335"/>
      <c r="C12" s="1336"/>
      <c r="D12" s="1335"/>
      <c r="E12" s="1335"/>
      <c r="F12" s="1337"/>
    </row>
    <row r="13" spans="1:15" ht="23.1" customHeight="1">
      <c r="A13" s="1334" t="s">
        <v>1218</v>
      </c>
      <c r="B13" s="1335"/>
      <c r="C13" s="1336"/>
      <c r="D13" s="1335"/>
      <c r="E13" s="1335"/>
      <c r="F13" s="1337"/>
    </row>
    <row r="14" spans="1:15" ht="23.1" customHeight="1">
      <c r="A14" s="1341" t="s">
        <v>1111</v>
      </c>
      <c r="B14" s="1341" t="s">
        <v>1112</v>
      </c>
      <c r="C14" s="1341" t="s">
        <v>1113</v>
      </c>
      <c r="D14" s="1341" t="s">
        <v>1114</v>
      </c>
      <c r="E14" s="1341" t="s">
        <v>1115</v>
      </c>
      <c r="F14" s="1341" t="s">
        <v>1116</v>
      </c>
    </row>
    <row r="15" spans="1:15" ht="23.1" customHeight="1">
      <c r="A15" s="1351" t="str">
        <f>"소계의"&amp;ROUND(G15*100,0)&amp;"%"&amp;"적용"</f>
        <v>소계의100%적용</v>
      </c>
      <c r="B15" s="1341"/>
      <c r="C15" s="1342"/>
      <c r="D15" s="1341"/>
      <c r="E15" s="1341">
        <f>E17*0.6</f>
        <v>50700</v>
      </c>
      <c r="F15" s="1348">
        <f>E15*10</f>
        <v>507000</v>
      </c>
      <c r="G15" s="1338">
        <v>1</v>
      </c>
    </row>
    <row r="16" spans="1:15" ht="23.1" customHeight="1">
      <c r="A16" s="1347" t="str">
        <f>"도급율 적용("&amp;ROUND($I$2,1)&amp;"%)"</f>
        <v>도급율 적용(100%)</v>
      </c>
      <c r="B16" s="1341"/>
      <c r="C16" s="1342"/>
      <c r="D16" s="1341"/>
      <c r="E16" s="1341">
        <f>ROUND(E15*$I$2/100,0)</f>
        <v>50700</v>
      </c>
      <c r="F16" s="1348">
        <f>E16*10</f>
        <v>507000</v>
      </c>
    </row>
    <row r="17" spans="1:7" ht="23.1" customHeight="1">
      <c r="A17" s="1341" t="s">
        <v>1117</v>
      </c>
      <c r="B17" s="1341"/>
      <c r="C17" s="1342"/>
      <c r="D17" s="1341"/>
      <c r="E17" s="1341">
        <f>SUM(E18:E23)</f>
        <v>84500</v>
      </c>
      <c r="F17" s="1348">
        <f>E17*10</f>
        <v>845000</v>
      </c>
    </row>
    <row r="18" spans="1:7" ht="23.1" customHeight="1">
      <c r="A18" s="1341" t="s">
        <v>1118</v>
      </c>
      <c r="B18" s="1341">
        <f>$E$38</f>
        <v>45000</v>
      </c>
      <c r="C18" s="1342">
        <v>1</v>
      </c>
      <c r="D18" s="1349">
        <v>0.1</v>
      </c>
      <c r="E18" s="1341">
        <f t="shared" ref="E18:E23" si="2">B18*C18*D18</f>
        <v>4500</v>
      </c>
      <c r="F18" s="1348">
        <f t="shared" ref="F18:F23" si="3">E18*10</f>
        <v>45000</v>
      </c>
    </row>
    <row r="19" spans="1:7" ht="23.1" customHeight="1">
      <c r="A19" s="1341" t="s">
        <v>140</v>
      </c>
      <c r="B19" s="1341">
        <f>$E$39</f>
        <v>40000</v>
      </c>
      <c r="C19" s="1342">
        <v>2</v>
      </c>
      <c r="D19" s="1349">
        <v>0.2</v>
      </c>
      <c r="E19" s="1341">
        <f t="shared" si="2"/>
        <v>16000</v>
      </c>
      <c r="F19" s="1348">
        <f t="shared" si="3"/>
        <v>160000</v>
      </c>
    </row>
    <row r="20" spans="1:7" ht="23.1" customHeight="1">
      <c r="A20" s="1341" t="s">
        <v>145</v>
      </c>
      <c r="B20" s="1341">
        <f>$E$40</f>
        <v>40000</v>
      </c>
      <c r="C20" s="1342">
        <v>2</v>
      </c>
      <c r="D20" s="1349">
        <v>0.2</v>
      </c>
      <c r="E20" s="1341">
        <f t="shared" si="2"/>
        <v>16000</v>
      </c>
      <c r="F20" s="1348">
        <f t="shared" si="3"/>
        <v>160000</v>
      </c>
    </row>
    <row r="21" spans="1:7" ht="23.1" customHeight="1">
      <c r="A21" s="1341" t="s">
        <v>161</v>
      </c>
      <c r="B21" s="1341">
        <f>$E$41</f>
        <v>40000</v>
      </c>
      <c r="C21" s="1342">
        <v>2</v>
      </c>
      <c r="D21" s="1349">
        <v>0.3</v>
      </c>
      <c r="E21" s="1341">
        <f t="shared" si="2"/>
        <v>24000</v>
      </c>
      <c r="F21" s="1348">
        <f t="shared" si="3"/>
        <v>240000</v>
      </c>
    </row>
    <row r="22" spans="1:7" ht="23.1" customHeight="1">
      <c r="A22" s="1341" t="s">
        <v>159</v>
      </c>
      <c r="B22" s="1341">
        <f>$E$42</f>
        <v>40000</v>
      </c>
      <c r="C22" s="1342">
        <v>2</v>
      </c>
      <c r="D22" s="1349">
        <v>0.3</v>
      </c>
      <c r="E22" s="1341">
        <f t="shared" si="2"/>
        <v>24000</v>
      </c>
      <c r="F22" s="1348">
        <f t="shared" si="3"/>
        <v>240000</v>
      </c>
    </row>
    <row r="23" spans="1:7" ht="23.1" customHeight="1">
      <c r="A23" s="1341" t="s">
        <v>1158</v>
      </c>
      <c r="B23" s="1341">
        <f>$E$43</f>
        <v>40000</v>
      </c>
      <c r="C23" s="1342">
        <v>0</v>
      </c>
      <c r="D23" s="1349">
        <v>0.3</v>
      </c>
      <c r="E23" s="1341">
        <f t="shared" si="2"/>
        <v>0</v>
      </c>
      <c r="F23" s="1348">
        <f t="shared" si="3"/>
        <v>0</v>
      </c>
    </row>
    <row r="24" spans="1:7" ht="23.1" customHeight="1">
      <c r="A24" s="1335"/>
      <c r="B24" s="1335"/>
      <c r="C24" s="1336"/>
      <c r="D24" s="1335"/>
      <c r="E24" s="1335"/>
      <c r="F24" s="1337"/>
    </row>
    <row r="25" spans="1:7" ht="23.1" customHeight="1">
      <c r="A25" s="1334" t="s">
        <v>1219</v>
      </c>
      <c r="B25" s="1335"/>
      <c r="C25" s="1336"/>
      <c r="D25" s="1335"/>
      <c r="E25" s="1335"/>
      <c r="F25" s="1337"/>
    </row>
    <row r="26" spans="1:7" ht="23.1" customHeight="1">
      <c r="A26" s="1341" t="s">
        <v>1111</v>
      </c>
      <c r="B26" s="1341" t="s">
        <v>1112</v>
      </c>
      <c r="C26" s="1342" t="s">
        <v>1113</v>
      </c>
      <c r="D26" s="1341" t="s">
        <v>1114</v>
      </c>
      <c r="E26" s="1341" t="s">
        <v>1115</v>
      </c>
      <c r="F26" s="1341" t="s">
        <v>1116</v>
      </c>
    </row>
    <row r="27" spans="1:7" ht="23.1" customHeight="1">
      <c r="A27" s="1351" t="str">
        <f>"소계의"&amp;ROUND(G27*100,0)&amp;"%"&amp;"적용"</f>
        <v>소계의100%적용</v>
      </c>
      <c r="B27" s="1341"/>
      <c r="C27" s="1342"/>
      <c r="D27" s="1341"/>
      <c r="E27" s="1341">
        <f>E29*0.6</f>
        <v>17400</v>
      </c>
      <c r="F27" s="1348">
        <f>E27*10</f>
        <v>174000</v>
      </c>
      <c r="G27" s="1338">
        <v>1</v>
      </c>
    </row>
    <row r="28" spans="1:7" ht="23.1" customHeight="1">
      <c r="A28" s="1347" t="str">
        <f>"도급율 적용("&amp;ROUND($I$2,1)&amp;"%)"</f>
        <v>도급율 적용(100%)</v>
      </c>
      <c r="B28" s="1341"/>
      <c r="C28" s="1342"/>
      <c r="D28" s="1341"/>
      <c r="E28" s="1341">
        <f>ROUND(E27*$I$2/100,0)</f>
        <v>17400</v>
      </c>
      <c r="F28" s="1348">
        <f>E28*10</f>
        <v>174000</v>
      </c>
    </row>
    <row r="29" spans="1:7" ht="23.1" customHeight="1">
      <c r="A29" s="1341" t="s">
        <v>1117</v>
      </c>
      <c r="B29" s="1341"/>
      <c r="C29" s="1342"/>
      <c r="D29" s="1341"/>
      <c r="E29" s="1341">
        <f>SUM(E30:E35)</f>
        <v>29000</v>
      </c>
      <c r="F29" s="1348">
        <f>E29*10</f>
        <v>290000</v>
      </c>
    </row>
    <row r="30" spans="1:7" ht="23.1" customHeight="1">
      <c r="A30" s="1341" t="s">
        <v>1118</v>
      </c>
      <c r="B30" s="1341">
        <f>$E$38</f>
        <v>45000</v>
      </c>
      <c r="C30" s="1342">
        <v>2</v>
      </c>
      <c r="D30" s="1349">
        <v>0.1</v>
      </c>
      <c r="E30" s="1341">
        <f t="shared" ref="E30:E35" si="4">B30*C30*D30</f>
        <v>9000</v>
      </c>
      <c r="F30" s="1348">
        <f t="shared" ref="F30:F35" si="5">E30*10</f>
        <v>90000</v>
      </c>
    </row>
    <row r="31" spans="1:7" ht="23.1" customHeight="1">
      <c r="A31" s="1341" t="s">
        <v>140</v>
      </c>
      <c r="B31" s="1341">
        <f>$E$39</f>
        <v>40000</v>
      </c>
      <c r="C31" s="1342">
        <v>2</v>
      </c>
      <c r="D31" s="1349">
        <v>0.1</v>
      </c>
      <c r="E31" s="1341">
        <f t="shared" si="4"/>
        <v>8000</v>
      </c>
      <c r="F31" s="1348">
        <f t="shared" si="5"/>
        <v>80000</v>
      </c>
    </row>
    <row r="32" spans="1:7" ht="23.1" customHeight="1">
      <c r="A32" s="1341" t="s">
        <v>145</v>
      </c>
      <c r="B32" s="1341">
        <f>$E$40</f>
        <v>40000</v>
      </c>
      <c r="C32" s="1342">
        <v>2</v>
      </c>
      <c r="D32" s="1349">
        <v>0.1</v>
      </c>
      <c r="E32" s="1341">
        <f t="shared" si="4"/>
        <v>8000</v>
      </c>
      <c r="F32" s="1348">
        <f t="shared" si="5"/>
        <v>80000</v>
      </c>
    </row>
    <row r="33" spans="1:6" ht="23.1" customHeight="1">
      <c r="A33" s="1341" t="s">
        <v>161</v>
      </c>
      <c r="B33" s="1341">
        <f>$E$41</f>
        <v>40000</v>
      </c>
      <c r="C33" s="1342">
        <v>1</v>
      </c>
      <c r="D33" s="1349">
        <v>0.1</v>
      </c>
      <c r="E33" s="1341">
        <f t="shared" si="4"/>
        <v>4000</v>
      </c>
      <c r="F33" s="1348">
        <f t="shared" si="5"/>
        <v>40000</v>
      </c>
    </row>
    <row r="34" spans="1:6" ht="23.1" customHeight="1">
      <c r="A34" s="1341" t="s">
        <v>159</v>
      </c>
      <c r="B34" s="1341">
        <f>$E$42</f>
        <v>40000</v>
      </c>
      <c r="C34" s="1342">
        <v>0</v>
      </c>
      <c r="D34" s="1349">
        <v>0</v>
      </c>
      <c r="E34" s="1341">
        <f t="shared" si="4"/>
        <v>0</v>
      </c>
      <c r="F34" s="1348">
        <f t="shared" si="5"/>
        <v>0</v>
      </c>
    </row>
    <row r="35" spans="1:6" ht="23.1" customHeight="1">
      <c r="A35" s="1341" t="s">
        <v>1158</v>
      </c>
      <c r="B35" s="1341">
        <f>$E$43</f>
        <v>40000</v>
      </c>
      <c r="C35" s="1342">
        <v>0</v>
      </c>
      <c r="D35" s="1349">
        <v>0</v>
      </c>
      <c r="E35" s="1341">
        <f t="shared" si="4"/>
        <v>0</v>
      </c>
      <c r="F35" s="1348">
        <f t="shared" si="5"/>
        <v>0</v>
      </c>
    </row>
    <row r="36" spans="1:6" ht="23.1" customHeight="1">
      <c r="A36" s="1334" t="s">
        <v>1220</v>
      </c>
      <c r="B36" s="1352"/>
      <c r="C36" s="1353"/>
      <c r="D36" s="1353">
        <v>1</v>
      </c>
      <c r="E36" s="1352" t="s">
        <v>1119</v>
      </c>
      <c r="F36" s="1337"/>
    </row>
    <row r="37" spans="1:6" ht="23.1" customHeight="1">
      <c r="A37" s="1341" t="s">
        <v>1111</v>
      </c>
      <c r="B37" s="1341" t="s">
        <v>1120</v>
      </c>
      <c r="C37" s="1342" t="s">
        <v>1121</v>
      </c>
      <c r="D37" s="1341" t="s">
        <v>1122</v>
      </c>
      <c r="E37" s="1354" t="s">
        <v>1123</v>
      </c>
      <c r="F37" s="1355" t="s">
        <v>426</v>
      </c>
    </row>
    <row r="38" spans="1:6" ht="23.1" customHeight="1">
      <c r="A38" s="1341" t="s">
        <v>1118</v>
      </c>
      <c r="B38" s="1356">
        <v>25000</v>
      </c>
      <c r="C38" s="1357">
        <v>0</v>
      </c>
      <c r="D38" s="1356">
        <v>20000</v>
      </c>
      <c r="E38" s="1341">
        <f>($D38+$C38+$B38)*$D$36</f>
        <v>45000</v>
      </c>
      <c r="F38" s="1355"/>
    </row>
    <row r="39" spans="1:6" ht="23.1" customHeight="1">
      <c r="A39" s="1341" t="s">
        <v>140</v>
      </c>
      <c r="B39" s="1356">
        <v>20000</v>
      </c>
      <c r="C39" s="1357">
        <v>0</v>
      </c>
      <c r="D39" s="1356">
        <v>20000</v>
      </c>
      <c r="E39" s="1341">
        <f t="shared" ref="E39:E43" si="6">($D39+$C39+$B39)*$D$36</f>
        <v>40000</v>
      </c>
      <c r="F39" s="1355"/>
    </row>
    <row r="40" spans="1:6" ht="23.1" customHeight="1">
      <c r="A40" s="1341" t="s">
        <v>145</v>
      </c>
      <c r="B40" s="1356">
        <v>20000</v>
      </c>
      <c r="C40" s="1357">
        <v>0</v>
      </c>
      <c r="D40" s="1356">
        <v>20000</v>
      </c>
      <c r="E40" s="1341">
        <f t="shared" si="6"/>
        <v>40000</v>
      </c>
      <c r="F40" s="1355"/>
    </row>
    <row r="41" spans="1:6" ht="23.1" customHeight="1">
      <c r="A41" s="1341" t="s">
        <v>161</v>
      </c>
      <c r="B41" s="1356">
        <v>20000</v>
      </c>
      <c r="C41" s="1357">
        <v>0</v>
      </c>
      <c r="D41" s="1356">
        <v>20000</v>
      </c>
      <c r="E41" s="1341">
        <f t="shared" si="6"/>
        <v>40000</v>
      </c>
      <c r="F41" s="1355"/>
    </row>
    <row r="42" spans="1:6" ht="23.1" customHeight="1">
      <c r="A42" s="1341" t="s">
        <v>159</v>
      </c>
      <c r="B42" s="1356">
        <v>20000</v>
      </c>
      <c r="C42" s="1357">
        <v>0</v>
      </c>
      <c r="D42" s="1356">
        <v>20000</v>
      </c>
      <c r="E42" s="1341">
        <f t="shared" si="6"/>
        <v>40000</v>
      </c>
      <c r="F42" s="1355"/>
    </row>
    <row r="43" spans="1:6" ht="23.1" customHeight="1">
      <c r="A43" s="1341" t="s">
        <v>1158</v>
      </c>
      <c r="B43" s="1356">
        <v>20000</v>
      </c>
      <c r="C43" s="1357">
        <v>0</v>
      </c>
      <c r="D43" s="1356">
        <v>20000</v>
      </c>
      <c r="E43" s="1341">
        <f t="shared" si="6"/>
        <v>40000</v>
      </c>
      <c r="F43" s="1355"/>
    </row>
    <row r="44" spans="1:6">
      <c r="B44" s="1359"/>
      <c r="C44" s="1360"/>
      <c r="D44" s="1359"/>
    </row>
    <row r="45" spans="1:6" ht="23.1" customHeight="1">
      <c r="A45" s="1334" t="s">
        <v>1221</v>
      </c>
      <c r="B45" s="1362"/>
      <c r="C45" s="1363"/>
      <c r="D45" s="1362"/>
      <c r="E45" s="1335"/>
      <c r="F45" s="1337"/>
    </row>
    <row r="46" spans="1:6" ht="23.1" customHeight="1">
      <c r="A46" s="1341" t="s">
        <v>1111</v>
      </c>
      <c r="B46" s="1356" t="s">
        <v>1124</v>
      </c>
      <c r="C46" s="1356" t="s">
        <v>1125</v>
      </c>
      <c r="D46" s="1356" t="s">
        <v>1126</v>
      </c>
      <c r="E46" s="1354" t="s">
        <v>1127</v>
      </c>
      <c r="F46" s="1355" t="s">
        <v>426</v>
      </c>
    </row>
    <row r="47" spans="1:6" ht="23.1" customHeight="1">
      <c r="A47" s="1364" t="s">
        <v>1128</v>
      </c>
      <c r="B47" s="1365">
        <v>5</v>
      </c>
      <c r="C47" s="1366">
        <v>100000</v>
      </c>
      <c r="D47" s="1365">
        <v>2</v>
      </c>
      <c r="E47" s="1367">
        <f>B47*C47*D47</f>
        <v>1000000</v>
      </c>
      <c r="F47" s="1368" t="s">
        <v>1129</v>
      </c>
    </row>
    <row r="48" spans="1:6" ht="23.1" customHeight="1">
      <c r="A48" s="1364"/>
      <c r="B48" s="1367"/>
      <c r="C48" s="1369"/>
      <c r="D48" s="1367"/>
      <c r="E48" s="1367"/>
      <c r="F48" s="1368"/>
    </row>
    <row r="49" spans="1:6" ht="23.1" customHeight="1">
      <c r="A49" s="1364" t="s">
        <v>1117</v>
      </c>
      <c r="B49" s="1364"/>
      <c r="C49" s="1370"/>
      <c r="D49" s="1364"/>
      <c r="E49" s="1364">
        <f>SUM(E47:E48)</f>
        <v>1000000</v>
      </c>
      <c r="F49" s="1371"/>
    </row>
    <row r="50" spans="1:6" ht="23.1" customHeight="1">
      <c r="A50" s="1347" t="str">
        <f>"도급율 적용("&amp;ROUND($I$2,1)&amp;"%)"</f>
        <v>도급율 적용(100%)</v>
      </c>
      <c r="B50" s="1341"/>
      <c r="C50" s="1342"/>
      <c r="D50" s="1341"/>
      <c r="E50" s="1341">
        <f>ROUND(E49*$I$2/100,-4)</f>
        <v>1000000</v>
      </c>
      <c r="F50" s="1348"/>
    </row>
    <row r="71" spans="1:15" s="1358" customFormat="1" ht="33.75">
      <c r="A71" s="1372"/>
      <c r="C71" s="1373"/>
      <c r="F71" s="1361"/>
      <c r="G71" s="1338"/>
      <c r="H71" s="1338"/>
      <c r="I71" s="1338"/>
      <c r="J71" s="1338"/>
      <c r="K71" s="1338"/>
      <c r="L71" s="1338"/>
      <c r="M71" s="1338"/>
      <c r="N71" s="1338"/>
      <c r="O71" s="1338"/>
    </row>
    <row r="103" spans="1:15" s="1358" customFormat="1" ht="33.75">
      <c r="A103" s="1372"/>
      <c r="C103" s="1373"/>
      <c r="F103" s="1361"/>
      <c r="G103" s="1338"/>
      <c r="H103" s="1338"/>
      <c r="I103" s="1338"/>
      <c r="J103" s="1338"/>
      <c r="K103" s="1338"/>
      <c r="L103" s="1338"/>
      <c r="M103" s="1338"/>
      <c r="N103" s="1338"/>
      <c r="O103" s="1338"/>
    </row>
  </sheetData>
  <phoneticPr fontId="181" type="noConversion"/>
  <printOptions horizontalCentered="1" gridLinesSet="0"/>
  <pageMargins left="1.0236220472440944" right="0.98425196850393704" top="1.0629921259842521" bottom="1.0629921259842521" header="0.59055118110236227" footer="0.59055118110236227"/>
  <pageSetup paperSize="9" scale="93" firstPageNumber="101" orientation="portrait" useFirstPageNumber="1" r:id="rId1"/>
  <headerFooter alignWithMargins="0"/>
  <rowBreaks count="1" manualBreakCount="1">
    <brk id="24" max="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2">
    <tabColor theme="3" tint="0.59999389629810485"/>
  </sheetPr>
  <dimension ref="A1:R123"/>
  <sheetViews>
    <sheetView view="pageBreakPreview" zoomScale="85" zoomScaleNormal="85" zoomScaleSheetLayoutView="85" workbookViewId="0">
      <selection activeCell="AA49" sqref="AA49"/>
    </sheetView>
  </sheetViews>
  <sheetFormatPr defaultColWidth="8" defaultRowHeight="13.5"/>
  <cols>
    <col min="1" max="1" width="2.5546875" style="1024" customWidth="1"/>
    <col min="2" max="2" width="2.44140625" style="1024" customWidth="1"/>
    <col min="3" max="5" width="8" style="1024"/>
    <col min="6" max="6" width="4.77734375" style="1024" customWidth="1"/>
    <col min="7" max="7" width="5.77734375" style="1024" customWidth="1"/>
    <col min="8" max="12" width="6.33203125" style="1024" customWidth="1"/>
    <col min="13" max="13" width="5.77734375" style="1024" customWidth="1"/>
    <col min="14" max="16" width="3.77734375" style="1024" customWidth="1"/>
    <col min="17" max="17" width="5.77734375" style="1024" customWidth="1"/>
    <col min="18" max="16384" width="8" style="1024"/>
  </cols>
  <sheetData>
    <row r="1" spans="1:18" ht="17.100000000000001" customHeight="1">
      <c r="A1" s="1023" t="s">
        <v>857</v>
      </c>
    </row>
    <row r="2" spans="1:18" ht="17.100000000000001" customHeight="1"/>
    <row r="3" spans="1:18" ht="17.100000000000001" customHeight="1">
      <c r="A3" s="1024" t="s">
        <v>1106</v>
      </c>
    </row>
    <row r="4" spans="1:18" ht="17.100000000000001" customHeight="1">
      <c r="A4" s="1864" t="s">
        <v>858</v>
      </c>
      <c r="B4" s="1864"/>
      <c r="C4" s="1864"/>
      <c r="D4" s="1864"/>
      <c r="E4" s="1864"/>
      <c r="F4" s="1864"/>
      <c r="G4" s="1864" t="s">
        <v>237</v>
      </c>
      <c r="H4" s="1864" t="s">
        <v>859</v>
      </c>
      <c r="I4" s="1864"/>
      <c r="J4" s="1864"/>
      <c r="K4" s="1864"/>
      <c r="L4" s="1864"/>
      <c r="M4" s="1865" t="s">
        <v>860</v>
      </c>
      <c r="N4" s="1864" t="s">
        <v>451</v>
      </c>
      <c r="O4" s="1864"/>
      <c r="P4" s="1864"/>
      <c r="Q4" s="1866" t="s">
        <v>861</v>
      </c>
    </row>
    <row r="5" spans="1:18" ht="17.100000000000001" customHeight="1">
      <c r="A5" s="1864"/>
      <c r="B5" s="1864"/>
      <c r="C5" s="1864"/>
      <c r="D5" s="1864"/>
      <c r="E5" s="1864"/>
      <c r="F5" s="1864"/>
      <c r="G5" s="1864"/>
      <c r="H5" s="1864" t="s">
        <v>534</v>
      </c>
      <c r="I5" s="1025" t="s">
        <v>862</v>
      </c>
      <c r="J5" s="1026" t="s">
        <v>863</v>
      </c>
      <c r="K5" s="1027" t="s">
        <v>864</v>
      </c>
      <c r="L5" s="1026" t="s">
        <v>865</v>
      </c>
      <c r="M5" s="1864"/>
      <c r="N5" s="1864" t="s">
        <v>866</v>
      </c>
      <c r="O5" s="1864" t="s">
        <v>867</v>
      </c>
      <c r="P5" s="1864" t="s">
        <v>868</v>
      </c>
      <c r="Q5" s="1867"/>
    </row>
    <row r="6" spans="1:18" ht="17.100000000000001" customHeight="1">
      <c r="A6" s="1864"/>
      <c r="B6" s="1864"/>
      <c r="C6" s="1864"/>
      <c r="D6" s="1864"/>
      <c r="E6" s="1864"/>
      <c r="F6" s="1864"/>
      <c r="G6" s="1864"/>
      <c r="H6" s="1864"/>
      <c r="I6" s="1028" t="s">
        <v>869</v>
      </c>
      <c r="J6" s="1030" t="s">
        <v>869</v>
      </c>
      <c r="K6" s="1029" t="s">
        <v>869</v>
      </c>
      <c r="L6" s="1030" t="s">
        <v>869</v>
      </c>
      <c r="M6" s="1864"/>
      <c r="N6" s="1864"/>
      <c r="O6" s="1864"/>
      <c r="P6" s="1864"/>
      <c r="Q6" s="1868"/>
    </row>
    <row r="7" spans="1:18" ht="26.45" customHeight="1">
      <c r="A7" s="1870" t="s">
        <v>501</v>
      </c>
      <c r="B7" s="1870"/>
      <c r="C7" s="1870"/>
      <c r="D7" s="1870"/>
      <c r="E7" s="1870"/>
      <c r="F7" s="1870"/>
      <c r="G7" s="1031"/>
      <c r="H7" s="1032"/>
      <c r="I7" s="1032"/>
      <c r="J7" s="1032"/>
      <c r="K7" s="1032"/>
      <c r="L7" s="1032"/>
      <c r="M7" s="1031"/>
      <c r="N7" s="1031"/>
      <c r="O7" s="1031"/>
      <c r="P7" s="1031"/>
      <c r="Q7" s="1033"/>
    </row>
    <row r="8" spans="1:18" ht="26.45" customHeight="1">
      <c r="A8" s="1869" t="s">
        <v>870</v>
      </c>
      <c r="B8" s="1869"/>
      <c r="C8" s="1869"/>
      <c r="D8" s="1869"/>
      <c r="E8" s="1869"/>
      <c r="F8" s="1869"/>
      <c r="G8" s="1034"/>
      <c r="H8" s="1035"/>
      <c r="I8" s="1035"/>
      <c r="J8" s="1035"/>
      <c r="K8" s="1035"/>
      <c r="L8" s="1035"/>
      <c r="M8" s="1034"/>
      <c r="N8" s="1034"/>
      <c r="O8" s="1034"/>
      <c r="P8" s="1034"/>
      <c r="Q8" s="1036"/>
      <c r="R8" s="1024" t="s">
        <v>535</v>
      </c>
    </row>
    <row r="9" spans="1:18" ht="26.45" customHeight="1">
      <c r="A9" s="1037"/>
      <c r="B9" s="1869" t="s">
        <v>871</v>
      </c>
      <c r="C9" s="1869"/>
      <c r="D9" s="1869"/>
      <c r="E9" s="1869"/>
      <c r="F9" s="1869"/>
      <c r="G9" s="1034" t="s">
        <v>872</v>
      </c>
      <c r="H9" s="1035">
        <v>0.1</v>
      </c>
      <c r="I9" s="1035">
        <v>0.1</v>
      </c>
      <c r="J9" s="1035">
        <v>0.1</v>
      </c>
      <c r="K9" s="1035">
        <v>0.1</v>
      </c>
      <c r="L9" s="1035">
        <v>0</v>
      </c>
      <c r="M9" s="1034">
        <f>'산근2-0(하천기본계획-수량)'!$J$6</f>
        <v>2.7</v>
      </c>
      <c r="N9" s="1034"/>
      <c r="O9" s="1034">
        <f>'산근2-0(하천기본계획-수량)'!$P$6</f>
        <v>1</v>
      </c>
      <c r="P9" s="1034"/>
      <c r="Q9" s="1034">
        <f>ROUND(PRODUCT(M9:P9,R9),2)</f>
        <v>2.7</v>
      </c>
      <c r="R9" s="1024">
        <f>'하천기본계획(요율)'!H3</f>
        <v>1</v>
      </c>
    </row>
    <row r="10" spans="1:18" ht="26.45" customHeight="1">
      <c r="A10" s="1869" t="s">
        <v>873</v>
      </c>
      <c r="B10" s="1869"/>
      <c r="C10" s="1869"/>
      <c r="D10" s="1869"/>
      <c r="E10" s="1869"/>
      <c r="F10" s="1869"/>
      <c r="G10" s="1034"/>
      <c r="H10" s="1035"/>
      <c r="I10" s="1035"/>
      <c r="J10" s="1035"/>
      <c r="K10" s="1035"/>
      <c r="L10" s="1035"/>
      <c r="M10" s="1034"/>
      <c r="N10" s="1034"/>
      <c r="O10" s="1034"/>
      <c r="P10" s="1034"/>
      <c r="Q10" s="1034"/>
    </row>
    <row r="11" spans="1:18" ht="26.45" customHeight="1">
      <c r="A11" s="1037"/>
      <c r="B11" s="1869" t="s">
        <v>874</v>
      </c>
      <c r="C11" s="1869"/>
      <c r="D11" s="1869"/>
      <c r="E11" s="1869"/>
      <c r="F11" s="1869"/>
      <c r="G11" s="1034" t="s">
        <v>875</v>
      </c>
      <c r="H11" s="1035">
        <v>0.3</v>
      </c>
      <c r="I11" s="1035">
        <v>0.5</v>
      </c>
      <c r="J11" s="1035">
        <v>0.5</v>
      </c>
      <c r="K11" s="1035">
        <v>0.6</v>
      </c>
      <c r="L11" s="1035">
        <v>0.7</v>
      </c>
      <c r="M11" s="1034">
        <f>'산근2-0(하천기본계획-수량)'!$L$6</f>
        <v>1.68</v>
      </c>
      <c r="N11" s="1034">
        <f>'산근2-0(하천기본계획-수량)'!$O$6</f>
        <v>0.8</v>
      </c>
      <c r="O11" s="1034"/>
      <c r="P11" s="1034"/>
      <c r="Q11" s="1034">
        <f>ROUND(PRODUCT(M11:P11,R11),2)</f>
        <v>1.34</v>
      </c>
      <c r="R11" s="1024">
        <f>'하천기본계획(요율)'!H4</f>
        <v>1</v>
      </c>
    </row>
    <row r="12" spans="1:18" ht="26.45" customHeight="1">
      <c r="A12" s="1037"/>
      <c r="B12" s="1869" t="s">
        <v>876</v>
      </c>
      <c r="C12" s="1869"/>
      <c r="D12" s="1869"/>
      <c r="E12" s="1869"/>
      <c r="F12" s="1869"/>
      <c r="G12" s="1034"/>
      <c r="H12" s="1035"/>
      <c r="I12" s="1035"/>
      <c r="J12" s="1035"/>
      <c r="K12" s="1035"/>
      <c r="L12" s="1035"/>
      <c r="M12" s="1034"/>
      <c r="N12" s="1034"/>
      <c r="O12" s="1034"/>
      <c r="P12" s="1034"/>
      <c r="Q12" s="1034"/>
    </row>
    <row r="13" spans="1:18" ht="26.45" customHeight="1">
      <c r="A13" s="1037"/>
      <c r="B13" s="1037"/>
      <c r="C13" s="1869" t="s">
        <v>877</v>
      </c>
      <c r="D13" s="1869"/>
      <c r="E13" s="1869"/>
      <c r="F13" s="1869"/>
      <c r="G13" s="1034" t="s">
        <v>872</v>
      </c>
      <c r="H13" s="1035">
        <v>0.1</v>
      </c>
      <c r="I13" s="1035">
        <v>0.2</v>
      </c>
      <c r="J13" s="1035">
        <v>0.2</v>
      </c>
      <c r="K13" s="1035">
        <v>0.1</v>
      </c>
      <c r="L13" s="1035">
        <v>0.1</v>
      </c>
      <c r="M13" s="1034">
        <f>'산근2-0(하천기본계획-수량)'!$J$6</f>
        <v>2.7</v>
      </c>
      <c r="N13" s="1034"/>
      <c r="O13" s="1034">
        <f>'산근2-0(하천기본계획-수량)'!$P$6</f>
        <v>1</v>
      </c>
      <c r="P13" s="1034"/>
      <c r="Q13" s="1034">
        <f t="shared" ref="Q13:Q18" si="0">ROUND(PRODUCT(M13:P13,R13),2)</f>
        <v>2.7</v>
      </c>
      <c r="R13" s="1024">
        <f>'하천기본계획(요율)'!H6</f>
        <v>1</v>
      </c>
    </row>
    <row r="14" spans="1:18" ht="26.45" customHeight="1">
      <c r="A14" s="1037"/>
      <c r="B14" s="1037"/>
      <c r="C14" s="1869" t="s">
        <v>878</v>
      </c>
      <c r="D14" s="1869"/>
      <c r="E14" s="1869"/>
      <c r="F14" s="1869"/>
      <c r="G14" s="1034" t="s">
        <v>875</v>
      </c>
      <c r="H14" s="1035">
        <v>0.1</v>
      </c>
      <c r="I14" s="1035">
        <v>0.2</v>
      </c>
      <c r="J14" s="1035">
        <v>0.3</v>
      </c>
      <c r="K14" s="1035">
        <v>0.3</v>
      </c>
      <c r="L14" s="1035">
        <v>0.3</v>
      </c>
      <c r="M14" s="1034">
        <f>'산근2-0(하천기본계획-수량)'!$L$6</f>
        <v>1.68</v>
      </c>
      <c r="N14" s="1034">
        <f>'산근2-0(하천기본계획-수량)'!$O$6</f>
        <v>0.8</v>
      </c>
      <c r="O14" s="1034"/>
      <c r="P14" s="1034"/>
      <c r="Q14" s="1034">
        <f t="shared" si="0"/>
        <v>1.34</v>
      </c>
      <c r="R14" s="1024">
        <f>'하천기본계획(요율)'!H7</f>
        <v>1</v>
      </c>
    </row>
    <row r="15" spans="1:18" ht="26.45" customHeight="1">
      <c r="A15" s="1037"/>
      <c r="B15" s="1037"/>
      <c r="C15" s="1869" t="s">
        <v>879</v>
      </c>
      <c r="D15" s="1869"/>
      <c r="E15" s="1869"/>
      <c r="F15" s="1869"/>
      <c r="G15" s="1034" t="s">
        <v>875</v>
      </c>
      <c r="H15" s="1035">
        <v>0.1</v>
      </c>
      <c r="I15" s="1035">
        <v>0.1</v>
      </c>
      <c r="J15" s="1035">
        <v>0.2</v>
      </c>
      <c r="K15" s="1035">
        <v>0.3</v>
      </c>
      <c r="L15" s="1035">
        <v>0.4</v>
      </c>
      <c r="M15" s="1034">
        <f>'산근2-0(하천기본계획-수량)'!$L$6</f>
        <v>1.68</v>
      </c>
      <c r="N15" s="1034">
        <f>'산근2-0(하천기본계획-수량)'!$O$6</f>
        <v>0.8</v>
      </c>
      <c r="O15" s="1034"/>
      <c r="P15" s="1034"/>
      <c r="Q15" s="1034">
        <f t="shared" si="0"/>
        <v>1.34</v>
      </c>
      <c r="R15" s="1024">
        <f>'하천기본계획(요율)'!H8</f>
        <v>1</v>
      </c>
    </row>
    <row r="16" spans="1:18" ht="26.45" customHeight="1">
      <c r="A16" s="1037"/>
      <c r="B16" s="1037"/>
      <c r="C16" s="1869" t="s">
        <v>880</v>
      </c>
      <c r="D16" s="1869"/>
      <c r="E16" s="1869"/>
      <c r="F16" s="1869"/>
      <c r="G16" s="1034" t="s">
        <v>875</v>
      </c>
      <c r="H16" s="1035">
        <v>0.2</v>
      </c>
      <c r="I16" s="1035">
        <v>0.2</v>
      </c>
      <c r="J16" s="1035">
        <v>0.3</v>
      </c>
      <c r="K16" s="1035">
        <v>0.3</v>
      </c>
      <c r="L16" s="1035">
        <v>0.4</v>
      </c>
      <c r="M16" s="1034">
        <f>'산근2-0(하천기본계획-수량)'!$L$6</f>
        <v>1.68</v>
      </c>
      <c r="N16" s="1034">
        <f>'산근2-0(하천기본계획-수량)'!$O$6</f>
        <v>0.8</v>
      </c>
      <c r="O16" s="1034"/>
      <c r="P16" s="1034"/>
      <c r="Q16" s="1034">
        <f t="shared" si="0"/>
        <v>1.34</v>
      </c>
      <c r="R16" s="1024">
        <f>'하천기본계획(요율)'!H9</f>
        <v>1</v>
      </c>
    </row>
    <row r="17" spans="1:18" ht="26.45" customHeight="1">
      <c r="A17" s="1037"/>
      <c r="B17" s="1037"/>
      <c r="C17" s="1869" t="s">
        <v>881</v>
      </c>
      <c r="D17" s="1869"/>
      <c r="E17" s="1869"/>
      <c r="F17" s="1869"/>
      <c r="G17" s="1034" t="s">
        <v>875</v>
      </c>
      <c r="H17" s="1035">
        <v>0.1</v>
      </c>
      <c r="I17" s="1035">
        <v>0.2</v>
      </c>
      <c r="J17" s="1035">
        <v>0.3</v>
      </c>
      <c r="K17" s="1035">
        <v>0.3</v>
      </c>
      <c r="L17" s="1035">
        <v>0.6</v>
      </c>
      <c r="M17" s="1034">
        <f>'산근2-0(하천기본계획-수량)'!$L$6</f>
        <v>1.68</v>
      </c>
      <c r="N17" s="1034">
        <f>'산근2-0(하천기본계획-수량)'!$O$6</f>
        <v>0.8</v>
      </c>
      <c r="O17" s="1034"/>
      <c r="P17" s="1034"/>
      <c r="Q17" s="1034">
        <f t="shared" si="0"/>
        <v>1.34</v>
      </c>
      <c r="R17" s="1024">
        <f>'하천기본계획(요율)'!H10</f>
        <v>1</v>
      </c>
    </row>
    <row r="18" spans="1:18" ht="26.45" customHeight="1">
      <c r="A18" s="1037"/>
      <c r="B18" s="1037"/>
      <c r="C18" s="1869" t="s">
        <v>882</v>
      </c>
      <c r="D18" s="1869"/>
      <c r="E18" s="1869"/>
      <c r="F18" s="1869"/>
      <c r="G18" s="1034" t="s">
        <v>872</v>
      </c>
      <c r="H18" s="1035">
        <v>0.2</v>
      </c>
      <c r="I18" s="1035">
        <v>0.3</v>
      </c>
      <c r="J18" s="1035">
        <v>0.3</v>
      </c>
      <c r="K18" s="1035">
        <v>0.5</v>
      </c>
      <c r="L18" s="1035">
        <v>0.4</v>
      </c>
      <c r="M18" s="1034">
        <f>'산근2-0(하천기본계획-수량)'!$J$6</f>
        <v>2.7</v>
      </c>
      <c r="N18" s="1034"/>
      <c r="O18" s="1034">
        <f>'산근2-0(하천기본계획-수량)'!$P$6</f>
        <v>1</v>
      </c>
      <c r="P18" s="1034"/>
      <c r="Q18" s="1034">
        <f t="shared" si="0"/>
        <v>2.7</v>
      </c>
      <c r="R18" s="1024">
        <f>'하천기본계획(요율)'!H11</f>
        <v>1</v>
      </c>
    </row>
    <row r="19" spans="1:18" ht="26.45" customHeight="1">
      <c r="A19" s="1869" t="s">
        <v>883</v>
      </c>
      <c r="B19" s="1869"/>
      <c r="C19" s="1869"/>
      <c r="D19" s="1869"/>
      <c r="E19" s="1869"/>
      <c r="F19" s="1869"/>
      <c r="G19" s="1034"/>
      <c r="H19" s="1035"/>
      <c r="I19" s="1035"/>
      <c r="J19" s="1035"/>
      <c r="K19" s="1035"/>
      <c r="L19" s="1035"/>
      <c r="M19" s="1034"/>
      <c r="N19" s="1034"/>
      <c r="O19" s="1034"/>
      <c r="P19" s="1034"/>
      <c r="Q19" s="1034"/>
    </row>
    <row r="20" spans="1:18" ht="26.45" customHeight="1">
      <c r="A20" s="1037"/>
      <c r="B20" s="1869" t="s">
        <v>884</v>
      </c>
      <c r="C20" s="1869"/>
      <c r="D20" s="1869"/>
      <c r="E20" s="1869"/>
      <c r="F20" s="1869"/>
      <c r="G20" s="1034"/>
      <c r="H20" s="1035"/>
      <c r="I20" s="1035"/>
      <c r="J20" s="1035"/>
      <c r="K20" s="1035"/>
      <c r="L20" s="1035"/>
      <c r="M20" s="1034"/>
      <c r="N20" s="1034"/>
      <c r="O20" s="1034"/>
      <c r="P20" s="1034"/>
      <c r="Q20" s="1034"/>
    </row>
    <row r="21" spans="1:18" ht="26.45" customHeight="1">
      <c r="A21" s="1037"/>
      <c r="B21" s="1037"/>
      <c r="C21" s="1869" t="s">
        <v>885</v>
      </c>
      <c r="D21" s="1869"/>
      <c r="E21" s="1869"/>
      <c r="F21" s="1869"/>
      <c r="G21" s="1034" t="s">
        <v>875</v>
      </c>
      <c r="H21" s="1035">
        <v>0.1</v>
      </c>
      <c r="I21" s="1035">
        <v>0.2</v>
      </c>
      <c r="J21" s="1035">
        <v>0.3</v>
      </c>
      <c r="K21" s="1035">
        <v>0.4</v>
      </c>
      <c r="L21" s="1035">
        <v>0.3</v>
      </c>
      <c r="M21" s="1034">
        <f>'산근2-0(하천기본계획-수량)'!$L$6</f>
        <v>1.68</v>
      </c>
      <c r="N21" s="1034">
        <f>'산근2-0(하천기본계획-수량)'!$O$6</f>
        <v>0.8</v>
      </c>
      <c r="O21" s="1034"/>
      <c r="P21" s="1034"/>
      <c r="Q21" s="1034">
        <f>ROUND(PRODUCT(M21:P21,R21),2)</f>
        <v>1.34</v>
      </c>
      <c r="R21" s="1024">
        <f>'하천기본계획(요율)'!H13</f>
        <v>1</v>
      </c>
    </row>
    <row r="22" spans="1:18" ht="26.45" customHeight="1">
      <c r="A22" s="1037"/>
      <c r="B22" s="1037"/>
      <c r="C22" s="1869" t="s">
        <v>886</v>
      </c>
      <c r="D22" s="1869"/>
      <c r="E22" s="1869"/>
      <c r="F22" s="1869"/>
      <c r="G22" s="1034" t="s">
        <v>872</v>
      </c>
      <c r="H22" s="1035">
        <v>0.6</v>
      </c>
      <c r="I22" s="1035">
        <v>1.1000000000000001</v>
      </c>
      <c r="J22" s="1035">
        <v>2.1</v>
      </c>
      <c r="K22" s="1035">
        <v>2.6</v>
      </c>
      <c r="L22" s="1035">
        <v>2.4</v>
      </c>
      <c r="M22" s="1034">
        <f>'산근2-0(하천기본계획-수량)'!$J$6</f>
        <v>2.7</v>
      </c>
      <c r="N22" s="1034"/>
      <c r="O22" s="1034">
        <f>'산근2-0(하천기본계획-수량)'!$P$6</f>
        <v>1</v>
      </c>
      <c r="P22" s="1034"/>
      <c r="Q22" s="1034">
        <f>ROUND(PRODUCT(M22:P22,R22),2)</f>
        <v>2.7</v>
      </c>
      <c r="R22" s="1024">
        <f>'하천기본계획(요율)'!H14</f>
        <v>1</v>
      </c>
    </row>
    <row r="23" spans="1:18" ht="26.45" customHeight="1">
      <c r="A23" s="1037"/>
      <c r="B23" s="1037"/>
      <c r="C23" s="1869" t="s">
        <v>887</v>
      </c>
      <c r="D23" s="1869"/>
      <c r="E23" s="1869"/>
      <c r="F23" s="1869"/>
      <c r="G23" s="1034" t="s">
        <v>872</v>
      </c>
      <c r="H23" s="1035">
        <v>0.2</v>
      </c>
      <c r="I23" s="1035">
        <v>0.4</v>
      </c>
      <c r="J23" s="1035">
        <v>0.6</v>
      </c>
      <c r="K23" s="1035">
        <v>0.8</v>
      </c>
      <c r="L23" s="1035">
        <v>0.7</v>
      </c>
      <c r="M23" s="1034">
        <f>'산근2-0(하천기본계획-수량)'!$J$6</f>
        <v>2.7</v>
      </c>
      <c r="N23" s="1034"/>
      <c r="O23" s="1034">
        <f>'산근2-0(하천기본계획-수량)'!$P$6</f>
        <v>1</v>
      </c>
      <c r="P23" s="1034"/>
      <c r="Q23" s="1034">
        <f>ROUND(PRODUCT(M23:P23,R23),2)</f>
        <v>2.7</v>
      </c>
      <c r="R23" s="1024">
        <f>'하천기본계획(요율)'!H15</f>
        <v>1</v>
      </c>
    </row>
    <row r="24" spans="1:18" ht="26.45" customHeight="1">
      <c r="A24" s="1037"/>
      <c r="B24" s="1037"/>
      <c r="C24" s="1869" t="s">
        <v>888</v>
      </c>
      <c r="D24" s="1869"/>
      <c r="E24" s="1869"/>
      <c r="F24" s="1869"/>
      <c r="G24" s="1034" t="s">
        <v>872</v>
      </c>
      <c r="H24" s="1035">
        <v>0.5</v>
      </c>
      <c r="I24" s="1035">
        <v>0.5</v>
      </c>
      <c r="J24" s="1035">
        <v>1.4</v>
      </c>
      <c r="K24" s="1035">
        <v>2.4</v>
      </c>
      <c r="L24" s="1035">
        <v>1.8</v>
      </c>
      <c r="M24" s="1034">
        <f>'산근2-0(하천기본계획-수량)'!$J$6</f>
        <v>2.7</v>
      </c>
      <c r="N24" s="1034"/>
      <c r="O24" s="1034">
        <f>'산근2-0(하천기본계획-수량)'!$P$6</f>
        <v>1</v>
      </c>
      <c r="P24" s="1034"/>
      <c r="Q24" s="1034">
        <f>ROUND(PRODUCT(M24:P24,R24),2)</f>
        <v>2.7</v>
      </c>
      <c r="R24" s="1024">
        <f>'하천기본계획(요율)'!H16</f>
        <v>1</v>
      </c>
    </row>
    <row r="25" spans="1:18" ht="26.45" customHeight="1">
      <c r="A25" s="1037"/>
      <c r="B25" s="1037"/>
      <c r="C25" s="1869" t="s">
        <v>889</v>
      </c>
      <c r="D25" s="1869"/>
      <c r="E25" s="1869"/>
      <c r="F25" s="1869"/>
      <c r="G25" s="1034" t="s">
        <v>872</v>
      </c>
      <c r="H25" s="1035">
        <v>0.6</v>
      </c>
      <c r="I25" s="1035">
        <v>1.7</v>
      </c>
      <c r="J25" s="1035">
        <v>2.7</v>
      </c>
      <c r="K25" s="1035">
        <v>3</v>
      </c>
      <c r="L25" s="1035">
        <v>2.8</v>
      </c>
      <c r="M25" s="1034">
        <f>'산근2-0(하천기본계획-수량)'!$J$6</f>
        <v>2.7</v>
      </c>
      <c r="N25" s="1034"/>
      <c r="O25" s="1034">
        <f>'산근2-0(하천기본계획-수량)'!$P$6</f>
        <v>1</v>
      </c>
      <c r="P25" s="1034"/>
      <c r="Q25" s="1034">
        <f>ROUND(PRODUCT(M25:P25,R25),2)</f>
        <v>2.7</v>
      </c>
      <c r="R25" s="1024">
        <f>'하천기본계획(요율)'!H17</f>
        <v>1</v>
      </c>
    </row>
    <row r="26" spans="1:18" ht="26.45" customHeight="1">
      <c r="A26" s="1037"/>
      <c r="B26" s="1869" t="s">
        <v>890</v>
      </c>
      <c r="C26" s="1869"/>
      <c r="D26" s="1869"/>
      <c r="E26" s="1869"/>
      <c r="F26" s="1869"/>
      <c r="G26" s="1034"/>
      <c r="H26" s="1035"/>
      <c r="I26" s="1035"/>
      <c r="J26" s="1035"/>
      <c r="K26" s="1035"/>
      <c r="L26" s="1035"/>
      <c r="M26" s="1034"/>
      <c r="N26" s="1034"/>
      <c r="O26" s="1034"/>
      <c r="P26" s="1034"/>
      <c r="Q26" s="1034"/>
    </row>
    <row r="27" spans="1:18" ht="26.45" customHeight="1">
      <c r="A27" s="1037"/>
      <c r="B27" s="1037"/>
      <c r="C27" s="1869" t="s">
        <v>891</v>
      </c>
      <c r="D27" s="1869"/>
      <c r="E27" s="1869"/>
      <c r="F27" s="1869"/>
      <c r="G27" s="1034" t="s">
        <v>875</v>
      </c>
      <c r="H27" s="1035">
        <v>0.3</v>
      </c>
      <c r="I27" s="1035">
        <v>0.6</v>
      </c>
      <c r="J27" s="1035">
        <v>0.6</v>
      </c>
      <c r="K27" s="1035">
        <v>0.9</v>
      </c>
      <c r="L27" s="1035">
        <v>0.9</v>
      </c>
      <c r="M27" s="1034">
        <f>'산근2-0(하천기본계획-수량)'!$L$6</f>
        <v>1.68</v>
      </c>
      <c r="N27" s="1034">
        <f>'산근2-0(하천기본계획-수량)'!$O$6</f>
        <v>0.8</v>
      </c>
      <c r="O27" s="1034"/>
      <c r="P27" s="1034"/>
      <c r="Q27" s="1034">
        <f>ROUND(PRODUCT(M27:P27,R27),2)</f>
        <v>1.34</v>
      </c>
      <c r="R27" s="1024">
        <f>'하천기본계획(요율)'!H19</f>
        <v>1</v>
      </c>
    </row>
    <row r="28" spans="1:18" ht="26.45" customHeight="1">
      <c r="A28" s="1037"/>
      <c r="B28" s="1037"/>
      <c r="C28" s="1869" t="s">
        <v>892</v>
      </c>
      <c r="D28" s="1869"/>
      <c r="E28" s="1869"/>
      <c r="F28" s="1869"/>
      <c r="G28" s="1034" t="s">
        <v>872</v>
      </c>
      <c r="H28" s="1035">
        <v>0.1</v>
      </c>
      <c r="I28" s="1035">
        <v>0.1</v>
      </c>
      <c r="J28" s="1035">
        <v>0.3</v>
      </c>
      <c r="K28" s="1035">
        <v>0.4</v>
      </c>
      <c r="L28" s="1035">
        <v>0.2</v>
      </c>
      <c r="M28" s="1034">
        <f>'산근2-0(하천기본계획-수량)'!$J$6</f>
        <v>2.7</v>
      </c>
      <c r="N28" s="1034"/>
      <c r="O28" s="1034">
        <f>'산근2-0(하천기본계획-수량)'!$P$6</f>
        <v>1</v>
      </c>
      <c r="P28" s="1034"/>
      <c r="Q28" s="1034">
        <f>ROUND(PRODUCT(M28:P28,R28),2)</f>
        <v>2.7</v>
      </c>
      <c r="R28" s="1024">
        <f>'하천기본계획(요율)'!H20</f>
        <v>1</v>
      </c>
    </row>
    <row r="29" spans="1:18" ht="26.45" customHeight="1">
      <c r="A29" s="1037"/>
      <c r="B29" s="1037"/>
      <c r="C29" s="1869" t="s">
        <v>893</v>
      </c>
      <c r="D29" s="1869"/>
      <c r="E29" s="1869"/>
      <c r="F29" s="1869"/>
      <c r="G29" s="1034" t="s">
        <v>875</v>
      </c>
      <c r="H29" s="1035">
        <v>0.4</v>
      </c>
      <c r="I29" s="1035">
        <v>0.6</v>
      </c>
      <c r="J29" s="1035">
        <v>1</v>
      </c>
      <c r="K29" s="1035">
        <v>1</v>
      </c>
      <c r="L29" s="1035">
        <v>1</v>
      </c>
      <c r="M29" s="1034">
        <f>'산근2-0(하천기본계획-수량)'!$L$6</f>
        <v>1.68</v>
      </c>
      <c r="N29" s="1034">
        <f>'산근2-0(하천기본계획-수량)'!$O$6</f>
        <v>0.8</v>
      </c>
      <c r="O29" s="1034"/>
      <c r="P29" s="1034"/>
      <c r="Q29" s="1034">
        <f>ROUND(PRODUCT(M29:P29,R29),2)</f>
        <v>1.34</v>
      </c>
      <c r="R29" s="1024">
        <f>'하천기본계획(요율)'!H21</f>
        <v>1</v>
      </c>
    </row>
    <row r="30" spans="1:18" ht="26.45" customHeight="1">
      <c r="A30" s="1037"/>
      <c r="B30" s="1869" t="s">
        <v>894</v>
      </c>
      <c r="C30" s="1869"/>
      <c r="D30" s="1869"/>
      <c r="E30" s="1869"/>
      <c r="F30" s="1869"/>
      <c r="G30" s="1034" t="s">
        <v>872</v>
      </c>
      <c r="H30" s="1035">
        <v>0.1</v>
      </c>
      <c r="I30" s="1035">
        <v>0.1</v>
      </c>
      <c r="J30" s="1035">
        <v>0.4</v>
      </c>
      <c r="K30" s="1035">
        <v>0.2</v>
      </c>
      <c r="L30" s="1035">
        <v>0.2</v>
      </c>
      <c r="M30" s="1034">
        <f>'산근2-0(하천기본계획-수량)'!$J$6</f>
        <v>2.7</v>
      </c>
      <c r="N30" s="1034"/>
      <c r="O30" s="1034">
        <f>'산근2-0(하천기본계획-수량)'!$P$6</f>
        <v>1</v>
      </c>
      <c r="P30" s="1034"/>
      <c r="Q30" s="1034">
        <f>ROUND(PRODUCT(M30:P30,R30),2)</f>
        <v>2.7</v>
      </c>
      <c r="R30" s="1024">
        <f>'하천기본계획(요율)'!H22</f>
        <v>1</v>
      </c>
    </row>
    <row r="31" spans="1:18" ht="26.45" customHeight="1">
      <c r="A31" s="1869" t="s">
        <v>895</v>
      </c>
      <c r="B31" s="1869"/>
      <c r="C31" s="1869"/>
      <c r="D31" s="1869"/>
      <c r="E31" s="1869"/>
      <c r="F31" s="1869"/>
      <c r="G31" s="1034"/>
      <c r="H31" s="1035"/>
      <c r="I31" s="1035"/>
      <c r="J31" s="1035"/>
      <c r="K31" s="1035"/>
      <c r="L31" s="1035"/>
      <c r="M31" s="1034"/>
      <c r="N31" s="1034"/>
      <c r="O31" s="1034"/>
      <c r="P31" s="1034"/>
      <c r="Q31" s="1034"/>
    </row>
    <row r="32" spans="1:18" ht="26.45" customHeight="1">
      <c r="A32" s="1037"/>
      <c r="B32" s="1869" t="s">
        <v>896</v>
      </c>
      <c r="C32" s="1869"/>
      <c r="D32" s="1869"/>
      <c r="E32" s="1869"/>
      <c r="F32" s="1869"/>
      <c r="G32" s="1034" t="s">
        <v>872</v>
      </c>
      <c r="H32" s="1035">
        <v>1.4</v>
      </c>
      <c r="I32" s="1035">
        <v>2</v>
      </c>
      <c r="J32" s="1035">
        <v>3.5</v>
      </c>
      <c r="K32" s="1035">
        <v>4.9000000000000004</v>
      </c>
      <c r="L32" s="1035">
        <v>4.4000000000000004</v>
      </c>
      <c r="M32" s="1034">
        <f>'산근2-0(하천기본계획-수량)'!$J$6</f>
        <v>2.7</v>
      </c>
      <c r="N32" s="1034"/>
      <c r="O32" s="1034">
        <f>'산근2-0(하천기본계획-수량)'!$P$6</f>
        <v>1</v>
      </c>
      <c r="P32" s="1034"/>
      <c r="Q32" s="1034">
        <f>ROUND(PRODUCT(M32:P32,R32),2)</f>
        <v>2.7</v>
      </c>
      <c r="R32" s="1024">
        <f>'하천기본계획(요율)'!H23</f>
        <v>1</v>
      </c>
    </row>
    <row r="33" spans="1:18" ht="26.45" customHeight="1">
      <c r="A33" s="1037"/>
      <c r="B33" s="1869" t="s">
        <v>897</v>
      </c>
      <c r="C33" s="1869"/>
      <c r="D33" s="1869"/>
      <c r="E33" s="1869"/>
      <c r="F33" s="1869"/>
      <c r="G33" s="1034" t="s">
        <v>875</v>
      </c>
      <c r="H33" s="1035">
        <v>1.3</v>
      </c>
      <c r="I33" s="1035">
        <v>2.6</v>
      </c>
      <c r="J33" s="1035">
        <v>4.0999999999999996</v>
      </c>
      <c r="K33" s="1035">
        <v>4.0999999999999996</v>
      </c>
      <c r="L33" s="1035">
        <v>3.3</v>
      </c>
      <c r="M33" s="1034">
        <f>'산근2-0(하천기본계획-수량)'!$L$6</f>
        <v>1.68</v>
      </c>
      <c r="N33" s="1034">
        <f>'산근2-0(하천기본계획-수량)'!$O$6</f>
        <v>0.8</v>
      </c>
      <c r="O33" s="1034"/>
      <c r="P33" s="1034"/>
      <c r="Q33" s="1034">
        <f>ROUND(PRODUCT(M33:P33,R33),2)</f>
        <v>1.34</v>
      </c>
      <c r="R33" s="1024">
        <f>'하천기본계획(요율)'!H24</f>
        <v>1</v>
      </c>
    </row>
    <row r="34" spans="1:18" ht="26.45" customHeight="1">
      <c r="A34" s="1037"/>
      <c r="B34" s="1869" t="s">
        <v>898</v>
      </c>
      <c r="C34" s="1869"/>
      <c r="D34" s="1869"/>
      <c r="E34" s="1869"/>
      <c r="F34" s="1869"/>
      <c r="G34" s="1034" t="s">
        <v>875</v>
      </c>
      <c r="H34" s="1035">
        <v>1.3</v>
      </c>
      <c r="I34" s="1035">
        <v>2.4</v>
      </c>
      <c r="J34" s="1035">
        <v>3.6</v>
      </c>
      <c r="K34" s="1035">
        <v>4</v>
      </c>
      <c r="L34" s="1035">
        <v>3.6</v>
      </c>
      <c r="M34" s="1034">
        <f>'산근2-0(하천기본계획-수량)'!$L$6</f>
        <v>1.68</v>
      </c>
      <c r="N34" s="1034">
        <f>'산근2-0(하천기본계획-수량)'!$O$6</f>
        <v>0.8</v>
      </c>
      <c r="O34" s="1034"/>
      <c r="P34" s="1034"/>
      <c r="Q34" s="1034">
        <f>ROUND(PRODUCT(M34:P34,R34),2)</f>
        <v>1.34</v>
      </c>
      <c r="R34" s="1024">
        <f>'하천기본계획(요율)'!H25</f>
        <v>1</v>
      </c>
    </row>
    <row r="35" spans="1:18" ht="26.45" customHeight="1">
      <c r="A35" s="1037"/>
      <c r="B35" s="1869" t="s">
        <v>899</v>
      </c>
      <c r="C35" s="1869"/>
      <c r="D35" s="1869"/>
      <c r="E35" s="1869"/>
      <c r="F35" s="1869"/>
      <c r="G35" s="1034" t="s">
        <v>872</v>
      </c>
      <c r="H35" s="1035">
        <v>0.6</v>
      </c>
      <c r="I35" s="1035">
        <v>0.9</v>
      </c>
      <c r="J35" s="1035">
        <v>1.9</v>
      </c>
      <c r="K35" s="1035">
        <v>2.2999999999999998</v>
      </c>
      <c r="L35" s="1035">
        <v>1.4</v>
      </c>
      <c r="M35" s="1034">
        <f>'산근2-0(하천기본계획-수량)'!$J$6</f>
        <v>2.7</v>
      </c>
      <c r="N35" s="1034"/>
      <c r="O35" s="1034">
        <f>'산근2-0(하천기본계획-수량)'!$P$6</f>
        <v>1</v>
      </c>
      <c r="P35" s="1034"/>
      <c r="Q35" s="1034">
        <f>ROUND(PRODUCT(M35:P35,R35),2)</f>
        <v>2.7</v>
      </c>
      <c r="R35" s="1024">
        <f>'하천기본계획(요율)'!H26</f>
        <v>1</v>
      </c>
    </row>
    <row r="36" spans="1:18" ht="26.45" customHeight="1">
      <c r="A36" s="1869" t="s">
        <v>900</v>
      </c>
      <c r="B36" s="1869"/>
      <c r="C36" s="1869"/>
      <c r="D36" s="1869"/>
      <c r="E36" s="1869"/>
      <c r="F36" s="1869"/>
      <c r="G36" s="1034"/>
      <c r="H36" s="1035"/>
      <c r="I36" s="1035"/>
      <c r="J36" s="1035"/>
      <c r="K36" s="1035"/>
      <c r="L36" s="1035"/>
      <c r="M36" s="1034"/>
      <c r="N36" s="1034"/>
      <c r="O36" s="1034"/>
      <c r="P36" s="1034"/>
      <c r="Q36" s="1034"/>
    </row>
    <row r="37" spans="1:18" ht="26.45" customHeight="1">
      <c r="A37" s="1037"/>
      <c r="B37" s="1869" t="s">
        <v>901</v>
      </c>
      <c r="C37" s="1869"/>
      <c r="D37" s="1869"/>
      <c r="E37" s="1869"/>
      <c r="F37" s="1869"/>
      <c r="G37" s="1034" t="s">
        <v>872</v>
      </c>
      <c r="H37" s="1035">
        <v>0.4</v>
      </c>
      <c r="I37" s="1035">
        <v>0.8</v>
      </c>
      <c r="J37" s="1035">
        <v>2.2999999999999998</v>
      </c>
      <c r="K37" s="1035">
        <v>2.4</v>
      </c>
      <c r="L37" s="1035">
        <v>2.2000000000000002</v>
      </c>
      <c r="M37" s="1034">
        <f>'산근2-0(하천기본계획-수량)'!$J$6</f>
        <v>2.7</v>
      </c>
      <c r="N37" s="1034"/>
      <c r="O37" s="1034">
        <f>'산근2-0(하천기본계획-수량)'!$P$6</f>
        <v>1</v>
      </c>
      <c r="P37" s="1034"/>
      <c r="Q37" s="1034">
        <f>ROUND(PRODUCT(M37:P37,R37),2)</f>
        <v>2.7</v>
      </c>
      <c r="R37" s="1024">
        <f>'하천기본계획(요율)'!H27</f>
        <v>1</v>
      </c>
    </row>
    <row r="38" spans="1:18" ht="26.45" customHeight="1">
      <c r="A38" s="1037"/>
      <c r="B38" s="1869" t="s">
        <v>902</v>
      </c>
      <c r="C38" s="1869"/>
      <c r="D38" s="1869"/>
      <c r="E38" s="1869"/>
      <c r="F38" s="1869"/>
      <c r="G38" s="1034" t="s">
        <v>872</v>
      </c>
      <c r="H38" s="1035">
        <v>0.4</v>
      </c>
      <c r="I38" s="1035">
        <v>0.8</v>
      </c>
      <c r="J38" s="1035">
        <v>1.1000000000000001</v>
      </c>
      <c r="K38" s="1035">
        <v>0.9</v>
      </c>
      <c r="L38" s="1035">
        <v>0.9</v>
      </c>
      <c r="M38" s="1034">
        <f>'산근2-0(하천기본계획-수량)'!$J$6</f>
        <v>2.7</v>
      </c>
      <c r="N38" s="1034"/>
      <c r="O38" s="1034">
        <f>'산근2-0(하천기본계획-수량)'!$P$6</f>
        <v>1</v>
      </c>
      <c r="P38" s="1034"/>
      <c r="Q38" s="1034">
        <f>ROUND(PRODUCT(M38:P38,R38),2)</f>
        <v>2.7</v>
      </c>
      <c r="R38" s="1024">
        <f>'하천기본계획(요율)'!H28</f>
        <v>1</v>
      </c>
    </row>
    <row r="39" spans="1:18" ht="26.45" customHeight="1">
      <c r="A39" s="1869" t="s">
        <v>903</v>
      </c>
      <c r="B39" s="1869"/>
      <c r="C39" s="1869"/>
      <c r="D39" s="1869"/>
      <c r="E39" s="1869"/>
      <c r="F39" s="1869"/>
      <c r="G39" s="1034"/>
      <c r="H39" s="1035"/>
      <c r="I39" s="1035"/>
      <c r="J39" s="1035"/>
      <c r="K39" s="1035"/>
      <c r="L39" s="1035"/>
      <c r="M39" s="1034"/>
      <c r="N39" s="1034"/>
      <c r="O39" s="1034"/>
      <c r="P39" s="1034"/>
      <c r="Q39" s="1034"/>
    </row>
    <row r="40" spans="1:18" ht="26.45" customHeight="1">
      <c r="A40" s="1037"/>
      <c r="B40" s="1869" t="s">
        <v>904</v>
      </c>
      <c r="C40" s="1869"/>
      <c r="D40" s="1869"/>
      <c r="E40" s="1869"/>
      <c r="F40" s="1869"/>
      <c r="G40" s="1034" t="s">
        <v>872</v>
      </c>
      <c r="H40" s="1035">
        <v>0.3</v>
      </c>
      <c r="I40" s="1035">
        <v>0.7</v>
      </c>
      <c r="J40" s="1035">
        <v>0.9</v>
      </c>
      <c r="K40" s="1035">
        <v>0.5</v>
      </c>
      <c r="L40" s="1035">
        <v>0</v>
      </c>
      <c r="M40" s="1034">
        <f>'산근2-0(하천기본계획-수량)'!$J$6</f>
        <v>2.7</v>
      </c>
      <c r="N40" s="1034"/>
      <c r="O40" s="1034">
        <f>'산근2-0(하천기본계획-수량)'!$P$6</f>
        <v>1</v>
      </c>
      <c r="P40" s="1034"/>
      <c r="Q40" s="1034">
        <f>ROUND(PRODUCT(M40:P40,R40),2)</f>
        <v>2.7</v>
      </c>
      <c r="R40" s="1024">
        <f>'하천기본계획(요율)'!H29</f>
        <v>1</v>
      </c>
    </row>
    <row r="41" spans="1:18" ht="26.45" customHeight="1">
      <c r="A41" s="1870" t="s">
        <v>905</v>
      </c>
      <c r="B41" s="1870"/>
      <c r="C41" s="1870"/>
      <c r="D41" s="1870"/>
      <c r="E41" s="1870"/>
      <c r="F41" s="1870"/>
      <c r="G41" s="1031"/>
      <c r="H41" s="1032"/>
      <c r="I41" s="1032"/>
      <c r="J41" s="1032"/>
      <c r="K41" s="1032"/>
      <c r="L41" s="1032"/>
      <c r="M41" s="1031"/>
      <c r="N41" s="1031"/>
      <c r="O41" s="1031"/>
      <c r="P41" s="1031"/>
      <c r="Q41" s="1031"/>
    </row>
    <row r="42" spans="1:18" ht="26.45" customHeight="1">
      <c r="A42" s="1869" t="s">
        <v>906</v>
      </c>
      <c r="B42" s="1869"/>
      <c r="C42" s="1869"/>
      <c r="D42" s="1869"/>
      <c r="E42" s="1869"/>
      <c r="F42" s="1869"/>
      <c r="G42" s="1034"/>
      <c r="H42" s="1035"/>
      <c r="I42" s="1035"/>
      <c r="J42" s="1035"/>
      <c r="K42" s="1035"/>
      <c r="L42" s="1035"/>
      <c r="M42" s="1034"/>
      <c r="N42" s="1034"/>
      <c r="O42" s="1034"/>
      <c r="P42" s="1034"/>
      <c r="Q42" s="1034"/>
    </row>
    <row r="43" spans="1:18" ht="26.45" customHeight="1">
      <c r="A43" s="1037"/>
      <c r="B43" s="1869" t="s">
        <v>907</v>
      </c>
      <c r="C43" s="1869"/>
      <c r="D43" s="1869"/>
      <c r="E43" s="1869"/>
      <c r="F43" s="1869"/>
      <c r="G43" s="1034" t="s">
        <v>872</v>
      </c>
      <c r="H43" s="1035">
        <v>0</v>
      </c>
      <c r="I43" s="1035">
        <v>0</v>
      </c>
      <c r="J43" s="1035">
        <v>0.5</v>
      </c>
      <c r="K43" s="1035">
        <v>0.9</v>
      </c>
      <c r="L43" s="1035">
        <v>1.5</v>
      </c>
      <c r="M43" s="1034">
        <f>'산근2-0(하천기본계획-수량)'!$J$6</f>
        <v>2.7</v>
      </c>
      <c r="N43" s="1034"/>
      <c r="O43" s="1034"/>
      <c r="P43" s="1034">
        <f>'산근2-0(하천기본계획-수량)'!$R$6</f>
        <v>1</v>
      </c>
      <c r="Q43" s="1034">
        <f t="shared" ref="Q43:Q49" si="1">ROUND(PRODUCT(M43:P43,R43),2)</f>
        <v>2.7</v>
      </c>
      <c r="R43" s="1024">
        <f>'하천기본계획(요율)'!H33</f>
        <v>1</v>
      </c>
    </row>
    <row r="44" spans="1:18" ht="26.45" customHeight="1">
      <c r="A44" s="1037"/>
      <c r="B44" s="1869" t="s">
        <v>908</v>
      </c>
      <c r="C44" s="1869"/>
      <c r="D44" s="1869"/>
      <c r="E44" s="1869"/>
      <c r="F44" s="1869"/>
      <c r="G44" s="1034" t="s">
        <v>872</v>
      </c>
      <c r="H44" s="1035">
        <f>SUM(H45:H49)</f>
        <v>0</v>
      </c>
      <c r="I44" s="1035">
        <f>SUM(I45:I49)</f>
        <v>0</v>
      </c>
      <c r="J44" s="1035">
        <f>SUM(J45:J49)</f>
        <v>1.0999999999999999</v>
      </c>
      <c r="K44" s="1035">
        <f>SUM(K45:K49)</f>
        <v>1.2000000000000002</v>
      </c>
      <c r="L44" s="1035">
        <f>SUM(L45:L49)</f>
        <v>0.89999999999999991</v>
      </c>
      <c r="M44" s="1034">
        <f>'산근2-0(하천기본계획-수량)'!$J$6</f>
        <v>2.7</v>
      </c>
      <c r="N44" s="1034"/>
      <c r="O44" s="1034"/>
      <c r="P44" s="1034">
        <f>'산근2-0(하천기본계획-수량)'!$R$6</f>
        <v>1</v>
      </c>
      <c r="Q44" s="1034">
        <f t="shared" si="1"/>
        <v>2.7</v>
      </c>
      <c r="R44" s="1024">
        <f>'하천기본계획(요율)'!H34</f>
        <v>1</v>
      </c>
    </row>
    <row r="45" spans="1:18" ht="26.45" customHeight="1">
      <c r="A45" s="1037"/>
      <c r="B45" s="1037"/>
      <c r="C45" s="1869" t="s">
        <v>909</v>
      </c>
      <c r="D45" s="1869"/>
      <c r="E45" s="1869"/>
      <c r="F45" s="1869"/>
      <c r="G45" s="1034" t="s">
        <v>872</v>
      </c>
      <c r="H45" s="1035">
        <v>0</v>
      </c>
      <c r="I45" s="1035">
        <v>0</v>
      </c>
      <c r="J45" s="1035">
        <v>0.7</v>
      </c>
      <c r="K45" s="1035">
        <v>1</v>
      </c>
      <c r="L45" s="1035">
        <v>0.7</v>
      </c>
      <c r="M45" s="1034">
        <f>'산근2-0(하천기본계획-수량)'!$J$6</f>
        <v>2.7</v>
      </c>
      <c r="N45" s="1034"/>
      <c r="O45" s="1034"/>
      <c r="P45" s="1034">
        <f>'산근2-0(하천기본계획-수량)'!$R$6</f>
        <v>1</v>
      </c>
      <c r="Q45" s="1034">
        <f t="shared" si="1"/>
        <v>2.7</v>
      </c>
      <c r="R45" s="1024">
        <f>$R$44</f>
        <v>1</v>
      </c>
    </row>
    <row r="46" spans="1:18" ht="26.45" customHeight="1">
      <c r="A46" s="1037"/>
      <c r="B46" s="1037"/>
      <c r="C46" s="1869" t="s">
        <v>910</v>
      </c>
      <c r="D46" s="1869"/>
      <c r="E46" s="1869"/>
      <c r="F46" s="1869"/>
      <c r="G46" s="1034" t="s">
        <v>872</v>
      </c>
      <c r="H46" s="1035">
        <v>0</v>
      </c>
      <c r="I46" s="1035">
        <v>0</v>
      </c>
      <c r="J46" s="1035">
        <v>0.1</v>
      </c>
      <c r="K46" s="1035">
        <v>0.1</v>
      </c>
      <c r="L46" s="1035">
        <v>0.1</v>
      </c>
      <c r="M46" s="1034">
        <f>'산근2-0(하천기본계획-수량)'!$J$6</f>
        <v>2.7</v>
      </c>
      <c r="N46" s="1034"/>
      <c r="O46" s="1034"/>
      <c r="P46" s="1034">
        <f>'산근2-0(하천기본계획-수량)'!$R$6</f>
        <v>1</v>
      </c>
      <c r="Q46" s="1034">
        <f t="shared" si="1"/>
        <v>2.7</v>
      </c>
      <c r="R46" s="1024">
        <f>$R$44</f>
        <v>1</v>
      </c>
    </row>
    <row r="47" spans="1:18" ht="26.45" customHeight="1">
      <c r="A47" s="1037"/>
      <c r="B47" s="1037"/>
      <c r="C47" s="1869" t="s">
        <v>911</v>
      </c>
      <c r="D47" s="1869"/>
      <c r="E47" s="1869"/>
      <c r="F47" s="1869"/>
      <c r="G47" s="1034" t="s">
        <v>872</v>
      </c>
      <c r="H47" s="1035">
        <v>0</v>
      </c>
      <c r="I47" s="1035">
        <v>0</v>
      </c>
      <c r="J47" s="1035">
        <v>0.1</v>
      </c>
      <c r="K47" s="1035">
        <v>0</v>
      </c>
      <c r="L47" s="1035">
        <v>0</v>
      </c>
      <c r="M47" s="1034">
        <f>'산근2-0(하천기본계획-수량)'!$J$6</f>
        <v>2.7</v>
      </c>
      <c r="N47" s="1034"/>
      <c r="O47" s="1034"/>
      <c r="P47" s="1034">
        <f>'산근2-0(하천기본계획-수량)'!$R$6</f>
        <v>1</v>
      </c>
      <c r="Q47" s="1034">
        <f t="shared" si="1"/>
        <v>2.7</v>
      </c>
      <c r="R47" s="1024">
        <f>$R$44</f>
        <v>1</v>
      </c>
    </row>
    <row r="48" spans="1:18" ht="26.45" customHeight="1">
      <c r="A48" s="1037"/>
      <c r="B48" s="1037"/>
      <c r="C48" s="1869" t="s">
        <v>912</v>
      </c>
      <c r="D48" s="1869"/>
      <c r="E48" s="1869"/>
      <c r="F48" s="1869"/>
      <c r="G48" s="1034" t="s">
        <v>872</v>
      </c>
      <c r="H48" s="1035">
        <v>0</v>
      </c>
      <c r="I48" s="1035">
        <v>0</v>
      </c>
      <c r="J48" s="1035">
        <v>0.1</v>
      </c>
      <c r="K48" s="1035">
        <v>0.1</v>
      </c>
      <c r="L48" s="1035">
        <v>0.1</v>
      </c>
      <c r="M48" s="1034">
        <f>'산근2-0(하천기본계획-수량)'!$J$6</f>
        <v>2.7</v>
      </c>
      <c r="N48" s="1034"/>
      <c r="O48" s="1034"/>
      <c r="P48" s="1034">
        <f>'산근2-0(하천기본계획-수량)'!$R$6</f>
        <v>1</v>
      </c>
      <c r="Q48" s="1034">
        <f t="shared" si="1"/>
        <v>2.7</v>
      </c>
      <c r="R48" s="1024">
        <f>$R$44</f>
        <v>1</v>
      </c>
    </row>
    <row r="49" spans="1:18" ht="26.45" customHeight="1">
      <c r="A49" s="1037"/>
      <c r="B49" s="1037"/>
      <c r="C49" s="1869" t="s">
        <v>913</v>
      </c>
      <c r="D49" s="1869"/>
      <c r="E49" s="1869"/>
      <c r="F49" s="1869"/>
      <c r="G49" s="1034" t="s">
        <v>872</v>
      </c>
      <c r="H49" s="1035">
        <v>0</v>
      </c>
      <c r="I49" s="1035">
        <v>0</v>
      </c>
      <c r="J49" s="1035">
        <v>0.1</v>
      </c>
      <c r="K49" s="1035">
        <v>0</v>
      </c>
      <c r="L49" s="1035">
        <v>0</v>
      </c>
      <c r="M49" s="1034">
        <f>'산근2-0(하천기본계획-수량)'!$J$6</f>
        <v>2.7</v>
      </c>
      <c r="N49" s="1034"/>
      <c r="O49" s="1034"/>
      <c r="P49" s="1034">
        <f>'산근2-0(하천기본계획-수량)'!$R$6</f>
        <v>1</v>
      </c>
      <c r="Q49" s="1034">
        <f t="shared" si="1"/>
        <v>2.7</v>
      </c>
      <c r="R49" s="1024">
        <f>$R$44</f>
        <v>1</v>
      </c>
    </row>
    <row r="50" spans="1:18" ht="26.45" customHeight="1">
      <c r="A50" s="1869" t="s">
        <v>914</v>
      </c>
      <c r="B50" s="1869"/>
      <c r="C50" s="1869"/>
      <c r="D50" s="1869"/>
      <c r="E50" s="1869"/>
      <c r="F50" s="1869"/>
      <c r="G50" s="1034"/>
      <c r="H50" s="1035"/>
      <c r="I50" s="1035"/>
      <c r="J50" s="1035"/>
      <c r="K50" s="1035"/>
      <c r="L50" s="1035"/>
      <c r="M50" s="1034"/>
      <c r="N50" s="1034"/>
      <c r="O50" s="1034"/>
      <c r="P50" s="1034"/>
      <c r="Q50" s="1034"/>
    </row>
    <row r="51" spans="1:18" ht="26.45" customHeight="1">
      <c r="A51" s="1037"/>
      <c r="B51" s="1869" t="s">
        <v>915</v>
      </c>
      <c r="C51" s="1869"/>
      <c r="D51" s="1869"/>
      <c r="E51" s="1869"/>
      <c r="F51" s="1869"/>
      <c r="G51" s="1034" t="s">
        <v>872</v>
      </c>
      <c r="H51" s="1035">
        <v>0</v>
      </c>
      <c r="I51" s="1035">
        <v>0.3</v>
      </c>
      <c r="J51" s="1035">
        <v>0.4</v>
      </c>
      <c r="K51" s="1035">
        <v>1.2</v>
      </c>
      <c r="L51" s="1035">
        <v>2.2000000000000002</v>
      </c>
      <c r="M51" s="1034">
        <f>'산근2-0(하천기본계획-수량)'!$J$6</f>
        <v>2.7</v>
      </c>
      <c r="N51" s="1034"/>
      <c r="O51" s="1034"/>
      <c r="P51" s="1034">
        <f>'산근2-0(하천기본계획-수량)'!$R$6</f>
        <v>1</v>
      </c>
      <c r="Q51" s="1034">
        <f t="shared" ref="Q51:Q58" si="2">ROUND(PRODUCT(M51:P51,R51),2)</f>
        <v>2.7</v>
      </c>
      <c r="R51" s="1024">
        <f>'하천기본계획(요율)'!H36</f>
        <v>1</v>
      </c>
    </row>
    <row r="52" spans="1:18" ht="26.45" customHeight="1">
      <c r="A52" s="1037"/>
      <c r="B52" s="1869" t="s">
        <v>916</v>
      </c>
      <c r="C52" s="1869"/>
      <c r="D52" s="1869"/>
      <c r="E52" s="1869"/>
      <c r="F52" s="1869"/>
      <c r="G52" s="1034" t="s">
        <v>872</v>
      </c>
      <c r="H52" s="1035">
        <f>SUM(H53:H58)</f>
        <v>0.1</v>
      </c>
      <c r="I52" s="1035">
        <f>SUM(I53:I58)</f>
        <v>0.2</v>
      </c>
      <c r="J52" s="1035">
        <f>SUM(J53:J58)</f>
        <v>2.4</v>
      </c>
      <c r="K52" s="1035">
        <f>SUM(K53:K58)</f>
        <v>2.6</v>
      </c>
      <c r="L52" s="1035">
        <f>SUM(L53:L58)</f>
        <v>4.8000000000000007</v>
      </c>
      <c r="M52" s="1034">
        <f>'산근2-0(하천기본계획-수량)'!$J$6</f>
        <v>2.7</v>
      </c>
      <c r="N52" s="1034"/>
      <c r="O52" s="1034"/>
      <c r="P52" s="1034">
        <f>'산근2-0(하천기본계획-수량)'!$R$6</f>
        <v>1</v>
      </c>
      <c r="Q52" s="1034">
        <f t="shared" si="2"/>
        <v>2.7</v>
      </c>
      <c r="R52" s="1024">
        <f>'하천기본계획(요율)'!H37</f>
        <v>1</v>
      </c>
    </row>
    <row r="53" spans="1:18" ht="26.45" customHeight="1">
      <c r="A53" s="1037"/>
      <c r="B53" s="1037"/>
      <c r="C53" s="1869" t="s">
        <v>917</v>
      </c>
      <c r="D53" s="1869"/>
      <c r="E53" s="1869"/>
      <c r="F53" s="1869"/>
      <c r="G53" s="1034" t="s">
        <v>872</v>
      </c>
      <c r="H53" s="1035">
        <v>0</v>
      </c>
      <c r="I53" s="1035">
        <v>0</v>
      </c>
      <c r="J53" s="1035">
        <v>0.2</v>
      </c>
      <c r="K53" s="1035">
        <v>0.3</v>
      </c>
      <c r="L53" s="1035">
        <v>0.5</v>
      </c>
      <c r="M53" s="1034">
        <f>'산근2-0(하천기본계획-수량)'!$J$6</f>
        <v>2.7</v>
      </c>
      <c r="N53" s="1034"/>
      <c r="O53" s="1034"/>
      <c r="P53" s="1034">
        <f>'산근2-0(하천기본계획-수량)'!$R$6</f>
        <v>1</v>
      </c>
      <c r="Q53" s="1034">
        <f t="shared" si="2"/>
        <v>2.7</v>
      </c>
      <c r="R53" s="1024">
        <f t="shared" ref="R53:R58" si="3">$R$52</f>
        <v>1</v>
      </c>
    </row>
    <row r="54" spans="1:18" ht="26.45" customHeight="1">
      <c r="A54" s="1037"/>
      <c r="B54" s="1037"/>
      <c r="C54" s="1869" t="s">
        <v>918</v>
      </c>
      <c r="D54" s="1869"/>
      <c r="E54" s="1869"/>
      <c r="F54" s="1869"/>
      <c r="G54" s="1034" t="s">
        <v>872</v>
      </c>
      <c r="H54" s="1035">
        <v>0</v>
      </c>
      <c r="I54" s="1035">
        <v>0</v>
      </c>
      <c r="J54" s="1035">
        <v>0.1</v>
      </c>
      <c r="K54" s="1035">
        <v>0.1</v>
      </c>
      <c r="L54" s="1035">
        <v>0.2</v>
      </c>
      <c r="M54" s="1034">
        <f>'산근2-0(하천기본계획-수량)'!$J$6</f>
        <v>2.7</v>
      </c>
      <c r="N54" s="1034"/>
      <c r="O54" s="1034"/>
      <c r="P54" s="1034">
        <f>'산근2-0(하천기본계획-수량)'!$R$6</f>
        <v>1</v>
      </c>
      <c r="Q54" s="1034">
        <f t="shared" si="2"/>
        <v>2.7</v>
      </c>
      <c r="R54" s="1024">
        <f t="shared" si="3"/>
        <v>1</v>
      </c>
    </row>
    <row r="55" spans="1:18" ht="26.45" customHeight="1">
      <c r="A55" s="1037"/>
      <c r="B55" s="1037"/>
      <c r="C55" s="1869" t="s">
        <v>919</v>
      </c>
      <c r="D55" s="1869"/>
      <c r="E55" s="1869"/>
      <c r="F55" s="1869"/>
      <c r="G55" s="1034" t="s">
        <v>872</v>
      </c>
      <c r="H55" s="1035">
        <v>0</v>
      </c>
      <c r="I55" s="1035">
        <v>0</v>
      </c>
      <c r="J55" s="1035">
        <v>0.2</v>
      </c>
      <c r="K55" s="1035">
        <v>0.2</v>
      </c>
      <c r="L55" s="1035">
        <v>0.4</v>
      </c>
      <c r="M55" s="1034">
        <f>'산근2-0(하천기본계획-수량)'!$J$6</f>
        <v>2.7</v>
      </c>
      <c r="N55" s="1034"/>
      <c r="O55" s="1034"/>
      <c r="P55" s="1034">
        <f>'산근2-0(하천기본계획-수량)'!$R$6</f>
        <v>1</v>
      </c>
      <c r="Q55" s="1034">
        <f t="shared" si="2"/>
        <v>2.7</v>
      </c>
      <c r="R55" s="1024">
        <f t="shared" si="3"/>
        <v>1</v>
      </c>
    </row>
    <row r="56" spans="1:18" ht="26.45" customHeight="1">
      <c r="A56" s="1037"/>
      <c r="B56" s="1037"/>
      <c r="C56" s="1869" t="s">
        <v>920</v>
      </c>
      <c r="D56" s="1869"/>
      <c r="E56" s="1869"/>
      <c r="F56" s="1869"/>
      <c r="G56" s="1034" t="s">
        <v>872</v>
      </c>
      <c r="H56" s="1035">
        <v>0.1</v>
      </c>
      <c r="I56" s="1035">
        <v>0.1</v>
      </c>
      <c r="J56" s="1035">
        <v>1</v>
      </c>
      <c r="K56" s="1035">
        <v>1.1000000000000001</v>
      </c>
      <c r="L56" s="1035">
        <v>2.1</v>
      </c>
      <c r="M56" s="1034">
        <f>'산근2-0(하천기본계획-수량)'!$J$6</f>
        <v>2.7</v>
      </c>
      <c r="N56" s="1034"/>
      <c r="O56" s="1034"/>
      <c r="P56" s="1034">
        <f>'산근2-0(하천기본계획-수량)'!$R$6</f>
        <v>1</v>
      </c>
      <c r="Q56" s="1034">
        <f t="shared" si="2"/>
        <v>2.7</v>
      </c>
      <c r="R56" s="1024">
        <f t="shared" si="3"/>
        <v>1</v>
      </c>
    </row>
    <row r="57" spans="1:18" ht="26.45" customHeight="1">
      <c r="A57" s="1037"/>
      <c r="B57" s="1037"/>
      <c r="C57" s="1869" t="s">
        <v>921</v>
      </c>
      <c r="D57" s="1869"/>
      <c r="E57" s="1869"/>
      <c r="F57" s="1869"/>
      <c r="G57" s="1034" t="s">
        <v>872</v>
      </c>
      <c r="H57" s="1035">
        <v>0</v>
      </c>
      <c r="I57" s="1035">
        <v>0.1</v>
      </c>
      <c r="J57" s="1035">
        <v>0.4</v>
      </c>
      <c r="K57" s="1035">
        <v>0.5</v>
      </c>
      <c r="L57" s="1035">
        <v>0.9</v>
      </c>
      <c r="M57" s="1034">
        <f>'산근2-0(하천기본계획-수량)'!$J$6</f>
        <v>2.7</v>
      </c>
      <c r="N57" s="1034"/>
      <c r="O57" s="1034"/>
      <c r="P57" s="1034">
        <f>'산근2-0(하천기본계획-수량)'!$R$6</f>
        <v>1</v>
      </c>
      <c r="Q57" s="1034">
        <f t="shared" si="2"/>
        <v>2.7</v>
      </c>
      <c r="R57" s="1024">
        <f t="shared" si="3"/>
        <v>1</v>
      </c>
    </row>
    <row r="58" spans="1:18" ht="26.45" customHeight="1">
      <c r="A58" s="1037"/>
      <c r="B58" s="1037"/>
      <c r="C58" s="1869" t="s">
        <v>922</v>
      </c>
      <c r="D58" s="1869"/>
      <c r="E58" s="1869"/>
      <c r="F58" s="1869"/>
      <c r="G58" s="1034" t="s">
        <v>872</v>
      </c>
      <c r="H58" s="1035">
        <v>0</v>
      </c>
      <c r="I58" s="1035">
        <v>0</v>
      </c>
      <c r="J58" s="1035">
        <v>0.5</v>
      </c>
      <c r="K58" s="1035">
        <v>0.4</v>
      </c>
      <c r="L58" s="1035">
        <v>0.7</v>
      </c>
      <c r="M58" s="1034">
        <f>'산근2-0(하천기본계획-수량)'!$J$6</f>
        <v>2.7</v>
      </c>
      <c r="N58" s="1034"/>
      <c r="O58" s="1034"/>
      <c r="P58" s="1034">
        <f>'산근2-0(하천기본계획-수량)'!$R$6</f>
        <v>1</v>
      </c>
      <c r="Q58" s="1034">
        <f t="shared" si="2"/>
        <v>2.7</v>
      </c>
      <c r="R58" s="1024">
        <f t="shared" si="3"/>
        <v>1</v>
      </c>
    </row>
    <row r="59" spans="1:18" ht="26.45" customHeight="1">
      <c r="A59" s="1870" t="s">
        <v>923</v>
      </c>
      <c r="B59" s="1870"/>
      <c r="C59" s="1870"/>
      <c r="D59" s="1870"/>
      <c r="E59" s="1870"/>
      <c r="F59" s="1870"/>
      <c r="G59" s="1031"/>
      <c r="H59" s="1032"/>
      <c r="I59" s="1032"/>
      <c r="J59" s="1032"/>
      <c r="K59" s="1032"/>
      <c r="L59" s="1032"/>
      <c r="M59" s="1031"/>
      <c r="N59" s="1031"/>
      <c r="O59" s="1031"/>
      <c r="P59" s="1031"/>
      <c r="Q59" s="1031"/>
    </row>
    <row r="60" spans="1:18" ht="26.45" customHeight="1">
      <c r="A60" s="1037"/>
      <c r="B60" s="1869" t="s">
        <v>924</v>
      </c>
      <c r="C60" s="1869"/>
      <c r="D60" s="1869"/>
      <c r="E60" s="1869"/>
      <c r="F60" s="1869"/>
      <c r="G60" s="1034" t="s">
        <v>872</v>
      </c>
      <c r="H60" s="1035">
        <v>0</v>
      </c>
      <c r="I60" s="1035">
        <v>0.2</v>
      </c>
      <c r="J60" s="1035">
        <v>0.2</v>
      </c>
      <c r="K60" s="1035">
        <v>0.5</v>
      </c>
      <c r="L60" s="1035">
        <v>3.2</v>
      </c>
      <c r="M60" s="1034">
        <f>'산근2-0(하천기본계획-수량)'!$J$6</f>
        <v>2.7</v>
      </c>
      <c r="N60" s="1034"/>
      <c r="O60" s="1034">
        <f>'산근2-0(하천기본계획-수량)'!$P$6</f>
        <v>1</v>
      </c>
      <c r="P60" s="1034"/>
      <c r="Q60" s="1034">
        <f>ROUND(PRODUCT(M60:P60,R60),2)</f>
        <v>2.7</v>
      </c>
      <c r="R60" s="1024">
        <f>'하천기본계획(요율)'!H40</f>
        <v>1</v>
      </c>
    </row>
    <row r="61" spans="1:18" ht="26.45" customHeight="1">
      <c r="A61" s="1037"/>
      <c r="B61" s="1869" t="s">
        <v>925</v>
      </c>
      <c r="C61" s="1869"/>
      <c r="D61" s="1869"/>
      <c r="E61" s="1869"/>
      <c r="F61" s="1869"/>
      <c r="G61" s="1034" t="s">
        <v>872</v>
      </c>
      <c r="H61" s="1035">
        <v>0</v>
      </c>
      <c r="I61" s="1035">
        <v>0.2</v>
      </c>
      <c r="J61" s="1035">
        <v>0.2</v>
      </c>
      <c r="K61" s="1035">
        <v>0.5</v>
      </c>
      <c r="L61" s="1035">
        <v>3.2</v>
      </c>
      <c r="M61" s="1034">
        <f>'산근2-0(하천기본계획-수량)'!$J$6</f>
        <v>2.7</v>
      </c>
      <c r="N61" s="1034"/>
      <c r="O61" s="1034"/>
      <c r="P61" s="1034">
        <f>'산근2-0(하천기본계획-수량)'!$R$6</f>
        <v>1</v>
      </c>
      <c r="Q61" s="1034">
        <f>ROUND(PRODUCT(M61:P61,R61),2)</f>
        <v>2.7</v>
      </c>
      <c r="R61" s="1024">
        <f>'하천기본계획(요율)'!H41</f>
        <v>1</v>
      </c>
    </row>
    <row r="62" spans="1:18" ht="26.45" customHeight="1">
      <c r="A62" s="1037"/>
      <c r="B62" s="1869" t="s">
        <v>926</v>
      </c>
      <c r="C62" s="1869"/>
      <c r="D62" s="1869"/>
      <c r="E62" s="1869"/>
      <c r="F62" s="1869"/>
      <c r="G62" s="1034" t="s">
        <v>872</v>
      </c>
      <c r="H62" s="1035">
        <v>0</v>
      </c>
      <c r="I62" s="1035">
        <v>0</v>
      </c>
      <c r="J62" s="1035">
        <v>0.1</v>
      </c>
      <c r="K62" s="1035">
        <v>0.1</v>
      </c>
      <c r="L62" s="1035">
        <v>0.5</v>
      </c>
      <c r="M62" s="1034">
        <f>'산근2-0(하천기본계획-수량)'!$J$6</f>
        <v>2.7</v>
      </c>
      <c r="N62" s="1034"/>
      <c r="O62" s="1034"/>
      <c r="P62" s="1034">
        <f>'산근2-0(하천기본계획-수량)'!$R$6</f>
        <v>1</v>
      </c>
      <c r="Q62" s="1034">
        <f>ROUND(PRODUCT(M62:P62,R62),2)</f>
        <v>2.7</v>
      </c>
      <c r="R62" s="1024">
        <f>'하천기본계획(요율)'!H42</f>
        <v>1</v>
      </c>
    </row>
    <row r="63" spans="1:18" ht="17.25" customHeight="1"/>
    <row r="64" spans="1:18" ht="17.25" customHeight="1">
      <c r="A64" s="1024" t="s">
        <v>927</v>
      </c>
    </row>
    <row r="65" spans="1:17" ht="17.25" customHeight="1">
      <c r="A65" s="1864" t="s">
        <v>858</v>
      </c>
      <c r="B65" s="1864"/>
      <c r="C65" s="1864"/>
      <c r="D65" s="1864"/>
      <c r="E65" s="1864"/>
      <c r="F65" s="1864"/>
      <c r="G65" s="1864" t="s">
        <v>237</v>
      </c>
      <c r="H65" s="1864" t="s">
        <v>859</v>
      </c>
      <c r="I65" s="1864"/>
      <c r="J65" s="1864"/>
      <c r="K65" s="1864"/>
      <c r="L65" s="1864"/>
      <c r="M65" s="1865" t="s">
        <v>860</v>
      </c>
      <c r="N65" s="1864" t="s">
        <v>451</v>
      </c>
      <c r="O65" s="1864"/>
      <c r="P65" s="1864"/>
      <c r="Q65" s="1866" t="s">
        <v>861</v>
      </c>
    </row>
    <row r="66" spans="1:17" ht="17.25" customHeight="1">
      <c r="A66" s="1864"/>
      <c r="B66" s="1864"/>
      <c r="C66" s="1864"/>
      <c r="D66" s="1864"/>
      <c r="E66" s="1864"/>
      <c r="F66" s="1864"/>
      <c r="G66" s="1864"/>
      <c r="H66" s="1864" t="s">
        <v>534</v>
      </c>
      <c r="I66" s="1025" t="s">
        <v>862</v>
      </c>
      <c r="J66" s="1026" t="s">
        <v>863</v>
      </c>
      <c r="K66" s="1027" t="s">
        <v>864</v>
      </c>
      <c r="L66" s="1026" t="s">
        <v>865</v>
      </c>
      <c r="M66" s="1864"/>
      <c r="N66" s="1864" t="s">
        <v>866</v>
      </c>
      <c r="O66" s="1864" t="s">
        <v>867</v>
      </c>
      <c r="P66" s="1864" t="s">
        <v>868</v>
      </c>
      <c r="Q66" s="1867"/>
    </row>
    <row r="67" spans="1:17" ht="17.25" customHeight="1">
      <c r="A67" s="1864"/>
      <c r="B67" s="1864"/>
      <c r="C67" s="1864"/>
      <c r="D67" s="1864"/>
      <c r="E67" s="1864"/>
      <c r="F67" s="1864"/>
      <c r="G67" s="1864"/>
      <c r="H67" s="1864"/>
      <c r="I67" s="1028" t="s">
        <v>869</v>
      </c>
      <c r="J67" s="1030" t="s">
        <v>869</v>
      </c>
      <c r="K67" s="1029" t="s">
        <v>869</v>
      </c>
      <c r="L67" s="1030" t="s">
        <v>869</v>
      </c>
      <c r="M67" s="1864"/>
      <c r="N67" s="1864"/>
      <c r="O67" s="1864"/>
      <c r="P67" s="1864"/>
      <c r="Q67" s="1868"/>
    </row>
    <row r="68" spans="1:17" ht="26.45" customHeight="1">
      <c r="A68" s="1870" t="s">
        <v>929</v>
      </c>
      <c r="B68" s="1870"/>
      <c r="C68" s="1870"/>
      <c r="D68" s="1870"/>
      <c r="E68" s="1870"/>
      <c r="F68" s="1870"/>
      <c r="G68" s="1031"/>
      <c r="H68" s="1032"/>
      <c r="I68" s="1032"/>
      <c r="J68" s="1032"/>
      <c r="K68" s="1032"/>
      <c r="L68" s="1032"/>
      <c r="M68" s="1031"/>
      <c r="N68" s="1031"/>
      <c r="O68" s="1031"/>
      <c r="P68" s="1031"/>
      <c r="Q68" s="1033"/>
    </row>
    <row r="69" spans="1:17" ht="26.45" customHeight="1">
      <c r="A69" s="1869" t="s">
        <v>870</v>
      </c>
      <c r="B69" s="1869"/>
      <c r="C69" s="1869"/>
      <c r="D69" s="1869"/>
      <c r="E69" s="1869"/>
      <c r="F69" s="1869"/>
      <c r="G69" s="1034"/>
      <c r="H69" s="1035"/>
      <c r="I69" s="1035"/>
      <c r="J69" s="1035"/>
      <c r="K69" s="1035"/>
      <c r="L69" s="1035"/>
      <c r="M69" s="1034"/>
      <c r="N69" s="1034"/>
      <c r="O69" s="1034"/>
      <c r="P69" s="1034"/>
      <c r="Q69" s="1036"/>
    </row>
    <row r="70" spans="1:17" ht="26.45" customHeight="1">
      <c r="A70" s="1037"/>
      <c r="B70" s="1869" t="s">
        <v>871</v>
      </c>
      <c r="C70" s="1869"/>
      <c r="D70" s="1869"/>
      <c r="E70" s="1869"/>
      <c r="F70" s="1869"/>
      <c r="G70" s="1034" t="s">
        <v>872</v>
      </c>
      <c r="H70" s="1035">
        <f>H9*$R9</f>
        <v>0.1</v>
      </c>
      <c r="I70" s="1035">
        <f t="shared" ref="I70:L70" si="4">I9*$R$9</f>
        <v>0.1</v>
      </c>
      <c r="J70" s="1035">
        <f t="shared" si="4"/>
        <v>0.1</v>
      </c>
      <c r="K70" s="1035">
        <f t="shared" si="4"/>
        <v>0.1</v>
      </c>
      <c r="L70" s="1035">
        <f t="shared" si="4"/>
        <v>0</v>
      </c>
      <c r="M70" s="1034">
        <f>'산근2-0(하천기본계획-수량)'!$J$6</f>
        <v>2.7</v>
      </c>
      <c r="N70" s="1034"/>
      <c r="O70" s="1034">
        <f>'산근2-0(하천기본계획-수량)'!$P$6</f>
        <v>1</v>
      </c>
      <c r="P70" s="1034"/>
      <c r="Q70" s="1034">
        <f>ROUND(PRODUCT(M70:P70,R70),2)</f>
        <v>2.7</v>
      </c>
    </row>
    <row r="71" spans="1:17" ht="26.45" customHeight="1">
      <c r="A71" s="1869" t="s">
        <v>873</v>
      </c>
      <c r="B71" s="1869"/>
      <c r="C71" s="1869"/>
      <c r="D71" s="1869"/>
      <c r="E71" s="1869"/>
      <c r="F71" s="1869"/>
      <c r="G71" s="1034"/>
      <c r="H71" s="1035"/>
      <c r="I71" s="1035"/>
      <c r="J71" s="1035"/>
      <c r="K71" s="1035"/>
      <c r="L71" s="1035"/>
      <c r="M71" s="1034"/>
      <c r="N71" s="1034"/>
      <c r="O71" s="1034"/>
      <c r="P71" s="1034"/>
      <c r="Q71" s="1034"/>
    </row>
    <row r="72" spans="1:17" ht="26.45" customHeight="1">
      <c r="A72" s="1037"/>
      <c r="B72" s="1869" t="s">
        <v>874</v>
      </c>
      <c r="C72" s="1869"/>
      <c r="D72" s="1869"/>
      <c r="E72" s="1869"/>
      <c r="F72" s="1869"/>
      <c r="G72" s="1034" t="s">
        <v>875</v>
      </c>
      <c r="H72" s="1035">
        <f>H11*$R11</f>
        <v>0.3</v>
      </c>
      <c r="I72" s="1035">
        <f t="shared" ref="I72:L79" si="5">I11*$R11</f>
        <v>0.5</v>
      </c>
      <c r="J72" s="1035">
        <f t="shared" si="5"/>
        <v>0.5</v>
      </c>
      <c r="K72" s="1035">
        <f t="shared" si="5"/>
        <v>0.6</v>
      </c>
      <c r="L72" s="1035">
        <f t="shared" si="5"/>
        <v>0.7</v>
      </c>
      <c r="M72" s="1034">
        <f>'산근2-0(하천기본계획-수량)'!$L$6</f>
        <v>1.68</v>
      </c>
      <c r="N72" s="1034">
        <f>'산근2-0(하천기본계획-수량)'!$O$6</f>
        <v>0.8</v>
      </c>
      <c r="O72" s="1034"/>
      <c r="P72" s="1034"/>
      <c r="Q72" s="1034">
        <f>ROUND(PRODUCT(M72:P72,R72),2)</f>
        <v>1.34</v>
      </c>
    </row>
    <row r="73" spans="1:17" ht="26.45" customHeight="1">
      <c r="A73" s="1037"/>
      <c r="B73" s="1869" t="s">
        <v>876</v>
      </c>
      <c r="C73" s="1869"/>
      <c r="D73" s="1869"/>
      <c r="E73" s="1869"/>
      <c r="F73" s="1869"/>
      <c r="G73" s="1034"/>
      <c r="H73" s="1035"/>
      <c r="I73" s="1035"/>
      <c r="J73" s="1035"/>
      <c r="K73" s="1035"/>
      <c r="L73" s="1035"/>
      <c r="M73" s="1034"/>
      <c r="N73" s="1034"/>
      <c r="O73" s="1034"/>
      <c r="P73" s="1034"/>
      <c r="Q73" s="1034"/>
    </row>
    <row r="74" spans="1:17" ht="26.45" customHeight="1">
      <c r="A74" s="1037"/>
      <c r="B74" s="1037"/>
      <c r="C74" s="1869" t="s">
        <v>877</v>
      </c>
      <c r="D74" s="1869"/>
      <c r="E74" s="1869"/>
      <c r="F74" s="1869"/>
      <c r="G74" s="1034" t="s">
        <v>872</v>
      </c>
      <c r="H74" s="1035">
        <f t="shared" ref="H74:H79" si="6">H13*$R13</f>
        <v>0.1</v>
      </c>
      <c r="I74" s="1035">
        <f t="shared" si="5"/>
        <v>0.2</v>
      </c>
      <c r="J74" s="1035">
        <f t="shared" si="5"/>
        <v>0.2</v>
      </c>
      <c r="K74" s="1035">
        <f t="shared" si="5"/>
        <v>0.1</v>
      </c>
      <c r="L74" s="1035">
        <f t="shared" si="5"/>
        <v>0.1</v>
      </c>
      <c r="M74" s="1034">
        <f>'산근2-0(하천기본계획-수량)'!$J$6</f>
        <v>2.7</v>
      </c>
      <c r="N74" s="1034"/>
      <c r="O74" s="1034">
        <f>'산근2-0(하천기본계획-수량)'!$P$6</f>
        <v>1</v>
      </c>
      <c r="P74" s="1034"/>
      <c r="Q74" s="1034">
        <f t="shared" ref="Q74:Q79" si="7">ROUND(PRODUCT(M74:P74,R74),2)</f>
        <v>2.7</v>
      </c>
    </row>
    <row r="75" spans="1:17" ht="26.45" customHeight="1">
      <c r="A75" s="1037"/>
      <c r="B75" s="1037"/>
      <c r="C75" s="1869" t="s">
        <v>878</v>
      </c>
      <c r="D75" s="1869"/>
      <c r="E75" s="1869"/>
      <c r="F75" s="1869"/>
      <c r="G75" s="1034" t="s">
        <v>875</v>
      </c>
      <c r="H75" s="1035">
        <f t="shared" si="6"/>
        <v>0.1</v>
      </c>
      <c r="I75" s="1035">
        <f t="shared" si="5"/>
        <v>0.2</v>
      </c>
      <c r="J75" s="1035">
        <f t="shared" si="5"/>
        <v>0.3</v>
      </c>
      <c r="K75" s="1035">
        <f t="shared" si="5"/>
        <v>0.3</v>
      </c>
      <c r="L75" s="1035">
        <f t="shared" si="5"/>
        <v>0.3</v>
      </c>
      <c r="M75" s="1034">
        <f>'산근2-0(하천기본계획-수량)'!$L$6</f>
        <v>1.68</v>
      </c>
      <c r="N75" s="1034">
        <f>'산근2-0(하천기본계획-수량)'!$O$6</f>
        <v>0.8</v>
      </c>
      <c r="O75" s="1034"/>
      <c r="P75" s="1034"/>
      <c r="Q75" s="1034">
        <f t="shared" si="7"/>
        <v>1.34</v>
      </c>
    </row>
    <row r="76" spans="1:17" ht="26.45" customHeight="1">
      <c r="A76" s="1037"/>
      <c r="B76" s="1037"/>
      <c r="C76" s="1869" t="s">
        <v>879</v>
      </c>
      <c r="D76" s="1869"/>
      <c r="E76" s="1869"/>
      <c r="F76" s="1869"/>
      <c r="G76" s="1034" t="s">
        <v>875</v>
      </c>
      <c r="H76" s="1035">
        <f t="shared" si="6"/>
        <v>0.1</v>
      </c>
      <c r="I76" s="1035">
        <f t="shared" si="5"/>
        <v>0.1</v>
      </c>
      <c r="J76" s="1035">
        <f t="shared" si="5"/>
        <v>0.2</v>
      </c>
      <c r="K76" s="1035">
        <f t="shared" si="5"/>
        <v>0.3</v>
      </c>
      <c r="L76" s="1035">
        <f t="shared" si="5"/>
        <v>0.4</v>
      </c>
      <c r="M76" s="1034">
        <f>'산근2-0(하천기본계획-수량)'!$L$6</f>
        <v>1.68</v>
      </c>
      <c r="N76" s="1034">
        <f>'산근2-0(하천기본계획-수량)'!$O$6</f>
        <v>0.8</v>
      </c>
      <c r="O76" s="1034"/>
      <c r="P76" s="1034"/>
      <c r="Q76" s="1034">
        <f t="shared" si="7"/>
        <v>1.34</v>
      </c>
    </row>
    <row r="77" spans="1:17" ht="26.45" customHeight="1">
      <c r="A77" s="1037"/>
      <c r="B77" s="1037"/>
      <c r="C77" s="1869" t="s">
        <v>880</v>
      </c>
      <c r="D77" s="1869"/>
      <c r="E77" s="1869"/>
      <c r="F77" s="1869"/>
      <c r="G77" s="1034" t="s">
        <v>875</v>
      </c>
      <c r="H77" s="1035">
        <f t="shared" si="6"/>
        <v>0.2</v>
      </c>
      <c r="I77" s="1035">
        <f t="shared" si="5"/>
        <v>0.2</v>
      </c>
      <c r="J77" s="1035">
        <f t="shared" si="5"/>
        <v>0.3</v>
      </c>
      <c r="K77" s="1035">
        <f t="shared" si="5"/>
        <v>0.3</v>
      </c>
      <c r="L77" s="1035">
        <f t="shared" si="5"/>
        <v>0.4</v>
      </c>
      <c r="M77" s="1034">
        <f>'산근2-0(하천기본계획-수량)'!$L$6</f>
        <v>1.68</v>
      </c>
      <c r="N77" s="1034">
        <f>'산근2-0(하천기본계획-수량)'!$O$6</f>
        <v>0.8</v>
      </c>
      <c r="O77" s="1034"/>
      <c r="P77" s="1034"/>
      <c r="Q77" s="1034">
        <f t="shared" si="7"/>
        <v>1.34</v>
      </c>
    </row>
    <row r="78" spans="1:17" ht="26.45" customHeight="1">
      <c r="A78" s="1037"/>
      <c r="B78" s="1037"/>
      <c r="C78" s="1869" t="s">
        <v>881</v>
      </c>
      <c r="D78" s="1869"/>
      <c r="E78" s="1869"/>
      <c r="F78" s="1869"/>
      <c r="G78" s="1034" t="s">
        <v>875</v>
      </c>
      <c r="H78" s="1035">
        <f t="shared" si="6"/>
        <v>0.1</v>
      </c>
      <c r="I78" s="1035">
        <f t="shared" si="5"/>
        <v>0.2</v>
      </c>
      <c r="J78" s="1035">
        <f t="shared" si="5"/>
        <v>0.3</v>
      </c>
      <c r="K78" s="1035">
        <f t="shared" si="5"/>
        <v>0.3</v>
      </c>
      <c r="L78" s="1035">
        <f t="shared" si="5"/>
        <v>0.6</v>
      </c>
      <c r="M78" s="1034">
        <f>'산근2-0(하천기본계획-수량)'!$L$6</f>
        <v>1.68</v>
      </c>
      <c r="N78" s="1034">
        <f>'산근2-0(하천기본계획-수량)'!$O$6</f>
        <v>0.8</v>
      </c>
      <c r="O78" s="1034"/>
      <c r="P78" s="1034"/>
      <c r="Q78" s="1034">
        <f t="shared" si="7"/>
        <v>1.34</v>
      </c>
    </row>
    <row r="79" spans="1:17" ht="26.45" customHeight="1">
      <c r="A79" s="1037"/>
      <c r="B79" s="1037"/>
      <c r="C79" s="1869" t="s">
        <v>882</v>
      </c>
      <c r="D79" s="1869"/>
      <c r="E79" s="1869"/>
      <c r="F79" s="1869"/>
      <c r="G79" s="1034" t="s">
        <v>872</v>
      </c>
      <c r="H79" s="1035">
        <f t="shared" si="6"/>
        <v>0.2</v>
      </c>
      <c r="I79" s="1035">
        <f t="shared" si="5"/>
        <v>0.3</v>
      </c>
      <c r="J79" s="1035">
        <f t="shared" si="5"/>
        <v>0.3</v>
      </c>
      <c r="K79" s="1035">
        <f t="shared" si="5"/>
        <v>0.5</v>
      </c>
      <c r="L79" s="1035">
        <f t="shared" si="5"/>
        <v>0.4</v>
      </c>
      <c r="M79" s="1034">
        <f>'산근2-0(하천기본계획-수량)'!$J$6</f>
        <v>2.7</v>
      </c>
      <c r="N79" s="1034"/>
      <c r="O79" s="1034">
        <f>'산근2-0(하천기본계획-수량)'!$P$6</f>
        <v>1</v>
      </c>
      <c r="P79" s="1034"/>
      <c r="Q79" s="1034">
        <f t="shared" si="7"/>
        <v>2.7</v>
      </c>
    </row>
    <row r="80" spans="1:17" ht="26.45" customHeight="1">
      <c r="A80" s="1869" t="s">
        <v>883</v>
      </c>
      <c r="B80" s="1869"/>
      <c r="C80" s="1869"/>
      <c r="D80" s="1869"/>
      <c r="E80" s="1869"/>
      <c r="F80" s="1869"/>
      <c r="G80" s="1034"/>
      <c r="H80" s="1035"/>
      <c r="I80" s="1035"/>
      <c r="J80" s="1035"/>
      <c r="K80" s="1035"/>
      <c r="L80" s="1035"/>
      <c r="M80" s="1034"/>
      <c r="N80" s="1034"/>
      <c r="O80" s="1034"/>
      <c r="P80" s="1034"/>
      <c r="Q80" s="1034"/>
    </row>
    <row r="81" spans="1:17" ht="26.45" customHeight="1">
      <c r="A81" s="1037"/>
      <c r="B81" s="1869" t="s">
        <v>884</v>
      </c>
      <c r="C81" s="1869"/>
      <c r="D81" s="1869"/>
      <c r="E81" s="1869"/>
      <c r="F81" s="1869"/>
      <c r="G81" s="1034"/>
      <c r="H81" s="1035"/>
      <c r="I81" s="1035"/>
      <c r="J81" s="1035"/>
      <c r="K81" s="1035"/>
      <c r="L81" s="1035"/>
      <c r="M81" s="1034"/>
      <c r="N81" s="1034"/>
      <c r="O81" s="1034"/>
      <c r="P81" s="1034"/>
      <c r="Q81" s="1034"/>
    </row>
    <row r="82" spans="1:17" ht="26.45" customHeight="1">
      <c r="A82" s="1037"/>
      <c r="B82" s="1037"/>
      <c r="C82" s="1869" t="s">
        <v>885</v>
      </c>
      <c r="D82" s="1869"/>
      <c r="E82" s="1869"/>
      <c r="F82" s="1869"/>
      <c r="G82" s="1034" t="s">
        <v>875</v>
      </c>
      <c r="H82" s="1035">
        <f>H21*$R21</f>
        <v>0.1</v>
      </c>
      <c r="I82" s="1035">
        <f t="shared" ref="I82:L86" si="8">I21*$R21</f>
        <v>0.2</v>
      </c>
      <c r="J82" s="1035">
        <f t="shared" si="8"/>
        <v>0.3</v>
      </c>
      <c r="K82" s="1035">
        <f t="shared" si="8"/>
        <v>0.4</v>
      </c>
      <c r="L82" s="1035">
        <f t="shared" si="8"/>
        <v>0.3</v>
      </c>
      <c r="M82" s="1034">
        <f>'산근2-0(하천기본계획-수량)'!$L$6</f>
        <v>1.68</v>
      </c>
      <c r="N82" s="1034">
        <f>'산근2-0(하천기본계획-수량)'!$O$6</f>
        <v>0.8</v>
      </c>
      <c r="O82" s="1034"/>
      <c r="P82" s="1034"/>
      <c r="Q82" s="1034">
        <f>ROUND(PRODUCT(M82:P82,R82),2)</f>
        <v>1.34</v>
      </c>
    </row>
    <row r="83" spans="1:17" ht="26.45" customHeight="1">
      <c r="A83" s="1037"/>
      <c r="B83" s="1037"/>
      <c r="C83" s="1869" t="s">
        <v>886</v>
      </c>
      <c r="D83" s="1869"/>
      <c r="E83" s="1869"/>
      <c r="F83" s="1869"/>
      <c r="G83" s="1034" t="s">
        <v>872</v>
      </c>
      <c r="H83" s="1035">
        <f>H22*$R22</f>
        <v>0.6</v>
      </c>
      <c r="I83" s="1035">
        <f t="shared" si="8"/>
        <v>1.1000000000000001</v>
      </c>
      <c r="J83" s="1035">
        <f t="shared" si="8"/>
        <v>2.1</v>
      </c>
      <c r="K83" s="1035">
        <f t="shared" si="8"/>
        <v>2.6</v>
      </c>
      <c r="L83" s="1035">
        <f t="shared" si="8"/>
        <v>2.4</v>
      </c>
      <c r="M83" s="1034">
        <f>'산근2-0(하천기본계획-수량)'!$J$6</f>
        <v>2.7</v>
      </c>
      <c r="N83" s="1034"/>
      <c r="O83" s="1034">
        <f>'산근2-0(하천기본계획-수량)'!$P$6</f>
        <v>1</v>
      </c>
      <c r="P83" s="1034"/>
      <c r="Q83" s="1034">
        <f>ROUND(PRODUCT(M83:P83,R83),2)</f>
        <v>2.7</v>
      </c>
    </row>
    <row r="84" spans="1:17" ht="26.45" customHeight="1">
      <c r="A84" s="1037"/>
      <c r="B84" s="1037"/>
      <c r="C84" s="1869" t="s">
        <v>887</v>
      </c>
      <c r="D84" s="1869"/>
      <c r="E84" s="1869"/>
      <c r="F84" s="1869"/>
      <c r="G84" s="1034" t="s">
        <v>872</v>
      </c>
      <c r="H84" s="1035">
        <f>H23*$R23</f>
        <v>0.2</v>
      </c>
      <c r="I84" s="1035">
        <f t="shared" si="8"/>
        <v>0.4</v>
      </c>
      <c r="J84" s="1035">
        <f t="shared" si="8"/>
        <v>0.6</v>
      </c>
      <c r="K84" s="1035">
        <f t="shared" si="8"/>
        <v>0.8</v>
      </c>
      <c r="L84" s="1035">
        <f t="shared" si="8"/>
        <v>0.7</v>
      </c>
      <c r="M84" s="1034">
        <f>'산근2-0(하천기본계획-수량)'!$J$6</f>
        <v>2.7</v>
      </c>
      <c r="N84" s="1034"/>
      <c r="O84" s="1034">
        <f>'산근2-0(하천기본계획-수량)'!$P$6</f>
        <v>1</v>
      </c>
      <c r="P84" s="1034"/>
      <c r="Q84" s="1034">
        <f>ROUND(PRODUCT(M84:P84,R84),2)</f>
        <v>2.7</v>
      </c>
    </row>
    <row r="85" spans="1:17" ht="26.45" customHeight="1">
      <c r="A85" s="1037"/>
      <c r="B85" s="1037"/>
      <c r="C85" s="1869" t="s">
        <v>888</v>
      </c>
      <c r="D85" s="1869"/>
      <c r="E85" s="1869"/>
      <c r="F85" s="1869"/>
      <c r="G85" s="1034" t="s">
        <v>872</v>
      </c>
      <c r="H85" s="1035">
        <f>H24*$R24</f>
        <v>0.5</v>
      </c>
      <c r="I85" s="1035">
        <f t="shared" si="8"/>
        <v>0.5</v>
      </c>
      <c r="J85" s="1035">
        <f t="shared" si="8"/>
        <v>1.4</v>
      </c>
      <c r="K85" s="1035">
        <f t="shared" si="8"/>
        <v>2.4</v>
      </c>
      <c r="L85" s="1035">
        <f t="shared" si="8"/>
        <v>1.8</v>
      </c>
      <c r="M85" s="1034">
        <f>'산근2-0(하천기본계획-수량)'!$J$6</f>
        <v>2.7</v>
      </c>
      <c r="N85" s="1034"/>
      <c r="O85" s="1034">
        <f>'산근2-0(하천기본계획-수량)'!$P$6</f>
        <v>1</v>
      </c>
      <c r="P85" s="1034"/>
      <c r="Q85" s="1034">
        <f>ROUND(PRODUCT(M85:P85,R85),2)</f>
        <v>2.7</v>
      </c>
    </row>
    <row r="86" spans="1:17" ht="26.45" customHeight="1">
      <c r="A86" s="1037"/>
      <c r="B86" s="1037"/>
      <c r="C86" s="1869" t="s">
        <v>889</v>
      </c>
      <c r="D86" s="1869"/>
      <c r="E86" s="1869"/>
      <c r="F86" s="1869"/>
      <c r="G86" s="1034" t="s">
        <v>872</v>
      </c>
      <c r="H86" s="1035">
        <f>H25*$R25</f>
        <v>0.6</v>
      </c>
      <c r="I86" s="1035">
        <f t="shared" si="8"/>
        <v>1.7</v>
      </c>
      <c r="J86" s="1035">
        <f t="shared" si="8"/>
        <v>2.7</v>
      </c>
      <c r="K86" s="1035">
        <f t="shared" si="8"/>
        <v>3</v>
      </c>
      <c r="L86" s="1035">
        <f t="shared" si="8"/>
        <v>2.8</v>
      </c>
      <c r="M86" s="1034">
        <f>'산근2-0(하천기본계획-수량)'!$J$6</f>
        <v>2.7</v>
      </c>
      <c r="N86" s="1034"/>
      <c r="O86" s="1034">
        <f>'산근2-0(하천기본계획-수량)'!$P$6</f>
        <v>1</v>
      </c>
      <c r="P86" s="1034"/>
      <c r="Q86" s="1034">
        <f>ROUND(PRODUCT(M86:P86,R86),2)</f>
        <v>2.7</v>
      </c>
    </row>
    <row r="87" spans="1:17" ht="26.45" customHeight="1">
      <c r="A87" s="1037"/>
      <c r="B87" s="1869" t="s">
        <v>890</v>
      </c>
      <c r="C87" s="1869"/>
      <c r="D87" s="1869"/>
      <c r="E87" s="1869"/>
      <c r="F87" s="1869"/>
      <c r="G87" s="1034"/>
      <c r="H87" s="1035"/>
      <c r="I87" s="1035"/>
      <c r="J87" s="1035"/>
      <c r="K87" s="1035"/>
      <c r="L87" s="1035"/>
      <c r="M87" s="1034"/>
      <c r="N87" s="1034"/>
      <c r="O87" s="1034"/>
      <c r="P87" s="1034"/>
      <c r="Q87" s="1034"/>
    </row>
    <row r="88" spans="1:17" ht="26.45" customHeight="1">
      <c r="A88" s="1037"/>
      <c r="B88" s="1037"/>
      <c r="C88" s="1869" t="s">
        <v>891</v>
      </c>
      <c r="D88" s="1869"/>
      <c r="E88" s="1869"/>
      <c r="F88" s="1869"/>
      <c r="G88" s="1034" t="s">
        <v>875</v>
      </c>
      <c r="H88" s="1035">
        <f>H27*$R27</f>
        <v>0.3</v>
      </c>
      <c r="I88" s="1035">
        <f t="shared" ref="I88:L91" si="9">I27*$R27</f>
        <v>0.6</v>
      </c>
      <c r="J88" s="1035">
        <f t="shared" si="9"/>
        <v>0.6</v>
      </c>
      <c r="K88" s="1035">
        <f t="shared" si="9"/>
        <v>0.9</v>
      </c>
      <c r="L88" s="1035">
        <f t="shared" si="9"/>
        <v>0.9</v>
      </c>
      <c r="M88" s="1034">
        <f>'산근2-0(하천기본계획-수량)'!$L$6</f>
        <v>1.68</v>
      </c>
      <c r="N88" s="1034">
        <f>'산근2-0(하천기본계획-수량)'!$O$6</f>
        <v>0.8</v>
      </c>
      <c r="O88" s="1034"/>
      <c r="P88" s="1034"/>
      <c r="Q88" s="1034">
        <f>ROUND(PRODUCT(M88:P88,R88),2)</f>
        <v>1.34</v>
      </c>
    </row>
    <row r="89" spans="1:17" ht="26.45" customHeight="1">
      <c r="A89" s="1037"/>
      <c r="B89" s="1037"/>
      <c r="C89" s="1869" t="s">
        <v>892</v>
      </c>
      <c r="D89" s="1869"/>
      <c r="E89" s="1869"/>
      <c r="F89" s="1869"/>
      <c r="G89" s="1034" t="s">
        <v>872</v>
      </c>
      <c r="H89" s="1035">
        <f>H28*$R28</f>
        <v>0.1</v>
      </c>
      <c r="I89" s="1035">
        <f t="shared" si="9"/>
        <v>0.1</v>
      </c>
      <c r="J89" s="1035">
        <f t="shared" si="9"/>
        <v>0.3</v>
      </c>
      <c r="K89" s="1035">
        <f t="shared" si="9"/>
        <v>0.4</v>
      </c>
      <c r="L89" s="1035">
        <f t="shared" si="9"/>
        <v>0.2</v>
      </c>
      <c r="M89" s="1034">
        <f>'산근2-0(하천기본계획-수량)'!$J$6</f>
        <v>2.7</v>
      </c>
      <c r="N89" s="1034"/>
      <c r="O89" s="1034">
        <f>'산근2-0(하천기본계획-수량)'!$P$6</f>
        <v>1</v>
      </c>
      <c r="P89" s="1034"/>
      <c r="Q89" s="1034">
        <f>ROUND(PRODUCT(M89:P89,R89),2)</f>
        <v>2.7</v>
      </c>
    </row>
    <row r="90" spans="1:17" ht="26.45" customHeight="1">
      <c r="A90" s="1037"/>
      <c r="B90" s="1037"/>
      <c r="C90" s="1869" t="s">
        <v>893</v>
      </c>
      <c r="D90" s="1869"/>
      <c r="E90" s="1869"/>
      <c r="F90" s="1869"/>
      <c r="G90" s="1034" t="s">
        <v>875</v>
      </c>
      <c r="H90" s="1035">
        <f>H29*$R29</f>
        <v>0.4</v>
      </c>
      <c r="I90" s="1035">
        <f t="shared" si="9"/>
        <v>0.6</v>
      </c>
      <c r="J90" s="1035">
        <f t="shared" si="9"/>
        <v>1</v>
      </c>
      <c r="K90" s="1035">
        <f t="shared" si="9"/>
        <v>1</v>
      </c>
      <c r="L90" s="1035">
        <f t="shared" si="9"/>
        <v>1</v>
      </c>
      <c r="M90" s="1034">
        <f>'산근2-0(하천기본계획-수량)'!$L$6</f>
        <v>1.68</v>
      </c>
      <c r="N90" s="1034">
        <f>'산근2-0(하천기본계획-수량)'!$O$6</f>
        <v>0.8</v>
      </c>
      <c r="O90" s="1034"/>
      <c r="P90" s="1034"/>
      <c r="Q90" s="1034">
        <f>ROUND(PRODUCT(M90:P90,R90),2)</f>
        <v>1.34</v>
      </c>
    </row>
    <row r="91" spans="1:17" ht="26.45" customHeight="1">
      <c r="A91" s="1037"/>
      <c r="B91" s="1869" t="s">
        <v>894</v>
      </c>
      <c r="C91" s="1869"/>
      <c r="D91" s="1869"/>
      <c r="E91" s="1869"/>
      <c r="F91" s="1869"/>
      <c r="G91" s="1034" t="s">
        <v>872</v>
      </c>
      <c r="H91" s="1035">
        <f>H30*$R30</f>
        <v>0.1</v>
      </c>
      <c r="I91" s="1035">
        <f t="shared" si="9"/>
        <v>0.1</v>
      </c>
      <c r="J91" s="1035">
        <f t="shared" si="9"/>
        <v>0.4</v>
      </c>
      <c r="K91" s="1035">
        <f t="shared" si="9"/>
        <v>0.2</v>
      </c>
      <c r="L91" s="1035">
        <f t="shared" si="9"/>
        <v>0.2</v>
      </c>
      <c r="M91" s="1034">
        <f>'산근2-0(하천기본계획-수량)'!$J$6</f>
        <v>2.7</v>
      </c>
      <c r="N91" s="1034"/>
      <c r="O91" s="1034">
        <f>'산근2-0(하천기본계획-수량)'!$P$6</f>
        <v>1</v>
      </c>
      <c r="P91" s="1034"/>
      <c r="Q91" s="1034">
        <f>ROUND(PRODUCT(M91:P91,R91),2)</f>
        <v>2.7</v>
      </c>
    </row>
    <row r="92" spans="1:17" ht="26.45" customHeight="1">
      <c r="A92" s="1869" t="s">
        <v>895</v>
      </c>
      <c r="B92" s="1869"/>
      <c r="C92" s="1869"/>
      <c r="D92" s="1869"/>
      <c r="E92" s="1869"/>
      <c r="F92" s="1869"/>
      <c r="G92" s="1034"/>
      <c r="H92" s="1035"/>
      <c r="I92" s="1035"/>
      <c r="J92" s="1035"/>
      <c r="K92" s="1035"/>
      <c r="L92" s="1035"/>
      <c r="M92" s="1034"/>
      <c r="N92" s="1034"/>
      <c r="O92" s="1034"/>
      <c r="P92" s="1034"/>
      <c r="Q92" s="1034"/>
    </row>
    <row r="93" spans="1:17" ht="26.45" customHeight="1">
      <c r="A93" s="1037"/>
      <c r="B93" s="1869" t="s">
        <v>896</v>
      </c>
      <c r="C93" s="1869"/>
      <c r="D93" s="1869"/>
      <c r="E93" s="1869"/>
      <c r="F93" s="1869"/>
      <c r="G93" s="1034" t="s">
        <v>872</v>
      </c>
      <c r="H93" s="1035">
        <f>H32*$R32</f>
        <v>1.4</v>
      </c>
      <c r="I93" s="1035">
        <f t="shared" ref="I93:L101" si="10">I32*$R32</f>
        <v>2</v>
      </c>
      <c r="J93" s="1035">
        <f t="shared" si="10"/>
        <v>3.5</v>
      </c>
      <c r="K93" s="1035">
        <f t="shared" si="10"/>
        <v>4.9000000000000004</v>
      </c>
      <c r="L93" s="1035">
        <f t="shared" si="10"/>
        <v>4.4000000000000004</v>
      </c>
      <c r="M93" s="1034">
        <f>'산근2-0(하천기본계획-수량)'!$J$6</f>
        <v>2.7</v>
      </c>
      <c r="N93" s="1034"/>
      <c r="O93" s="1034">
        <f>'산근2-0(하천기본계획-수량)'!$P$6</f>
        <v>1</v>
      </c>
      <c r="P93" s="1034"/>
      <c r="Q93" s="1034">
        <f>ROUND(PRODUCT(M93:P93,R93),2)</f>
        <v>2.7</v>
      </c>
    </row>
    <row r="94" spans="1:17" ht="26.45" customHeight="1">
      <c r="A94" s="1037"/>
      <c r="B94" s="1869" t="s">
        <v>897</v>
      </c>
      <c r="C94" s="1869"/>
      <c r="D94" s="1869"/>
      <c r="E94" s="1869"/>
      <c r="F94" s="1869"/>
      <c r="G94" s="1034" t="s">
        <v>875</v>
      </c>
      <c r="H94" s="1035">
        <f>H33*$R33</f>
        <v>1.3</v>
      </c>
      <c r="I94" s="1035">
        <f t="shared" si="10"/>
        <v>2.6</v>
      </c>
      <c r="J94" s="1035">
        <f t="shared" si="10"/>
        <v>4.0999999999999996</v>
      </c>
      <c r="K94" s="1035">
        <f t="shared" si="10"/>
        <v>4.0999999999999996</v>
      </c>
      <c r="L94" s="1035">
        <f t="shared" si="10"/>
        <v>3.3</v>
      </c>
      <c r="M94" s="1034">
        <f>'산근2-0(하천기본계획-수량)'!$L$6</f>
        <v>1.68</v>
      </c>
      <c r="N94" s="1034">
        <f>'산근2-0(하천기본계획-수량)'!$O$6</f>
        <v>0.8</v>
      </c>
      <c r="O94" s="1034"/>
      <c r="P94" s="1034"/>
      <c r="Q94" s="1034">
        <f>ROUND(PRODUCT(M94:P94,R94),2)</f>
        <v>1.34</v>
      </c>
    </row>
    <row r="95" spans="1:17" ht="26.45" customHeight="1">
      <c r="A95" s="1037"/>
      <c r="B95" s="1869" t="s">
        <v>898</v>
      </c>
      <c r="C95" s="1869"/>
      <c r="D95" s="1869"/>
      <c r="E95" s="1869"/>
      <c r="F95" s="1869"/>
      <c r="G95" s="1034" t="s">
        <v>875</v>
      </c>
      <c r="H95" s="1035">
        <f>H34*$R34</f>
        <v>1.3</v>
      </c>
      <c r="I95" s="1035">
        <f t="shared" si="10"/>
        <v>2.4</v>
      </c>
      <c r="J95" s="1035">
        <f t="shared" si="10"/>
        <v>3.6</v>
      </c>
      <c r="K95" s="1035">
        <f t="shared" si="10"/>
        <v>4</v>
      </c>
      <c r="L95" s="1035">
        <f t="shared" si="10"/>
        <v>3.6</v>
      </c>
      <c r="M95" s="1034">
        <f>'산근2-0(하천기본계획-수량)'!$L$6</f>
        <v>1.68</v>
      </c>
      <c r="N95" s="1034">
        <f>'산근2-0(하천기본계획-수량)'!$O$6</f>
        <v>0.8</v>
      </c>
      <c r="O95" s="1034"/>
      <c r="P95" s="1034"/>
      <c r="Q95" s="1034">
        <f>ROUND(PRODUCT(M95:P95,R95),2)</f>
        <v>1.34</v>
      </c>
    </row>
    <row r="96" spans="1:17" ht="26.45" customHeight="1">
      <c r="A96" s="1037"/>
      <c r="B96" s="1869" t="s">
        <v>899</v>
      </c>
      <c r="C96" s="1869"/>
      <c r="D96" s="1869"/>
      <c r="E96" s="1869"/>
      <c r="F96" s="1869"/>
      <c r="G96" s="1034" t="s">
        <v>872</v>
      </c>
      <c r="H96" s="1035">
        <f>H35*$R35</f>
        <v>0.6</v>
      </c>
      <c r="I96" s="1035">
        <f t="shared" si="10"/>
        <v>0.9</v>
      </c>
      <c r="J96" s="1035">
        <f t="shared" si="10"/>
        <v>1.9</v>
      </c>
      <c r="K96" s="1035">
        <f t="shared" si="10"/>
        <v>2.2999999999999998</v>
      </c>
      <c r="L96" s="1035">
        <f t="shared" si="10"/>
        <v>1.4</v>
      </c>
      <c r="M96" s="1034">
        <f>'산근2-0(하천기본계획-수량)'!$J$6</f>
        <v>2.7</v>
      </c>
      <c r="N96" s="1034"/>
      <c r="O96" s="1034">
        <f>'산근2-0(하천기본계획-수량)'!$P$6</f>
        <v>1</v>
      </c>
      <c r="P96" s="1034"/>
      <c r="Q96" s="1034">
        <f>ROUND(PRODUCT(M96:P96,R96),2)</f>
        <v>2.7</v>
      </c>
    </row>
    <row r="97" spans="1:17" ht="26.45" customHeight="1">
      <c r="A97" s="1869" t="s">
        <v>900</v>
      </c>
      <c r="B97" s="1869"/>
      <c r="C97" s="1869"/>
      <c r="D97" s="1869"/>
      <c r="E97" s="1869"/>
      <c r="F97" s="1869"/>
      <c r="G97" s="1034"/>
      <c r="H97" s="1035"/>
      <c r="I97" s="1035"/>
      <c r="J97" s="1035"/>
      <c r="K97" s="1035"/>
      <c r="L97" s="1035"/>
      <c r="M97" s="1034"/>
      <c r="N97" s="1034"/>
      <c r="O97" s="1034"/>
      <c r="P97" s="1034"/>
      <c r="Q97" s="1034"/>
    </row>
    <row r="98" spans="1:17" ht="26.45" customHeight="1">
      <c r="A98" s="1037"/>
      <c r="B98" s="1869" t="s">
        <v>901</v>
      </c>
      <c r="C98" s="1869"/>
      <c r="D98" s="1869"/>
      <c r="E98" s="1869"/>
      <c r="F98" s="1869"/>
      <c r="G98" s="1034" t="s">
        <v>872</v>
      </c>
      <c r="H98" s="1035">
        <f>H37*$R37</f>
        <v>0.4</v>
      </c>
      <c r="I98" s="1035">
        <f t="shared" si="10"/>
        <v>0.8</v>
      </c>
      <c r="J98" s="1035">
        <f t="shared" si="10"/>
        <v>2.2999999999999998</v>
      </c>
      <c r="K98" s="1035">
        <f t="shared" si="10"/>
        <v>2.4</v>
      </c>
      <c r="L98" s="1035">
        <f t="shared" si="10"/>
        <v>2.2000000000000002</v>
      </c>
      <c r="M98" s="1034">
        <f>'산근2-0(하천기본계획-수량)'!$J$6</f>
        <v>2.7</v>
      </c>
      <c r="N98" s="1034"/>
      <c r="O98" s="1034">
        <f>'산근2-0(하천기본계획-수량)'!$P$6</f>
        <v>1</v>
      </c>
      <c r="P98" s="1034"/>
      <c r="Q98" s="1034">
        <f>ROUND(PRODUCT(M98:P98,R98),2)</f>
        <v>2.7</v>
      </c>
    </row>
    <row r="99" spans="1:17" ht="26.45" customHeight="1">
      <c r="A99" s="1037"/>
      <c r="B99" s="1869" t="s">
        <v>902</v>
      </c>
      <c r="C99" s="1869"/>
      <c r="D99" s="1869"/>
      <c r="E99" s="1869"/>
      <c r="F99" s="1869"/>
      <c r="G99" s="1034" t="s">
        <v>872</v>
      </c>
      <c r="H99" s="1035">
        <f>H38*$R38</f>
        <v>0.4</v>
      </c>
      <c r="I99" s="1035">
        <f t="shared" si="10"/>
        <v>0.8</v>
      </c>
      <c r="J99" s="1035">
        <f t="shared" si="10"/>
        <v>1.1000000000000001</v>
      </c>
      <c r="K99" s="1035">
        <f t="shared" si="10"/>
        <v>0.9</v>
      </c>
      <c r="L99" s="1035">
        <f t="shared" si="10"/>
        <v>0.9</v>
      </c>
      <c r="M99" s="1034">
        <f>'산근2-0(하천기본계획-수량)'!$J$6</f>
        <v>2.7</v>
      </c>
      <c r="N99" s="1034"/>
      <c r="O99" s="1034">
        <f>'산근2-0(하천기본계획-수량)'!$P$6</f>
        <v>1</v>
      </c>
      <c r="P99" s="1034"/>
      <c r="Q99" s="1034">
        <f>ROUND(PRODUCT(M99:P99,R99),2)</f>
        <v>2.7</v>
      </c>
    </row>
    <row r="100" spans="1:17" ht="26.45" customHeight="1">
      <c r="A100" s="1869" t="s">
        <v>903</v>
      </c>
      <c r="B100" s="1869"/>
      <c r="C100" s="1869"/>
      <c r="D100" s="1869"/>
      <c r="E100" s="1869"/>
      <c r="F100" s="1869"/>
      <c r="G100" s="1034"/>
      <c r="H100" s="1035"/>
      <c r="I100" s="1035"/>
      <c r="J100" s="1035"/>
      <c r="K100" s="1035"/>
      <c r="L100" s="1035"/>
      <c r="M100" s="1034"/>
      <c r="N100" s="1034"/>
      <c r="O100" s="1034"/>
      <c r="P100" s="1034"/>
      <c r="Q100" s="1034"/>
    </row>
    <row r="101" spans="1:17" ht="26.45" customHeight="1">
      <c r="A101" s="1037"/>
      <c r="B101" s="1869" t="s">
        <v>904</v>
      </c>
      <c r="C101" s="1869"/>
      <c r="D101" s="1869"/>
      <c r="E101" s="1869"/>
      <c r="F101" s="1869"/>
      <c r="G101" s="1034" t="s">
        <v>872</v>
      </c>
      <c r="H101" s="1035">
        <f>H40*$R40</f>
        <v>0.3</v>
      </c>
      <c r="I101" s="1035">
        <f t="shared" si="10"/>
        <v>0.7</v>
      </c>
      <c r="J101" s="1035">
        <f t="shared" si="10"/>
        <v>0.9</v>
      </c>
      <c r="K101" s="1035">
        <f t="shared" si="10"/>
        <v>0.5</v>
      </c>
      <c r="L101" s="1035">
        <f t="shared" si="10"/>
        <v>0</v>
      </c>
      <c r="M101" s="1034">
        <f>'산근2-0(하천기본계획-수량)'!$J$6</f>
        <v>2.7</v>
      </c>
      <c r="N101" s="1034"/>
      <c r="O101" s="1034">
        <f>'산근2-0(하천기본계획-수량)'!$P$6</f>
        <v>1</v>
      </c>
      <c r="P101" s="1034"/>
      <c r="Q101" s="1034">
        <f>ROUND(PRODUCT(M101:P101,R101),2)</f>
        <v>2.7</v>
      </c>
    </row>
    <row r="102" spans="1:17" ht="26.45" customHeight="1">
      <c r="A102" s="1870" t="s">
        <v>905</v>
      </c>
      <c r="B102" s="1870"/>
      <c r="C102" s="1870"/>
      <c r="D102" s="1870"/>
      <c r="E102" s="1870"/>
      <c r="F102" s="1870"/>
      <c r="G102" s="1031"/>
      <c r="H102" s="1032"/>
      <c r="I102" s="1032"/>
      <c r="J102" s="1032"/>
      <c r="K102" s="1032"/>
      <c r="L102" s="1032"/>
      <c r="M102" s="1031"/>
      <c r="N102" s="1031"/>
      <c r="O102" s="1031"/>
      <c r="P102" s="1031"/>
      <c r="Q102" s="1031"/>
    </row>
    <row r="103" spans="1:17" ht="26.45" customHeight="1">
      <c r="A103" s="1869" t="s">
        <v>906</v>
      </c>
      <c r="B103" s="1869"/>
      <c r="C103" s="1869"/>
      <c r="D103" s="1869"/>
      <c r="E103" s="1869"/>
      <c r="F103" s="1869"/>
      <c r="G103" s="1034"/>
      <c r="H103" s="1035"/>
      <c r="I103" s="1035"/>
      <c r="J103" s="1035"/>
      <c r="K103" s="1035"/>
      <c r="L103" s="1035"/>
      <c r="M103" s="1034"/>
      <c r="N103" s="1034"/>
      <c r="O103" s="1034"/>
      <c r="P103" s="1034"/>
      <c r="Q103" s="1034"/>
    </row>
    <row r="104" spans="1:17" ht="26.45" customHeight="1">
      <c r="A104" s="1037"/>
      <c r="B104" s="1869" t="s">
        <v>907</v>
      </c>
      <c r="C104" s="1869"/>
      <c r="D104" s="1869"/>
      <c r="E104" s="1869"/>
      <c r="F104" s="1869"/>
      <c r="G104" s="1034" t="s">
        <v>872</v>
      </c>
      <c r="H104" s="1035">
        <f t="shared" ref="H104:L110" si="11">H43*$R43</f>
        <v>0</v>
      </c>
      <c r="I104" s="1035">
        <f t="shared" si="11"/>
        <v>0</v>
      </c>
      <c r="J104" s="1035">
        <f t="shared" si="11"/>
        <v>0.5</v>
      </c>
      <c r="K104" s="1035">
        <f t="shared" si="11"/>
        <v>0.9</v>
      </c>
      <c r="L104" s="1035">
        <f t="shared" si="11"/>
        <v>1.5</v>
      </c>
      <c r="M104" s="1034">
        <f>'산근2-0(하천기본계획-수량)'!$J$6</f>
        <v>2.7</v>
      </c>
      <c r="N104" s="1034"/>
      <c r="O104" s="1034"/>
      <c r="P104" s="1034">
        <f>'산근2-0(하천기본계획-수량)'!$R$6</f>
        <v>1</v>
      </c>
      <c r="Q104" s="1034">
        <f t="shared" ref="Q104:Q110" si="12">ROUND(PRODUCT(M104:P104,R104),2)</f>
        <v>2.7</v>
      </c>
    </row>
    <row r="105" spans="1:17" ht="26.45" customHeight="1">
      <c r="A105" s="1037"/>
      <c r="B105" s="1869" t="s">
        <v>908</v>
      </c>
      <c r="C105" s="1869"/>
      <c r="D105" s="1869"/>
      <c r="E105" s="1869"/>
      <c r="F105" s="1869"/>
      <c r="G105" s="1034" t="s">
        <v>872</v>
      </c>
      <c r="H105" s="1035">
        <f t="shared" si="11"/>
        <v>0</v>
      </c>
      <c r="I105" s="1035">
        <f t="shared" si="11"/>
        <v>0</v>
      </c>
      <c r="J105" s="1035">
        <f t="shared" si="11"/>
        <v>1.0999999999999999</v>
      </c>
      <c r="K105" s="1035">
        <f t="shared" si="11"/>
        <v>1.2000000000000002</v>
      </c>
      <c r="L105" s="1035">
        <f t="shared" si="11"/>
        <v>0.89999999999999991</v>
      </c>
      <c r="M105" s="1034">
        <f>'산근2-0(하천기본계획-수량)'!$J$6</f>
        <v>2.7</v>
      </c>
      <c r="N105" s="1034"/>
      <c r="O105" s="1034"/>
      <c r="P105" s="1034">
        <f>'산근2-0(하천기본계획-수량)'!$R$6</f>
        <v>1</v>
      </c>
      <c r="Q105" s="1034">
        <f t="shared" si="12"/>
        <v>2.7</v>
      </c>
    </row>
    <row r="106" spans="1:17" ht="26.45" customHeight="1">
      <c r="A106" s="1037"/>
      <c r="B106" s="1037"/>
      <c r="C106" s="1869" t="s">
        <v>909</v>
      </c>
      <c r="D106" s="1869"/>
      <c r="E106" s="1869"/>
      <c r="F106" s="1869"/>
      <c r="G106" s="1034" t="s">
        <v>872</v>
      </c>
      <c r="H106" s="1035">
        <f t="shared" si="11"/>
        <v>0</v>
      </c>
      <c r="I106" s="1035">
        <f t="shared" si="11"/>
        <v>0</v>
      </c>
      <c r="J106" s="1035">
        <f t="shared" si="11"/>
        <v>0.7</v>
      </c>
      <c r="K106" s="1035">
        <f t="shared" si="11"/>
        <v>1</v>
      </c>
      <c r="L106" s="1035">
        <f t="shared" si="11"/>
        <v>0.7</v>
      </c>
      <c r="M106" s="1034">
        <f>'산근2-0(하천기본계획-수량)'!$J$6</f>
        <v>2.7</v>
      </c>
      <c r="N106" s="1034"/>
      <c r="O106" s="1034"/>
      <c r="P106" s="1034">
        <f>'산근2-0(하천기본계획-수량)'!$R$6</f>
        <v>1</v>
      </c>
      <c r="Q106" s="1034">
        <f t="shared" si="12"/>
        <v>2.7</v>
      </c>
    </row>
    <row r="107" spans="1:17" ht="26.45" customHeight="1">
      <c r="A107" s="1037"/>
      <c r="B107" s="1037"/>
      <c r="C107" s="1869" t="s">
        <v>910</v>
      </c>
      <c r="D107" s="1869"/>
      <c r="E107" s="1869"/>
      <c r="F107" s="1869"/>
      <c r="G107" s="1034" t="s">
        <v>872</v>
      </c>
      <c r="H107" s="1035">
        <f t="shared" si="11"/>
        <v>0</v>
      </c>
      <c r="I107" s="1035">
        <f t="shared" si="11"/>
        <v>0</v>
      </c>
      <c r="J107" s="1035">
        <f t="shared" si="11"/>
        <v>0.1</v>
      </c>
      <c r="K107" s="1035">
        <f t="shared" si="11"/>
        <v>0.1</v>
      </c>
      <c r="L107" s="1035">
        <f t="shared" si="11"/>
        <v>0.1</v>
      </c>
      <c r="M107" s="1034">
        <f>'산근2-0(하천기본계획-수량)'!$J$6</f>
        <v>2.7</v>
      </c>
      <c r="N107" s="1034"/>
      <c r="O107" s="1034"/>
      <c r="P107" s="1034">
        <f>'산근2-0(하천기본계획-수량)'!$R$6</f>
        <v>1</v>
      </c>
      <c r="Q107" s="1034">
        <f t="shared" si="12"/>
        <v>2.7</v>
      </c>
    </row>
    <row r="108" spans="1:17" ht="26.45" customHeight="1">
      <c r="A108" s="1037"/>
      <c r="B108" s="1037"/>
      <c r="C108" s="1869" t="s">
        <v>911</v>
      </c>
      <c r="D108" s="1869"/>
      <c r="E108" s="1869"/>
      <c r="F108" s="1869"/>
      <c r="G108" s="1034" t="s">
        <v>872</v>
      </c>
      <c r="H108" s="1035">
        <f t="shared" si="11"/>
        <v>0</v>
      </c>
      <c r="I108" s="1035">
        <f t="shared" si="11"/>
        <v>0</v>
      </c>
      <c r="J108" s="1035">
        <f t="shared" si="11"/>
        <v>0.1</v>
      </c>
      <c r="K108" s="1035">
        <f t="shared" si="11"/>
        <v>0</v>
      </c>
      <c r="L108" s="1035">
        <f t="shared" si="11"/>
        <v>0</v>
      </c>
      <c r="M108" s="1034">
        <f>'산근2-0(하천기본계획-수량)'!$J$6</f>
        <v>2.7</v>
      </c>
      <c r="N108" s="1034"/>
      <c r="O108" s="1034"/>
      <c r="P108" s="1034">
        <f>'산근2-0(하천기본계획-수량)'!$R$6</f>
        <v>1</v>
      </c>
      <c r="Q108" s="1034">
        <f t="shared" si="12"/>
        <v>2.7</v>
      </c>
    </row>
    <row r="109" spans="1:17" ht="26.45" customHeight="1">
      <c r="A109" s="1037"/>
      <c r="B109" s="1037"/>
      <c r="C109" s="1869" t="s">
        <v>912</v>
      </c>
      <c r="D109" s="1869"/>
      <c r="E109" s="1869"/>
      <c r="F109" s="1869"/>
      <c r="G109" s="1034" t="s">
        <v>872</v>
      </c>
      <c r="H109" s="1035">
        <f t="shared" si="11"/>
        <v>0</v>
      </c>
      <c r="I109" s="1035">
        <f t="shared" si="11"/>
        <v>0</v>
      </c>
      <c r="J109" s="1035">
        <f t="shared" si="11"/>
        <v>0.1</v>
      </c>
      <c r="K109" s="1035">
        <f t="shared" si="11"/>
        <v>0.1</v>
      </c>
      <c r="L109" s="1035">
        <f t="shared" si="11"/>
        <v>0.1</v>
      </c>
      <c r="M109" s="1034">
        <f>'산근2-0(하천기본계획-수량)'!$J$6</f>
        <v>2.7</v>
      </c>
      <c r="N109" s="1034"/>
      <c r="O109" s="1034"/>
      <c r="P109" s="1034">
        <f>'산근2-0(하천기본계획-수량)'!$R$6</f>
        <v>1</v>
      </c>
      <c r="Q109" s="1034">
        <f t="shared" si="12"/>
        <v>2.7</v>
      </c>
    </row>
    <row r="110" spans="1:17" ht="26.45" customHeight="1">
      <c r="A110" s="1037"/>
      <c r="B110" s="1037"/>
      <c r="C110" s="1869" t="s">
        <v>913</v>
      </c>
      <c r="D110" s="1869"/>
      <c r="E110" s="1869"/>
      <c r="F110" s="1869"/>
      <c r="G110" s="1034" t="s">
        <v>872</v>
      </c>
      <c r="H110" s="1035">
        <f t="shared" si="11"/>
        <v>0</v>
      </c>
      <c r="I110" s="1035">
        <f t="shared" si="11"/>
        <v>0</v>
      </c>
      <c r="J110" s="1035">
        <f t="shared" si="11"/>
        <v>0.1</v>
      </c>
      <c r="K110" s="1035">
        <f t="shared" si="11"/>
        <v>0</v>
      </c>
      <c r="L110" s="1035">
        <f t="shared" si="11"/>
        <v>0</v>
      </c>
      <c r="M110" s="1034">
        <f>'산근2-0(하천기본계획-수량)'!$J$6</f>
        <v>2.7</v>
      </c>
      <c r="N110" s="1034"/>
      <c r="O110" s="1034"/>
      <c r="P110" s="1034">
        <f>'산근2-0(하천기본계획-수량)'!$R$6</f>
        <v>1</v>
      </c>
      <c r="Q110" s="1034">
        <f t="shared" si="12"/>
        <v>2.7</v>
      </c>
    </row>
    <row r="111" spans="1:17" ht="26.45" customHeight="1">
      <c r="A111" s="1869" t="s">
        <v>914</v>
      </c>
      <c r="B111" s="1869"/>
      <c r="C111" s="1869"/>
      <c r="D111" s="1869"/>
      <c r="E111" s="1869"/>
      <c r="F111" s="1869"/>
      <c r="G111" s="1034"/>
      <c r="H111" s="1035"/>
      <c r="I111" s="1035"/>
      <c r="J111" s="1035"/>
      <c r="K111" s="1035"/>
      <c r="L111" s="1035"/>
      <c r="M111" s="1034"/>
      <c r="N111" s="1034"/>
      <c r="O111" s="1034"/>
      <c r="P111" s="1034"/>
      <c r="Q111" s="1034"/>
    </row>
    <row r="112" spans="1:17" ht="26.45" customHeight="1">
      <c r="A112" s="1037"/>
      <c r="B112" s="1869" t="s">
        <v>915</v>
      </c>
      <c r="C112" s="1869"/>
      <c r="D112" s="1869"/>
      <c r="E112" s="1869"/>
      <c r="F112" s="1869"/>
      <c r="G112" s="1034" t="s">
        <v>872</v>
      </c>
      <c r="H112" s="1035">
        <f t="shared" ref="H112:L119" si="13">H51*$R51</f>
        <v>0</v>
      </c>
      <c r="I112" s="1035">
        <f t="shared" si="13"/>
        <v>0.3</v>
      </c>
      <c r="J112" s="1035">
        <f t="shared" si="13"/>
        <v>0.4</v>
      </c>
      <c r="K112" s="1035">
        <f t="shared" si="13"/>
        <v>1.2</v>
      </c>
      <c r="L112" s="1035">
        <f t="shared" si="13"/>
        <v>2.2000000000000002</v>
      </c>
      <c r="M112" s="1034">
        <f>'산근2-0(하천기본계획-수량)'!$J$6</f>
        <v>2.7</v>
      </c>
      <c r="N112" s="1034"/>
      <c r="O112" s="1034"/>
      <c r="P112" s="1034">
        <f>'산근2-0(하천기본계획-수량)'!$R$6</f>
        <v>1</v>
      </c>
      <c r="Q112" s="1034">
        <f t="shared" ref="Q112:Q119" si="14">ROUND(PRODUCT(M112:P112,R112),2)</f>
        <v>2.7</v>
      </c>
    </row>
    <row r="113" spans="1:17" ht="26.45" customHeight="1">
      <c r="A113" s="1037"/>
      <c r="B113" s="1869" t="s">
        <v>916</v>
      </c>
      <c r="C113" s="1869"/>
      <c r="D113" s="1869"/>
      <c r="E113" s="1869"/>
      <c r="F113" s="1869"/>
      <c r="G113" s="1034" t="s">
        <v>872</v>
      </c>
      <c r="H113" s="1035">
        <f t="shared" si="13"/>
        <v>0.1</v>
      </c>
      <c r="I113" s="1035">
        <f t="shared" si="13"/>
        <v>0.2</v>
      </c>
      <c r="J113" s="1035">
        <f t="shared" si="13"/>
        <v>2.4</v>
      </c>
      <c r="K113" s="1035">
        <f t="shared" si="13"/>
        <v>2.6</v>
      </c>
      <c r="L113" s="1035">
        <f t="shared" si="13"/>
        <v>4.8000000000000007</v>
      </c>
      <c r="M113" s="1034">
        <f>'산근2-0(하천기본계획-수량)'!$J$6</f>
        <v>2.7</v>
      </c>
      <c r="N113" s="1034"/>
      <c r="O113" s="1034"/>
      <c r="P113" s="1034">
        <f>'산근2-0(하천기본계획-수량)'!$R$6</f>
        <v>1</v>
      </c>
      <c r="Q113" s="1034">
        <f t="shared" si="14"/>
        <v>2.7</v>
      </c>
    </row>
    <row r="114" spans="1:17" ht="26.45" customHeight="1">
      <c r="A114" s="1037"/>
      <c r="B114" s="1037"/>
      <c r="C114" s="1869" t="s">
        <v>917</v>
      </c>
      <c r="D114" s="1869"/>
      <c r="E114" s="1869"/>
      <c r="F114" s="1869"/>
      <c r="G114" s="1034" t="s">
        <v>872</v>
      </c>
      <c r="H114" s="1035">
        <f t="shared" si="13"/>
        <v>0</v>
      </c>
      <c r="I114" s="1035">
        <f t="shared" si="13"/>
        <v>0</v>
      </c>
      <c r="J114" s="1035">
        <f t="shared" si="13"/>
        <v>0.2</v>
      </c>
      <c r="K114" s="1035">
        <f t="shared" si="13"/>
        <v>0.3</v>
      </c>
      <c r="L114" s="1035">
        <f t="shared" si="13"/>
        <v>0.5</v>
      </c>
      <c r="M114" s="1034">
        <f>'산근2-0(하천기본계획-수량)'!$J$6</f>
        <v>2.7</v>
      </c>
      <c r="N114" s="1034"/>
      <c r="O114" s="1034"/>
      <c r="P114" s="1034">
        <f>'산근2-0(하천기본계획-수량)'!$R$6</f>
        <v>1</v>
      </c>
      <c r="Q114" s="1034">
        <f t="shared" si="14"/>
        <v>2.7</v>
      </c>
    </row>
    <row r="115" spans="1:17" ht="26.45" customHeight="1">
      <c r="A115" s="1037"/>
      <c r="B115" s="1037"/>
      <c r="C115" s="1869" t="s">
        <v>918</v>
      </c>
      <c r="D115" s="1869"/>
      <c r="E115" s="1869"/>
      <c r="F115" s="1869"/>
      <c r="G115" s="1034" t="s">
        <v>872</v>
      </c>
      <c r="H115" s="1035">
        <f t="shared" si="13"/>
        <v>0</v>
      </c>
      <c r="I115" s="1035">
        <f t="shared" si="13"/>
        <v>0</v>
      </c>
      <c r="J115" s="1035">
        <f t="shared" si="13"/>
        <v>0.1</v>
      </c>
      <c r="K115" s="1035">
        <f t="shared" si="13"/>
        <v>0.1</v>
      </c>
      <c r="L115" s="1035">
        <f t="shared" si="13"/>
        <v>0.2</v>
      </c>
      <c r="M115" s="1034">
        <f>'산근2-0(하천기본계획-수량)'!$J$6</f>
        <v>2.7</v>
      </c>
      <c r="N115" s="1034"/>
      <c r="O115" s="1034"/>
      <c r="P115" s="1034">
        <f>'산근2-0(하천기본계획-수량)'!$R$6</f>
        <v>1</v>
      </c>
      <c r="Q115" s="1034">
        <f t="shared" si="14"/>
        <v>2.7</v>
      </c>
    </row>
    <row r="116" spans="1:17" ht="26.45" customHeight="1">
      <c r="A116" s="1037"/>
      <c r="B116" s="1037"/>
      <c r="C116" s="1869" t="s">
        <v>919</v>
      </c>
      <c r="D116" s="1869"/>
      <c r="E116" s="1869"/>
      <c r="F116" s="1869"/>
      <c r="G116" s="1034" t="s">
        <v>872</v>
      </c>
      <c r="H116" s="1035">
        <f t="shared" si="13"/>
        <v>0</v>
      </c>
      <c r="I116" s="1035">
        <f t="shared" si="13"/>
        <v>0</v>
      </c>
      <c r="J116" s="1035">
        <f t="shared" si="13"/>
        <v>0.2</v>
      </c>
      <c r="K116" s="1035">
        <f t="shared" si="13"/>
        <v>0.2</v>
      </c>
      <c r="L116" s="1035">
        <f t="shared" si="13"/>
        <v>0.4</v>
      </c>
      <c r="M116" s="1034">
        <f>'산근2-0(하천기본계획-수량)'!$J$6</f>
        <v>2.7</v>
      </c>
      <c r="N116" s="1034"/>
      <c r="O116" s="1034"/>
      <c r="P116" s="1034">
        <f>'산근2-0(하천기본계획-수량)'!$R$6</f>
        <v>1</v>
      </c>
      <c r="Q116" s="1034">
        <f t="shared" si="14"/>
        <v>2.7</v>
      </c>
    </row>
    <row r="117" spans="1:17" ht="26.45" customHeight="1">
      <c r="A117" s="1037"/>
      <c r="B117" s="1037"/>
      <c r="C117" s="1869" t="s">
        <v>920</v>
      </c>
      <c r="D117" s="1869"/>
      <c r="E117" s="1869"/>
      <c r="F117" s="1869"/>
      <c r="G117" s="1034" t="s">
        <v>872</v>
      </c>
      <c r="H117" s="1035">
        <f t="shared" si="13"/>
        <v>0.1</v>
      </c>
      <c r="I117" s="1035">
        <f t="shared" si="13"/>
        <v>0.1</v>
      </c>
      <c r="J117" s="1035">
        <f t="shared" si="13"/>
        <v>1</v>
      </c>
      <c r="K117" s="1035">
        <f t="shared" si="13"/>
        <v>1.1000000000000001</v>
      </c>
      <c r="L117" s="1035">
        <f t="shared" si="13"/>
        <v>2.1</v>
      </c>
      <c r="M117" s="1034">
        <f>'산근2-0(하천기본계획-수량)'!$J$6</f>
        <v>2.7</v>
      </c>
      <c r="N117" s="1034"/>
      <c r="O117" s="1034"/>
      <c r="P117" s="1034">
        <f>'산근2-0(하천기본계획-수량)'!$R$6</f>
        <v>1</v>
      </c>
      <c r="Q117" s="1034">
        <f t="shared" si="14"/>
        <v>2.7</v>
      </c>
    </row>
    <row r="118" spans="1:17" ht="26.45" customHeight="1">
      <c r="A118" s="1037"/>
      <c r="B118" s="1037"/>
      <c r="C118" s="1869" t="s">
        <v>921</v>
      </c>
      <c r="D118" s="1869"/>
      <c r="E118" s="1869"/>
      <c r="F118" s="1869"/>
      <c r="G118" s="1034" t="s">
        <v>872</v>
      </c>
      <c r="H118" s="1035">
        <f t="shared" si="13"/>
        <v>0</v>
      </c>
      <c r="I118" s="1035">
        <f t="shared" si="13"/>
        <v>0.1</v>
      </c>
      <c r="J118" s="1035">
        <f t="shared" si="13"/>
        <v>0.4</v>
      </c>
      <c r="K118" s="1035">
        <f t="shared" si="13"/>
        <v>0.5</v>
      </c>
      <c r="L118" s="1035">
        <f t="shared" si="13"/>
        <v>0.9</v>
      </c>
      <c r="M118" s="1034">
        <f>'산근2-0(하천기본계획-수량)'!$J$6</f>
        <v>2.7</v>
      </c>
      <c r="N118" s="1034"/>
      <c r="O118" s="1034"/>
      <c r="P118" s="1034">
        <f>'산근2-0(하천기본계획-수량)'!$R$6</f>
        <v>1</v>
      </c>
      <c r="Q118" s="1034">
        <f t="shared" si="14"/>
        <v>2.7</v>
      </c>
    </row>
    <row r="119" spans="1:17" ht="26.45" customHeight="1">
      <c r="A119" s="1037"/>
      <c r="B119" s="1037"/>
      <c r="C119" s="1869" t="s">
        <v>922</v>
      </c>
      <c r="D119" s="1869"/>
      <c r="E119" s="1869"/>
      <c r="F119" s="1869"/>
      <c r="G119" s="1034" t="s">
        <v>872</v>
      </c>
      <c r="H119" s="1035">
        <f t="shared" si="13"/>
        <v>0</v>
      </c>
      <c r="I119" s="1035">
        <f t="shared" si="13"/>
        <v>0</v>
      </c>
      <c r="J119" s="1035">
        <f t="shared" si="13"/>
        <v>0.5</v>
      </c>
      <c r="K119" s="1035">
        <f t="shared" si="13"/>
        <v>0.4</v>
      </c>
      <c r="L119" s="1035">
        <f t="shared" si="13"/>
        <v>0.7</v>
      </c>
      <c r="M119" s="1034">
        <f>'산근2-0(하천기본계획-수량)'!$J$6</f>
        <v>2.7</v>
      </c>
      <c r="N119" s="1034"/>
      <c r="O119" s="1034"/>
      <c r="P119" s="1034">
        <f>'산근2-0(하천기본계획-수량)'!$R$6</f>
        <v>1</v>
      </c>
      <c r="Q119" s="1034">
        <f t="shared" si="14"/>
        <v>2.7</v>
      </c>
    </row>
    <row r="120" spans="1:17" ht="26.45" customHeight="1">
      <c r="A120" s="1870" t="s">
        <v>923</v>
      </c>
      <c r="B120" s="1870"/>
      <c r="C120" s="1870"/>
      <c r="D120" s="1870"/>
      <c r="E120" s="1870"/>
      <c r="F120" s="1870"/>
      <c r="G120" s="1031"/>
      <c r="H120" s="1032"/>
      <c r="I120" s="1032"/>
      <c r="J120" s="1032"/>
      <c r="K120" s="1032"/>
      <c r="L120" s="1032"/>
      <c r="M120" s="1031"/>
      <c r="N120" s="1031"/>
      <c r="O120" s="1031"/>
      <c r="P120" s="1031"/>
      <c r="Q120" s="1031"/>
    </row>
    <row r="121" spans="1:17" ht="26.45" customHeight="1">
      <c r="A121" s="1037"/>
      <c r="B121" s="1869" t="s">
        <v>924</v>
      </c>
      <c r="C121" s="1869"/>
      <c r="D121" s="1869"/>
      <c r="E121" s="1869"/>
      <c r="F121" s="1869"/>
      <c r="G121" s="1034" t="s">
        <v>872</v>
      </c>
      <c r="H121" s="1035">
        <f>H60*$R60</f>
        <v>0</v>
      </c>
      <c r="I121" s="1035">
        <f t="shared" ref="I121:L123" si="15">I60*$R60</f>
        <v>0.2</v>
      </c>
      <c r="J121" s="1035">
        <f t="shared" si="15"/>
        <v>0.2</v>
      </c>
      <c r="K121" s="1035">
        <f t="shared" si="15"/>
        <v>0.5</v>
      </c>
      <c r="L121" s="1035">
        <f t="shared" si="15"/>
        <v>3.2</v>
      </c>
      <c r="M121" s="1034">
        <f>'산근2-0(하천기본계획-수량)'!$J$6</f>
        <v>2.7</v>
      </c>
      <c r="N121" s="1034"/>
      <c r="O121" s="1034">
        <f>'산근2-0(하천기본계획-수량)'!$P$6</f>
        <v>1</v>
      </c>
      <c r="P121" s="1034"/>
      <c r="Q121" s="1034">
        <f>ROUND(PRODUCT(M121:P121,R121),2)</f>
        <v>2.7</v>
      </c>
    </row>
    <row r="122" spans="1:17" ht="26.45" customHeight="1">
      <c r="A122" s="1037"/>
      <c r="B122" s="1869" t="s">
        <v>925</v>
      </c>
      <c r="C122" s="1869"/>
      <c r="D122" s="1869"/>
      <c r="E122" s="1869"/>
      <c r="F122" s="1869"/>
      <c r="G122" s="1034" t="s">
        <v>872</v>
      </c>
      <c r="H122" s="1035">
        <f>H61*$R61</f>
        <v>0</v>
      </c>
      <c r="I122" s="1035">
        <f t="shared" si="15"/>
        <v>0.2</v>
      </c>
      <c r="J122" s="1035">
        <f t="shared" si="15"/>
        <v>0.2</v>
      </c>
      <c r="K122" s="1035">
        <f t="shared" si="15"/>
        <v>0.5</v>
      </c>
      <c r="L122" s="1035">
        <f t="shared" si="15"/>
        <v>3.2</v>
      </c>
      <c r="M122" s="1034">
        <f>'산근2-0(하천기본계획-수량)'!$J$6</f>
        <v>2.7</v>
      </c>
      <c r="N122" s="1034"/>
      <c r="O122" s="1034"/>
      <c r="P122" s="1034">
        <f>'산근2-0(하천기본계획-수량)'!$R$6</f>
        <v>1</v>
      </c>
      <c r="Q122" s="1034">
        <f>ROUND(PRODUCT(M122:P122,R122),2)</f>
        <v>2.7</v>
      </c>
    </row>
    <row r="123" spans="1:17" ht="26.45" customHeight="1">
      <c r="A123" s="1037"/>
      <c r="B123" s="1869" t="s">
        <v>926</v>
      </c>
      <c r="C123" s="1869"/>
      <c r="D123" s="1869"/>
      <c r="E123" s="1869"/>
      <c r="F123" s="1869"/>
      <c r="G123" s="1034" t="s">
        <v>872</v>
      </c>
      <c r="H123" s="1035">
        <f>H62*$R62</f>
        <v>0</v>
      </c>
      <c r="I123" s="1035">
        <f t="shared" si="15"/>
        <v>0</v>
      </c>
      <c r="J123" s="1035">
        <f t="shared" si="15"/>
        <v>0.1</v>
      </c>
      <c r="K123" s="1035">
        <f t="shared" si="15"/>
        <v>0.1</v>
      </c>
      <c r="L123" s="1035">
        <f t="shared" si="15"/>
        <v>0.5</v>
      </c>
      <c r="M123" s="1034">
        <f>'산근2-0(하천기본계획-수량)'!$J$6</f>
        <v>2.7</v>
      </c>
      <c r="N123" s="1034"/>
      <c r="O123" s="1034"/>
      <c r="P123" s="1034">
        <f>'산근2-0(하천기본계획-수량)'!$R$6</f>
        <v>1</v>
      </c>
      <c r="Q123" s="1034">
        <f>ROUND(PRODUCT(M123:P123,R123),2)</f>
        <v>2.7</v>
      </c>
    </row>
  </sheetData>
  <mergeCells count="132">
    <mergeCell ref="B122:F122"/>
    <mergeCell ref="B123:F123"/>
    <mergeCell ref="C116:F116"/>
    <mergeCell ref="C117:F117"/>
    <mergeCell ref="C118:F118"/>
    <mergeCell ref="C119:F119"/>
    <mergeCell ref="A120:F120"/>
    <mergeCell ref="B121:F121"/>
    <mergeCell ref="C110:F110"/>
    <mergeCell ref="A111:F111"/>
    <mergeCell ref="B112:F112"/>
    <mergeCell ref="B113:F113"/>
    <mergeCell ref="C114:F114"/>
    <mergeCell ref="C115:F115"/>
    <mergeCell ref="B104:F104"/>
    <mergeCell ref="B105:F105"/>
    <mergeCell ref="C106:F106"/>
    <mergeCell ref="C107:F107"/>
    <mergeCell ref="C108:F108"/>
    <mergeCell ref="C109:F109"/>
    <mergeCell ref="B98:F98"/>
    <mergeCell ref="B99:F99"/>
    <mergeCell ref="A100:F100"/>
    <mergeCell ref="B101:F101"/>
    <mergeCell ref="A102:F102"/>
    <mergeCell ref="A103:F103"/>
    <mergeCell ref="A92:F92"/>
    <mergeCell ref="B93:F93"/>
    <mergeCell ref="B94:F94"/>
    <mergeCell ref="B95:F95"/>
    <mergeCell ref="B96:F96"/>
    <mergeCell ref="A97:F97"/>
    <mergeCell ref="C86:F86"/>
    <mergeCell ref="B87:F87"/>
    <mergeCell ref="C88:F88"/>
    <mergeCell ref="C89:F89"/>
    <mergeCell ref="C90:F90"/>
    <mergeCell ref="B91:F91"/>
    <mergeCell ref="A80:F80"/>
    <mergeCell ref="B81:F81"/>
    <mergeCell ref="C82:F82"/>
    <mergeCell ref="C83:F83"/>
    <mergeCell ref="C84:F84"/>
    <mergeCell ref="C85:F85"/>
    <mergeCell ref="C74:F74"/>
    <mergeCell ref="C75:F75"/>
    <mergeCell ref="C76:F76"/>
    <mergeCell ref="C77:F77"/>
    <mergeCell ref="C78:F78"/>
    <mergeCell ref="C79:F79"/>
    <mergeCell ref="A68:F68"/>
    <mergeCell ref="A69:F69"/>
    <mergeCell ref="B70:F70"/>
    <mergeCell ref="A71:F71"/>
    <mergeCell ref="B72:F72"/>
    <mergeCell ref="B73:F73"/>
    <mergeCell ref="N65:P65"/>
    <mergeCell ref="Q65:Q67"/>
    <mergeCell ref="H66:H67"/>
    <mergeCell ref="N66:N67"/>
    <mergeCell ref="O66:O67"/>
    <mergeCell ref="P66:P67"/>
    <mergeCell ref="B61:F61"/>
    <mergeCell ref="B62:F62"/>
    <mergeCell ref="A65:F67"/>
    <mergeCell ref="G65:G67"/>
    <mergeCell ref="H65:L65"/>
    <mergeCell ref="M65:M67"/>
    <mergeCell ref="C55:F55"/>
    <mergeCell ref="C56:F56"/>
    <mergeCell ref="C57:F57"/>
    <mergeCell ref="C58:F58"/>
    <mergeCell ref="A59:F59"/>
    <mergeCell ref="B60:F60"/>
    <mergeCell ref="C49:F49"/>
    <mergeCell ref="A50:F50"/>
    <mergeCell ref="B51:F51"/>
    <mergeCell ref="B52:F52"/>
    <mergeCell ref="C53:F53"/>
    <mergeCell ref="C54:F54"/>
    <mergeCell ref="B43:F43"/>
    <mergeCell ref="B44:F44"/>
    <mergeCell ref="C45:F45"/>
    <mergeCell ref="C46:F46"/>
    <mergeCell ref="C47:F47"/>
    <mergeCell ref="C48:F48"/>
    <mergeCell ref="B37:F37"/>
    <mergeCell ref="B38:F38"/>
    <mergeCell ref="A39:F39"/>
    <mergeCell ref="B40:F40"/>
    <mergeCell ref="A41:F41"/>
    <mergeCell ref="A42:F42"/>
    <mergeCell ref="A31:F31"/>
    <mergeCell ref="B32:F32"/>
    <mergeCell ref="B33:F33"/>
    <mergeCell ref="B34:F34"/>
    <mergeCell ref="B35:F35"/>
    <mergeCell ref="A36:F36"/>
    <mergeCell ref="C25:F25"/>
    <mergeCell ref="B26:F26"/>
    <mergeCell ref="C27:F27"/>
    <mergeCell ref="C28:F28"/>
    <mergeCell ref="C29:F29"/>
    <mergeCell ref="B30:F30"/>
    <mergeCell ref="A19:F19"/>
    <mergeCell ref="B20:F20"/>
    <mergeCell ref="C21:F21"/>
    <mergeCell ref="C22:F22"/>
    <mergeCell ref="C23:F23"/>
    <mergeCell ref="C24:F24"/>
    <mergeCell ref="C13:F13"/>
    <mergeCell ref="C14:F14"/>
    <mergeCell ref="C15:F15"/>
    <mergeCell ref="C16:F16"/>
    <mergeCell ref="C17:F17"/>
    <mergeCell ref="C18:F18"/>
    <mergeCell ref="A7:F7"/>
    <mergeCell ref="A8:F8"/>
    <mergeCell ref="B9:F9"/>
    <mergeCell ref="A10:F10"/>
    <mergeCell ref="B11:F11"/>
    <mergeCell ref="B12:F12"/>
    <mergeCell ref="A4:F6"/>
    <mergeCell ref="G4:G6"/>
    <mergeCell ref="H4:L4"/>
    <mergeCell ref="M4:M6"/>
    <mergeCell ref="N4:P4"/>
    <mergeCell ref="Q4:Q6"/>
    <mergeCell ref="H5:H6"/>
    <mergeCell ref="N5:N6"/>
    <mergeCell ref="O5:O6"/>
    <mergeCell ref="P5:P6"/>
  </mergeCells>
  <phoneticPr fontId="181" type="noConversion"/>
  <printOptions horizontalCentered="1"/>
  <pageMargins left="0.39370078740157483" right="0.39370078740157483" top="0.39370078740157483" bottom="0.39370078740157483" header="0" footer="0"/>
  <pageSetup paperSize="9" scale="76" orientation="portrait" r:id="rId1"/>
  <rowBreaks count="3" manualBreakCount="3">
    <brk id="40" max="16" man="1"/>
    <brk id="63" max="16" man="1"/>
    <brk id="101" max="16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3">
    <tabColor theme="3" tint="0.59999389629810485"/>
    <pageSetUpPr fitToPage="1"/>
  </sheetPr>
  <dimension ref="A1:K42"/>
  <sheetViews>
    <sheetView view="pageBreakPreview" topLeftCell="E1" zoomScale="85" zoomScaleNormal="100" zoomScaleSheetLayoutView="85" workbookViewId="0">
      <selection activeCell="AA49" sqref="AA49"/>
    </sheetView>
  </sheetViews>
  <sheetFormatPr defaultColWidth="8" defaultRowHeight="13.5"/>
  <cols>
    <col min="1" max="1" width="30.77734375" style="1045" hidden="1" customWidth="1"/>
    <col min="2" max="2" width="27" style="1045" hidden="1" customWidth="1"/>
    <col min="3" max="3" width="4.21875" style="1045" hidden="1" customWidth="1"/>
    <col min="4" max="4" width="7.109375" style="1045" hidden="1" customWidth="1"/>
    <col min="5" max="5" width="23.44140625" style="1045" customWidth="1"/>
    <col min="6" max="6" width="33.5546875" style="1045" customWidth="1"/>
    <col min="7" max="7" width="4.21875" style="1045" bestFit="1" customWidth="1"/>
    <col min="8" max="8" width="7.109375" style="1045" bestFit="1" customWidth="1"/>
    <col min="9" max="9" width="7.6640625" style="1045" bestFit="1" customWidth="1"/>
    <col min="10" max="10" width="4.5546875" style="1044" customWidth="1"/>
    <col min="11" max="11" width="5.88671875" style="1044" customWidth="1"/>
    <col min="12" max="16384" width="8" style="1045"/>
  </cols>
  <sheetData>
    <row r="1" spans="1:11" ht="19.5">
      <c r="A1" s="1871" t="s">
        <v>928</v>
      </c>
      <c r="B1" s="1872"/>
      <c r="C1" s="1038"/>
      <c r="D1" s="1039"/>
      <c r="E1" s="1040" t="s">
        <v>929</v>
      </c>
      <c r="F1" s="1041"/>
      <c r="G1" s="1042"/>
      <c r="H1" s="1042"/>
      <c r="I1" s="1043"/>
    </row>
    <row r="2" spans="1:11" ht="13.5" customHeight="1">
      <c r="A2" s="1046" t="s">
        <v>930</v>
      </c>
      <c r="B2" s="1047" t="s">
        <v>931</v>
      </c>
      <c r="C2" s="1047" t="s">
        <v>932</v>
      </c>
      <c r="D2" s="1048" t="s">
        <v>933</v>
      </c>
      <c r="E2" s="1049" t="s">
        <v>930</v>
      </c>
      <c r="F2" s="1050" t="s">
        <v>931</v>
      </c>
      <c r="G2" s="1051" t="s">
        <v>932</v>
      </c>
      <c r="H2" s="1052" t="s">
        <v>933</v>
      </c>
      <c r="I2" s="1052" t="s">
        <v>934</v>
      </c>
      <c r="J2" s="1873"/>
      <c r="K2" s="1874"/>
    </row>
    <row r="3" spans="1:11" ht="13.5" customHeight="1">
      <c r="A3" s="1053" t="s">
        <v>935</v>
      </c>
      <c r="B3" s="1054" t="s">
        <v>936</v>
      </c>
      <c r="C3" s="1055" t="s">
        <v>937</v>
      </c>
      <c r="D3" s="1056">
        <v>0</v>
      </c>
      <c r="E3" s="1053" t="s">
        <v>870</v>
      </c>
      <c r="F3" s="1057" t="s">
        <v>938</v>
      </c>
      <c r="G3" s="1055" t="s">
        <v>937</v>
      </c>
      <c r="H3" s="1058">
        <v>1</v>
      </c>
      <c r="I3" s="1059" t="s">
        <v>939</v>
      </c>
      <c r="J3" s="1060"/>
      <c r="K3" s="1061"/>
    </row>
    <row r="4" spans="1:11" ht="13.5" customHeight="1">
      <c r="A4" s="1062" t="s">
        <v>940</v>
      </c>
      <c r="B4" s="1063" t="s">
        <v>941</v>
      </c>
      <c r="C4" s="1064" t="s">
        <v>942</v>
      </c>
      <c r="D4" s="1065">
        <v>0.4</v>
      </c>
      <c r="E4" s="1066" t="s">
        <v>943</v>
      </c>
      <c r="F4" s="1067" t="s">
        <v>944</v>
      </c>
      <c r="G4" s="1068" t="s">
        <v>945</v>
      </c>
      <c r="H4" s="1069">
        <v>1</v>
      </c>
      <c r="I4" s="1070" t="s">
        <v>939</v>
      </c>
      <c r="J4" s="1060"/>
      <c r="K4" s="1061"/>
    </row>
    <row r="5" spans="1:11" ht="13.5" customHeight="1">
      <c r="A5" s="1071"/>
      <c r="B5" s="1063" t="s">
        <v>946</v>
      </c>
      <c r="C5" s="1064" t="s">
        <v>942</v>
      </c>
      <c r="D5" s="1065">
        <v>0.4</v>
      </c>
      <c r="E5" s="1072"/>
      <c r="F5" s="1073" t="s">
        <v>947</v>
      </c>
      <c r="G5" s="1074"/>
      <c r="H5" s="1075"/>
      <c r="I5" s="1076"/>
      <c r="J5" s="1060"/>
      <c r="K5" s="1077"/>
    </row>
    <row r="6" spans="1:11" ht="13.5" customHeight="1">
      <c r="A6" s="1071"/>
      <c r="B6" s="1063"/>
      <c r="C6" s="1064"/>
      <c r="D6" s="1065"/>
      <c r="E6" s="1072"/>
      <c r="F6" s="1073" t="s">
        <v>948</v>
      </c>
      <c r="G6" s="1074" t="s">
        <v>949</v>
      </c>
      <c r="H6" s="1075">
        <v>1</v>
      </c>
      <c r="I6" s="1078" t="s">
        <v>939</v>
      </c>
      <c r="J6" s="1060"/>
      <c r="K6" s="1061"/>
    </row>
    <row r="7" spans="1:11" ht="13.5" customHeight="1">
      <c r="A7" s="1079"/>
      <c r="B7" s="1063" t="s">
        <v>950</v>
      </c>
      <c r="C7" s="1064" t="s">
        <v>942</v>
      </c>
      <c r="D7" s="1065">
        <v>0.4</v>
      </c>
      <c r="E7" s="1072"/>
      <c r="F7" s="1073" t="s">
        <v>951</v>
      </c>
      <c r="G7" s="1074" t="s">
        <v>945</v>
      </c>
      <c r="H7" s="1075">
        <v>1</v>
      </c>
      <c r="I7" s="1078" t="s">
        <v>939</v>
      </c>
      <c r="J7" s="1060"/>
      <c r="K7" s="1061"/>
    </row>
    <row r="8" spans="1:11" ht="13.5" customHeight="1">
      <c r="A8" s="1079"/>
      <c r="B8" s="1063" t="s">
        <v>952</v>
      </c>
      <c r="C8" s="1064" t="s">
        <v>942</v>
      </c>
      <c r="D8" s="1065">
        <v>0.4</v>
      </c>
      <c r="E8" s="1072"/>
      <c r="F8" s="1073" t="s">
        <v>953</v>
      </c>
      <c r="G8" s="1074" t="s">
        <v>945</v>
      </c>
      <c r="H8" s="1075">
        <v>1</v>
      </c>
      <c r="I8" s="1078" t="s">
        <v>939</v>
      </c>
      <c r="J8" s="1060"/>
      <c r="K8" s="1061"/>
    </row>
    <row r="9" spans="1:11" ht="13.5" customHeight="1">
      <c r="A9" s="1079"/>
      <c r="B9" s="1063" t="s">
        <v>954</v>
      </c>
      <c r="C9" s="1064" t="s">
        <v>937</v>
      </c>
      <c r="D9" s="1065">
        <v>0.4</v>
      </c>
      <c r="E9" s="1072"/>
      <c r="F9" s="1073" t="s">
        <v>955</v>
      </c>
      <c r="G9" s="1074" t="s">
        <v>945</v>
      </c>
      <c r="H9" s="1075">
        <v>1</v>
      </c>
      <c r="I9" s="1078" t="s">
        <v>939</v>
      </c>
      <c r="J9" s="1060"/>
      <c r="K9" s="1061"/>
    </row>
    <row r="10" spans="1:11" ht="13.5" customHeight="1">
      <c r="A10" s="1079"/>
      <c r="B10" s="1063" t="s">
        <v>956</v>
      </c>
      <c r="C10" s="1064" t="s">
        <v>937</v>
      </c>
      <c r="D10" s="1065">
        <v>0.4</v>
      </c>
      <c r="E10" s="1072"/>
      <c r="F10" s="1073" t="s">
        <v>957</v>
      </c>
      <c r="G10" s="1074" t="s">
        <v>945</v>
      </c>
      <c r="H10" s="1075">
        <v>1</v>
      </c>
      <c r="I10" s="1078" t="s">
        <v>939</v>
      </c>
      <c r="J10" s="1060"/>
      <c r="K10" s="1061"/>
    </row>
    <row r="11" spans="1:11" ht="13.5" customHeight="1">
      <c r="A11" s="1079"/>
      <c r="B11" s="1080" t="s">
        <v>958</v>
      </c>
      <c r="C11" s="1081" t="s">
        <v>937</v>
      </c>
      <c r="D11" s="1082">
        <v>0.5</v>
      </c>
      <c r="E11" s="1083"/>
      <c r="F11" s="1084" t="s">
        <v>959</v>
      </c>
      <c r="G11" s="1085" t="s">
        <v>949</v>
      </c>
      <c r="H11" s="1075">
        <v>1</v>
      </c>
      <c r="I11" s="1086" t="s">
        <v>960</v>
      </c>
      <c r="J11" s="1060"/>
      <c r="K11" s="1061"/>
    </row>
    <row r="12" spans="1:11" ht="13.5" customHeight="1">
      <c r="A12" s="1087"/>
      <c r="B12" s="1088"/>
      <c r="C12" s="1089"/>
      <c r="D12" s="1090"/>
      <c r="E12" s="1066" t="s">
        <v>961</v>
      </c>
      <c r="F12" s="1067" t="s">
        <v>962</v>
      </c>
      <c r="G12" s="1068"/>
      <c r="H12" s="1069"/>
      <c r="I12" s="1091"/>
      <c r="J12" s="1060"/>
      <c r="K12" s="1077"/>
    </row>
    <row r="13" spans="1:11" ht="13.5" customHeight="1">
      <c r="A13" s="1066" t="s">
        <v>963</v>
      </c>
      <c r="B13" s="1092" t="s">
        <v>964</v>
      </c>
      <c r="C13" s="1093" t="s">
        <v>942</v>
      </c>
      <c r="D13" s="1094">
        <v>1</v>
      </c>
      <c r="E13" s="1071"/>
      <c r="F13" s="1095" t="s">
        <v>965</v>
      </c>
      <c r="G13" s="1096" t="s">
        <v>945</v>
      </c>
      <c r="H13" s="1097">
        <v>1</v>
      </c>
      <c r="I13" s="1098" t="s">
        <v>960</v>
      </c>
      <c r="J13" s="1099" t="s">
        <v>1084</v>
      </c>
      <c r="K13" s="1061"/>
    </row>
    <row r="14" spans="1:11" ht="13.5" customHeight="1">
      <c r="A14" s="1100"/>
      <c r="B14" s="1088" t="s">
        <v>966</v>
      </c>
      <c r="C14" s="1089" t="s">
        <v>937</v>
      </c>
      <c r="D14" s="1090">
        <v>1</v>
      </c>
      <c r="E14" s="1072"/>
      <c r="F14" s="1073" t="s">
        <v>967</v>
      </c>
      <c r="G14" s="1074" t="s">
        <v>949</v>
      </c>
      <c r="H14" s="1075">
        <v>1</v>
      </c>
      <c r="I14" s="1078">
        <v>1</v>
      </c>
      <c r="J14" s="1060"/>
      <c r="K14" s="1061"/>
    </row>
    <row r="15" spans="1:11" ht="13.5" customHeight="1">
      <c r="A15" s="1071"/>
      <c r="B15" s="1101"/>
      <c r="C15" s="1047"/>
      <c r="D15" s="1102"/>
      <c r="E15" s="1072"/>
      <c r="F15" s="1073" t="s">
        <v>968</v>
      </c>
      <c r="G15" s="1074" t="s">
        <v>949</v>
      </c>
      <c r="H15" s="1075">
        <v>1</v>
      </c>
      <c r="I15" s="1078">
        <v>1</v>
      </c>
      <c r="J15" s="1060"/>
      <c r="K15" s="1061"/>
    </row>
    <row r="16" spans="1:11" ht="13.5" customHeight="1">
      <c r="A16" s="1071"/>
      <c r="B16" s="1101"/>
      <c r="C16" s="1047"/>
      <c r="D16" s="1102"/>
      <c r="E16" s="1072"/>
      <c r="F16" s="1073" t="s">
        <v>969</v>
      </c>
      <c r="G16" s="1074" t="s">
        <v>949</v>
      </c>
      <c r="H16" s="1075">
        <v>1</v>
      </c>
      <c r="I16" s="1078">
        <v>1</v>
      </c>
      <c r="J16" s="1060"/>
      <c r="K16" s="1061"/>
    </row>
    <row r="17" spans="1:11" ht="13.5" customHeight="1">
      <c r="A17" s="1066" t="s">
        <v>970</v>
      </c>
      <c r="B17" s="1092" t="s">
        <v>971</v>
      </c>
      <c r="C17" s="1093" t="s">
        <v>937</v>
      </c>
      <c r="D17" s="1094">
        <v>1</v>
      </c>
      <c r="E17" s="1072"/>
      <c r="F17" s="1073" t="s">
        <v>972</v>
      </c>
      <c r="G17" s="1074" t="s">
        <v>949</v>
      </c>
      <c r="H17" s="1075">
        <v>1</v>
      </c>
      <c r="I17" s="1078">
        <v>1</v>
      </c>
      <c r="J17" s="1060"/>
      <c r="K17" s="1061"/>
    </row>
    <row r="18" spans="1:11" ht="13.5" customHeight="1">
      <c r="A18" s="1103"/>
      <c r="B18" s="1088" t="s">
        <v>973</v>
      </c>
      <c r="C18" s="1089" t="s">
        <v>937</v>
      </c>
      <c r="D18" s="1090">
        <v>1</v>
      </c>
      <c r="E18" s="1072"/>
      <c r="F18" s="1073" t="s">
        <v>974</v>
      </c>
      <c r="G18" s="1074"/>
      <c r="H18" s="1075"/>
      <c r="I18" s="1076"/>
      <c r="J18" s="1060"/>
      <c r="K18" s="1077"/>
    </row>
    <row r="19" spans="1:11" ht="13.5" customHeight="1">
      <c r="A19" s="1062" t="s">
        <v>975</v>
      </c>
      <c r="B19" s="1063" t="s">
        <v>976</v>
      </c>
      <c r="C19" s="1064" t="s">
        <v>942</v>
      </c>
      <c r="D19" s="1065">
        <v>0.4</v>
      </c>
      <c r="E19" s="1072"/>
      <c r="F19" s="1073" t="s">
        <v>977</v>
      </c>
      <c r="G19" s="1074" t="s">
        <v>945</v>
      </c>
      <c r="H19" s="1075">
        <v>1</v>
      </c>
      <c r="I19" s="1078" t="s">
        <v>960</v>
      </c>
      <c r="J19" s="1060"/>
      <c r="K19" s="1061"/>
    </row>
    <row r="20" spans="1:11" ht="13.5" customHeight="1">
      <c r="A20" s="1071"/>
      <c r="B20" s="1063" t="s">
        <v>978</v>
      </c>
      <c r="C20" s="1064" t="s">
        <v>942</v>
      </c>
      <c r="D20" s="1065">
        <v>0.4</v>
      </c>
      <c r="E20" s="1072"/>
      <c r="F20" s="1073" t="s">
        <v>979</v>
      </c>
      <c r="G20" s="1074" t="s">
        <v>949</v>
      </c>
      <c r="H20" s="1075">
        <v>1</v>
      </c>
      <c r="I20" s="1078" t="s">
        <v>960</v>
      </c>
      <c r="J20" s="1060"/>
      <c r="K20" s="1061"/>
    </row>
    <row r="21" spans="1:11" ht="13.5" customHeight="1">
      <c r="A21" s="1079"/>
      <c r="B21" s="1063" t="s">
        <v>980</v>
      </c>
      <c r="C21" s="1064" t="s">
        <v>942</v>
      </c>
      <c r="D21" s="1065">
        <v>0</v>
      </c>
      <c r="E21" s="1072"/>
      <c r="F21" s="1073" t="s">
        <v>981</v>
      </c>
      <c r="G21" s="1074" t="s">
        <v>945</v>
      </c>
      <c r="H21" s="1075">
        <v>1</v>
      </c>
      <c r="I21" s="1078" t="s">
        <v>960</v>
      </c>
      <c r="J21" s="1060"/>
      <c r="K21" s="1061"/>
    </row>
    <row r="22" spans="1:11" ht="13.5" customHeight="1">
      <c r="A22" s="1079"/>
      <c r="B22" s="1063" t="s">
        <v>982</v>
      </c>
      <c r="C22" s="1064" t="s">
        <v>942</v>
      </c>
      <c r="D22" s="1065">
        <v>0</v>
      </c>
      <c r="E22" s="1104"/>
      <c r="F22" s="1105" t="s">
        <v>983</v>
      </c>
      <c r="G22" s="1085" t="s">
        <v>949</v>
      </c>
      <c r="H22" s="1106">
        <v>1</v>
      </c>
      <c r="I22" s="1107" t="s">
        <v>960</v>
      </c>
      <c r="J22" s="1060"/>
      <c r="K22" s="1061"/>
    </row>
    <row r="23" spans="1:11" ht="13.5" customHeight="1">
      <c r="A23" s="1108" t="s">
        <v>984</v>
      </c>
      <c r="B23" s="1109" t="s">
        <v>985</v>
      </c>
      <c r="C23" s="1110" t="s">
        <v>942</v>
      </c>
      <c r="D23" s="1111">
        <v>1</v>
      </c>
      <c r="E23" s="1071" t="s">
        <v>895</v>
      </c>
      <c r="F23" s="1112" t="s">
        <v>896</v>
      </c>
      <c r="G23" s="1113" t="s">
        <v>949</v>
      </c>
      <c r="H23" s="1114">
        <v>1</v>
      </c>
      <c r="I23" s="1115">
        <v>1</v>
      </c>
      <c r="J23" s="1060"/>
      <c r="K23" s="1061"/>
    </row>
    <row r="24" spans="1:11" ht="13.5" customHeight="1">
      <c r="A24" s="1071" t="s">
        <v>986</v>
      </c>
      <c r="B24" s="1116" t="s">
        <v>987</v>
      </c>
      <c r="C24" s="1117" t="s">
        <v>937</v>
      </c>
      <c r="D24" s="1118">
        <v>1</v>
      </c>
      <c r="E24" s="1072"/>
      <c r="F24" s="1073" t="s">
        <v>897</v>
      </c>
      <c r="G24" s="1074" t="s">
        <v>945</v>
      </c>
      <c r="H24" s="1075">
        <v>1</v>
      </c>
      <c r="I24" s="1078">
        <v>1</v>
      </c>
      <c r="J24" s="1060"/>
      <c r="K24" s="1061"/>
    </row>
    <row r="25" spans="1:11" ht="13.5" customHeight="1">
      <c r="A25" s="1071"/>
      <c r="B25" s="1063" t="s">
        <v>988</v>
      </c>
      <c r="C25" s="1064" t="s">
        <v>937</v>
      </c>
      <c r="D25" s="1065">
        <v>0</v>
      </c>
      <c r="E25" s="1072"/>
      <c r="F25" s="1073" t="s">
        <v>898</v>
      </c>
      <c r="G25" s="1074" t="s">
        <v>945</v>
      </c>
      <c r="H25" s="1075">
        <v>1</v>
      </c>
      <c r="I25" s="1078" t="s">
        <v>960</v>
      </c>
      <c r="J25" s="1060"/>
      <c r="K25" s="1061"/>
    </row>
    <row r="26" spans="1:11" ht="13.5" customHeight="1">
      <c r="A26" s="1071"/>
      <c r="B26" s="1063" t="s">
        <v>989</v>
      </c>
      <c r="C26" s="1064" t="s">
        <v>937</v>
      </c>
      <c r="D26" s="1065">
        <v>1</v>
      </c>
      <c r="E26" s="1072"/>
      <c r="F26" s="1073" t="s">
        <v>899</v>
      </c>
      <c r="G26" s="1119" t="s">
        <v>949</v>
      </c>
      <c r="H26" s="1120">
        <v>1</v>
      </c>
      <c r="I26" s="1086" t="s">
        <v>939</v>
      </c>
      <c r="J26" s="1060"/>
      <c r="K26" s="1061"/>
    </row>
    <row r="27" spans="1:11" ht="13.5" customHeight="1">
      <c r="A27" s="1066" t="s">
        <v>990</v>
      </c>
      <c r="B27" s="1092" t="s">
        <v>991</v>
      </c>
      <c r="C27" s="1093" t="s">
        <v>942</v>
      </c>
      <c r="D27" s="1094">
        <v>1</v>
      </c>
      <c r="E27" s="1066" t="s">
        <v>900</v>
      </c>
      <c r="F27" s="1067" t="s">
        <v>901</v>
      </c>
      <c r="G27" s="1121" t="s">
        <v>949</v>
      </c>
      <c r="H27" s="1122">
        <v>1</v>
      </c>
      <c r="I27" s="1123">
        <v>1</v>
      </c>
      <c r="J27" s="1060"/>
      <c r="K27" s="1061"/>
    </row>
    <row r="28" spans="1:11" ht="13.5" customHeight="1">
      <c r="A28" s="1071"/>
      <c r="B28" s="1101"/>
      <c r="C28" s="1047"/>
      <c r="D28" s="1102"/>
      <c r="E28" s="1072"/>
      <c r="F28" s="1073" t="s">
        <v>902</v>
      </c>
      <c r="G28" s="1124" t="s">
        <v>949</v>
      </c>
      <c r="H28" s="1125">
        <v>1</v>
      </c>
      <c r="I28" s="1126">
        <v>1</v>
      </c>
      <c r="J28" s="1060"/>
      <c r="K28" s="1061"/>
    </row>
    <row r="29" spans="1:11" ht="13.5" customHeight="1">
      <c r="A29" s="1100"/>
      <c r="B29" s="1088" t="s">
        <v>992</v>
      </c>
      <c r="C29" s="1089" t="s">
        <v>937</v>
      </c>
      <c r="D29" s="1090">
        <v>0.4</v>
      </c>
      <c r="E29" s="1127" t="s">
        <v>903</v>
      </c>
      <c r="F29" s="1128" t="s">
        <v>904</v>
      </c>
      <c r="G29" s="1129" t="s">
        <v>949</v>
      </c>
      <c r="H29" s="1130">
        <v>1</v>
      </c>
      <c r="I29" s="1131" t="s">
        <v>960</v>
      </c>
      <c r="J29" s="1060"/>
      <c r="K29" s="1061"/>
    </row>
    <row r="30" spans="1:11" ht="13.5" customHeight="1">
      <c r="A30" s="1053" t="s">
        <v>993</v>
      </c>
      <c r="B30" s="1054" t="s">
        <v>994</v>
      </c>
      <c r="C30" s="1055" t="s">
        <v>937</v>
      </c>
      <c r="D30" s="1056">
        <v>0.5</v>
      </c>
      <c r="E30" s="1132"/>
      <c r="F30" s="1133"/>
      <c r="H30" s="1134"/>
      <c r="I30" s="1135"/>
    </row>
    <row r="31" spans="1:11" ht="13.5" customHeight="1">
      <c r="A31" s="1136"/>
      <c r="B31" s="1136"/>
      <c r="C31" s="1137"/>
      <c r="D31" s="1138"/>
      <c r="E31" s="1132"/>
      <c r="F31" s="1133"/>
      <c r="H31" s="1134"/>
      <c r="I31" s="1135"/>
    </row>
    <row r="32" spans="1:11" ht="13.5" customHeight="1">
      <c r="A32" s="1875" t="s">
        <v>995</v>
      </c>
      <c r="B32" s="1875"/>
      <c r="C32" s="1139"/>
      <c r="D32" s="1140"/>
      <c r="E32" s="1141" t="s">
        <v>996</v>
      </c>
      <c r="F32" s="1133"/>
      <c r="H32" s="1134"/>
      <c r="I32" s="1135"/>
    </row>
    <row r="33" spans="1:11" ht="13.5" customHeight="1">
      <c r="A33" s="1080" t="s">
        <v>997</v>
      </c>
      <c r="B33" s="1063" t="s">
        <v>998</v>
      </c>
      <c r="C33" s="1064" t="s">
        <v>937</v>
      </c>
      <c r="D33" s="1065">
        <v>1</v>
      </c>
      <c r="E33" s="1066" t="s">
        <v>906</v>
      </c>
      <c r="F33" s="1092" t="s">
        <v>999</v>
      </c>
      <c r="G33" s="1142" t="s">
        <v>949</v>
      </c>
      <c r="H33" s="1143">
        <v>1</v>
      </c>
      <c r="I33" s="1070" t="s">
        <v>939</v>
      </c>
      <c r="J33" s="1060">
        <v>1</v>
      </c>
      <c r="K33" s="1144">
        <v>1</v>
      </c>
    </row>
    <row r="34" spans="1:11" ht="13.5" customHeight="1">
      <c r="A34" s="1101"/>
      <c r="B34" s="1063" t="s">
        <v>1000</v>
      </c>
      <c r="C34" s="1064" t="s">
        <v>937</v>
      </c>
      <c r="D34" s="1065">
        <v>1</v>
      </c>
      <c r="E34" s="1072"/>
      <c r="F34" s="1063" t="s">
        <v>1001</v>
      </c>
      <c r="G34" s="1145" t="s">
        <v>949</v>
      </c>
      <c r="H34" s="1146">
        <v>1</v>
      </c>
      <c r="I34" s="1147" t="s">
        <v>939</v>
      </c>
      <c r="J34" s="1060">
        <v>1</v>
      </c>
      <c r="K34" s="1144">
        <v>1</v>
      </c>
    </row>
    <row r="35" spans="1:11" ht="13.5" customHeight="1">
      <c r="A35" s="1148"/>
      <c r="B35" s="1088" t="s">
        <v>1002</v>
      </c>
      <c r="C35" s="1089" t="s">
        <v>937</v>
      </c>
      <c r="D35" s="1090">
        <v>1</v>
      </c>
      <c r="E35" s="1083"/>
      <c r="F35" s="1149"/>
      <c r="G35" s="1150"/>
      <c r="H35" s="1151"/>
      <c r="I35" s="1152"/>
      <c r="J35" s="1153"/>
      <c r="K35" s="1153"/>
    </row>
    <row r="36" spans="1:11" ht="13.5" customHeight="1">
      <c r="A36" s="1154" t="s">
        <v>1003</v>
      </c>
      <c r="B36" s="1092" t="s">
        <v>1004</v>
      </c>
      <c r="C36" s="1093" t="s">
        <v>937</v>
      </c>
      <c r="D36" s="1094">
        <v>1</v>
      </c>
      <c r="E36" s="1066" t="s">
        <v>914</v>
      </c>
      <c r="F36" s="1092" t="s">
        <v>1005</v>
      </c>
      <c r="G36" s="1142" t="s">
        <v>949</v>
      </c>
      <c r="H36" s="1143">
        <v>1</v>
      </c>
      <c r="I36" s="1070" t="s">
        <v>939</v>
      </c>
      <c r="J36" s="1060">
        <v>1</v>
      </c>
      <c r="K36" s="1144">
        <v>1</v>
      </c>
    </row>
    <row r="37" spans="1:11" ht="13.5" customHeight="1">
      <c r="A37" s="1101"/>
      <c r="B37" s="1063" t="s">
        <v>1006</v>
      </c>
      <c r="C37" s="1064" t="s">
        <v>937</v>
      </c>
      <c r="D37" s="1065">
        <v>0.4</v>
      </c>
      <c r="E37" s="1071"/>
      <c r="F37" s="1063" t="s">
        <v>1007</v>
      </c>
      <c r="G37" s="1145" t="s">
        <v>949</v>
      </c>
      <c r="H37" s="1146">
        <v>1</v>
      </c>
      <c r="I37" s="1147" t="s">
        <v>939</v>
      </c>
      <c r="J37" s="1060">
        <v>1</v>
      </c>
      <c r="K37" s="1144">
        <v>1</v>
      </c>
    </row>
    <row r="38" spans="1:11" ht="13.5" customHeight="1">
      <c r="A38" s="1155" t="s">
        <v>1008</v>
      </c>
      <c r="B38" s="1156" t="s">
        <v>1009</v>
      </c>
      <c r="C38" s="1157" t="s">
        <v>937</v>
      </c>
      <c r="D38" s="1158">
        <v>1</v>
      </c>
      <c r="E38" s="1159"/>
      <c r="F38" s="1160"/>
      <c r="G38" s="1161"/>
      <c r="H38" s="1162"/>
      <c r="I38" s="1163"/>
    </row>
    <row r="39" spans="1:11" ht="13.5" customHeight="1">
      <c r="A39" s="1164"/>
      <c r="B39" s="1165" t="s">
        <v>1010</v>
      </c>
      <c r="C39" s="1166" t="s">
        <v>937</v>
      </c>
      <c r="D39" s="1167">
        <v>1</v>
      </c>
      <c r="E39" s="1168" t="s">
        <v>923</v>
      </c>
      <c r="F39" s="1133"/>
      <c r="G39" s="1169"/>
      <c r="H39" s="1170"/>
      <c r="I39" s="1171"/>
      <c r="J39" s="1172"/>
      <c r="K39" s="1172"/>
    </row>
    <row r="40" spans="1:11" ht="13.5" customHeight="1">
      <c r="E40" s="1066" t="s">
        <v>1011</v>
      </c>
      <c r="F40" s="1092"/>
      <c r="G40" s="1142" t="s">
        <v>949</v>
      </c>
      <c r="H40" s="1143">
        <v>1</v>
      </c>
      <c r="I40" s="1173" t="s">
        <v>1012</v>
      </c>
      <c r="J40" s="1060">
        <v>1</v>
      </c>
      <c r="K40" s="1144">
        <v>1</v>
      </c>
    </row>
    <row r="41" spans="1:11">
      <c r="E41" s="1072" t="s">
        <v>1013</v>
      </c>
      <c r="F41" s="1063"/>
      <c r="G41" s="1145" t="s">
        <v>949</v>
      </c>
      <c r="H41" s="1146">
        <v>1</v>
      </c>
      <c r="I41" s="1174" t="s">
        <v>1012</v>
      </c>
      <c r="J41" s="1060">
        <v>1</v>
      </c>
      <c r="K41" s="1144">
        <v>1</v>
      </c>
    </row>
    <row r="42" spans="1:11">
      <c r="E42" s="1104" t="s">
        <v>1014</v>
      </c>
      <c r="F42" s="1165"/>
      <c r="G42" s="1175" t="s">
        <v>949</v>
      </c>
      <c r="H42" s="1176">
        <v>1</v>
      </c>
      <c r="I42" s="1177" t="s">
        <v>1012</v>
      </c>
      <c r="J42" s="1060">
        <v>1</v>
      </c>
      <c r="K42" s="1144">
        <v>1</v>
      </c>
    </row>
  </sheetData>
  <mergeCells count="3">
    <mergeCell ref="A1:B1"/>
    <mergeCell ref="J2:K2"/>
    <mergeCell ref="A32:B32"/>
  </mergeCells>
  <phoneticPr fontId="181" type="noConversion"/>
  <printOptions horizontalCentered="1"/>
  <pageMargins left="0.70866141732283472" right="0.70866141732283472" top="0.74803149606299213" bottom="0.74803149606299213" header="0" footer="0"/>
  <pageSetup paperSize="9" scale="9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5">
    <tabColor theme="7" tint="0.39997558519241921"/>
  </sheetPr>
  <dimension ref="A1:Q132"/>
  <sheetViews>
    <sheetView view="pageBreakPreview" zoomScaleNormal="100" zoomScaleSheetLayoutView="100" workbookViewId="0">
      <selection activeCell="Q18" sqref="Q18"/>
    </sheetView>
  </sheetViews>
  <sheetFormatPr defaultColWidth="8.88671875" defaultRowHeight="16.5"/>
  <cols>
    <col min="1" max="1" width="16.5546875" style="390" customWidth="1"/>
    <col min="2" max="2" width="6.77734375" style="390" customWidth="1"/>
    <col min="3" max="3" width="4.109375" style="390" customWidth="1"/>
    <col min="4" max="4" width="5" style="390" customWidth="1"/>
    <col min="5" max="5" width="7.6640625" style="390" customWidth="1"/>
    <col min="6" max="6" width="10.33203125" style="390" customWidth="1"/>
    <col min="7" max="7" width="7.6640625" style="390" customWidth="1"/>
    <col min="8" max="8" width="10.33203125" style="390" customWidth="1"/>
    <col min="9" max="9" width="7.6640625" style="390" customWidth="1"/>
    <col min="10" max="10" width="10.33203125" style="390" customWidth="1"/>
    <col min="11" max="11" width="7.6640625" style="390" customWidth="1"/>
    <col min="12" max="12" width="10.33203125" style="390" customWidth="1"/>
    <col min="13" max="13" width="7.6640625" style="441" customWidth="1"/>
    <col min="14" max="15" width="8.88671875" style="390"/>
    <col min="16" max="17" width="9.77734375" style="390" bestFit="1" customWidth="1"/>
    <col min="18" max="16384" width="8.88671875" style="390"/>
  </cols>
  <sheetData>
    <row r="1" spans="1:17" ht="23.1" customHeight="1">
      <c r="A1" s="1854" t="s">
        <v>255</v>
      </c>
      <c r="B1" s="1856" t="s">
        <v>256</v>
      </c>
      <c r="C1" s="1858" t="s">
        <v>258</v>
      </c>
      <c r="D1" s="1878" t="s">
        <v>523</v>
      </c>
      <c r="E1" s="1880" t="s">
        <v>39</v>
      </c>
      <c r="F1" s="1881"/>
      <c r="G1" s="388" t="s">
        <v>259</v>
      </c>
      <c r="H1" s="388"/>
      <c r="I1" s="388" t="s">
        <v>260</v>
      </c>
      <c r="J1" s="388"/>
      <c r="K1" s="388" t="s">
        <v>261</v>
      </c>
      <c r="L1" s="389"/>
      <c r="M1" s="1876" t="s">
        <v>262</v>
      </c>
      <c r="O1" s="390" t="s">
        <v>524</v>
      </c>
      <c r="P1" s="390" t="s">
        <v>525</v>
      </c>
      <c r="Q1" s="390" t="s">
        <v>526</v>
      </c>
    </row>
    <row r="2" spans="1:17" ht="23.1" customHeight="1">
      <c r="A2" s="1855"/>
      <c r="B2" s="1857"/>
      <c r="C2" s="1859"/>
      <c r="D2" s="1879"/>
      <c r="E2" s="391" t="s">
        <v>263</v>
      </c>
      <c r="F2" s="392" t="s">
        <v>147</v>
      </c>
      <c r="G2" s="392" t="s">
        <v>263</v>
      </c>
      <c r="H2" s="392" t="s">
        <v>147</v>
      </c>
      <c r="I2" s="392" t="s">
        <v>263</v>
      </c>
      <c r="J2" s="392" t="s">
        <v>147</v>
      </c>
      <c r="K2" s="392" t="s">
        <v>263</v>
      </c>
      <c r="L2" s="393" t="s">
        <v>147</v>
      </c>
      <c r="M2" s="1877"/>
      <c r="O2" s="390">
        <v>1</v>
      </c>
      <c r="P2" s="394" t="e">
        <f>#REF!</f>
        <v>#REF!</v>
      </c>
      <c r="Q2" s="394" t="e">
        <f>#REF!</f>
        <v>#REF!</v>
      </c>
    </row>
    <row r="3" spans="1:17" ht="23.1" customHeight="1">
      <c r="A3" s="395" t="s">
        <v>527</v>
      </c>
      <c r="B3" s="396"/>
      <c r="C3" s="396"/>
      <c r="D3" s="397"/>
      <c r="E3" s="398"/>
      <c r="F3" s="396"/>
      <c r="G3" s="396"/>
      <c r="H3" s="396"/>
      <c r="I3" s="396"/>
      <c r="J3" s="396"/>
      <c r="K3" s="396"/>
      <c r="L3" s="399"/>
      <c r="M3" s="400"/>
    </row>
    <row r="4" spans="1:17" ht="23.1" customHeight="1">
      <c r="A4" s="401" t="s">
        <v>1859</v>
      </c>
      <c r="B4" s="402"/>
      <c r="C4" s="402"/>
      <c r="D4" s="403"/>
      <c r="E4" s="404"/>
      <c r="F4" s="402"/>
      <c r="G4" s="402"/>
      <c r="H4" s="402"/>
      <c r="I4" s="402"/>
      <c r="J4" s="402"/>
      <c r="K4" s="402"/>
      <c r="L4" s="405"/>
      <c r="M4" s="406" t="s">
        <v>1099</v>
      </c>
    </row>
    <row r="5" spans="1:17" ht="23.1" customHeight="1">
      <c r="A5" s="407" t="s">
        <v>140</v>
      </c>
      <c r="B5" s="402"/>
      <c r="C5" s="408" t="s">
        <v>41</v>
      </c>
      <c r="D5" s="409" t="e">
        <f>'산근2-1(측량조사)'!E37</f>
        <v>#REF!</v>
      </c>
      <c r="E5" s="410">
        <f t="shared" ref="E5:F10" si="0">SUM(G5,I5,K5)</f>
        <v>0</v>
      </c>
      <c r="F5" s="411" t="e">
        <f t="shared" si="0"/>
        <v>#REF!</v>
      </c>
      <c r="G5" s="411">
        <f>'산근3 노임'!$B$27</f>
        <v>0</v>
      </c>
      <c r="H5" s="411" t="e">
        <f t="shared" ref="H5:H9" si="1">TRUNC($D5*G5,0)</f>
        <v>#REF!</v>
      </c>
      <c r="I5" s="411"/>
      <c r="J5" s="411"/>
      <c r="K5" s="411"/>
      <c r="L5" s="411" t="e">
        <f t="shared" ref="L5:L9" si="2">TRUNC($D5*K5,0)</f>
        <v>#REF!</v>
      </c>
      <c r="M5" s="412"/>
    </row>
    <row r="6" spans="1:17" ht="23.1" customHeight="1">
      <c r="A6" s="407" t="s">
        <v>145</v>
      </c>
      <c r="B6" s="402"/>
      <c r="C6" s="408" t="s">
        <v>41</v>
      </c>
      <c r="D6" s="409" t="e">
        <f>'산근2-1(측량조사)'!G37</f>
        <v>#REF!</v>
      </c>
      <c r="E6" s="410">
        <f t="shared" si="0"/>
        <v>0</v>
      </c>
      <c r="F6" s="411" t="e">
        <f t="shared" si="0"/>
        <v>#REF!</v>
      </c>
      <c r="G6" s="411">
        <f>'산근3 노임'!$B$28</f>
        <v>0</v>
      </c>
      <c r="H6" s="411" t="e">
        <f t="shared" si="1"/>
        <v>#REF!</v>
      </c>
      <c r="I6" s="411"/>
      <c r="J6" s="411"/>
      <c r="K6" s="411"/>
      <c r="L6" s="411" t="e">
        <f t="shared" si="2"/>
        <v>#REF!</v>
      </c>
      <c r="M6" s="412"/>
    </row>
    <row r="7" spans="1:17" ht="23.1" customHeight="1">
      <c r="A7" s="407" t="s">
        <v>161</v>
      </c>
      <c r="B7" s="402"/>
      <c r="C7" s="408" t="s">
        <v>41</v>
      </c>
      <c r="D7" s="409" t="e">
        <f>'산근2-1(측량조사)'!I37</f>
        <v>#REF!</v>
      </c>
      <c r="E7" s="410">
        <f t="shared" si="0"/>
        <v>0</v>
      </c>
      <c r="F7" s="411" t="e">
        <f t="shared" si="0"/>
        <v>#REF!</v>
      </c>
      <c r="G7" s="411">
        <f>'산근3 노임'!$B$29</f>
        <v>0</v>
      </c>
      <c r="H7" s="411" t="e">
        <f t="shared" si="1"/>
        <v>#REF!</v>
      </c>
      <c r="I7" s="411"/>
      <c r="J7" s="411"/>
      <c r="K7" s="411"/>
      <c r="L7" s="411" t="e">
        <f t="shared" si="2"/>
        <v>#REF!</v>
      </c>
      <c r="M7" s="412"/>
    </row>
    <row r="8" spans="1:17" ht="23.1" customHeight="1">
      <c r="A8" s="407" t="s">
        <v>159</v>
      </c>
      <c r="B8" s="402"/>
      <c r="C8" s="408" t="s">
        <v>41</v>
      </c>
      <c r="D8" s="409" t="e">
        <f>'산근2-1(측량조사)'!K37</f>
        <v>#REF!</v>
      </c>
      <c r="E8" s="410">
        <f t="shared" si="0"/>
        <v>0</v>
      </c>
      <c r="F8" s="411" t="e">
        <f t="shared" si="0"/>
        <v>#REF!</v>
      </c>
      <c r="G8" s="411">
        <f>'산근3 노임'!$B$30</f>
        <v>0</v>
      </c>
      <c r="H8" s="411" t="e">
        <f t="shared" si="1"/>
        <v>#REF!</v>
      </c>
      <c r="I8" s="411"/>
      <c r="J8" s="411"/>
      <c r="K8" s="411"/>
      <c r="L8" s="411" t="e">
        <f t="shared" si="2"/>
        <v>#REF!</v>
      </c>
      <c r="M8" s="412"/>
    </row>
    <row r="9" spans="1:17" ht="23.1" customHeight="1">
      <c r="A9" s="407" t="s">
        <v>158</v>
      </c>
      <c r="B9" s="402"/>
      <c r="C9" s="408" t="s">
        <v>41</v>
      </c>
      <c r="D9" s="409" t="e">
        <f>'산근2-1(측량조사)'!M37</f>
        <v>#REF!</v>
      </c>
      <c r="E9" s="410">
        <f t="shared" si="0"/>
        <v>0</v>
      </c>
      <c r="F9" s="411" t="e">
        <f t="shared" si="0"/>
        <v>#REF!</v>
      </c>
      <c r="G9" s="411">
        <f>'산근3 노임'!$B$31</f>
        <v>0</v>
      </c>
      <c r="H9" s="411" t="e">
        <f t="shared" si="1"/>
        <v>#REF!</v>
      </c>
      <c r="I9" s="411"/>
      <c r="J9" s="411"/>
      <c r="K9" s="411"/>
      <c r="L9" s="411" t="e">
        <f t="shared" si="2"/>
        <v>#REF!</v>
      </c>
      <c r="M9" s="412"/>
    </row>
    <row r="10" spans="1:17" ht="23.1" customHeight="1">
      <c r="A10" s="407" t="s">
        <v>532</v>
      </c>
      <c r="B10" s="402"/>
      <c r="C10" s="408" t="s">
        <v>41</v>
      </c>
      <c r="D10" s="409" t="e">
        <f>'산근2-1(측량조사)'!O37</f>
        <v>#REF!</v>
      </c>
      <c r="E10" s="410">
        <f>SUM(G10,I10,K10)</f>
        <v>0</v>
      </c>
      <c r="F10" s="411" t="e">
        <f t="shared" si="0"/>
        <v>#REF!</v>
      </c>
      <c r="G10" s="411"/>
      <c r="H10" s="411" t="e">
        <f>TRUNC($D10*G10,0)</f>
        <v>#REF!</v>
      </c>
      <c r="I10" s="411"/>
      <c r="J10" s="411"/>
      <c r="K10" s="411">
        <f>'산근3 노임'!$B$19</f>
        <v>0</v>
      </c>
      <c r="L10" s="411" t="e">
        <f>TRUNC($D10*K10,0)</f>
        <v>#REF!</v>
      </c>
      <c r="M10" s="412"/>
    </row>
    <row r="11" spans="1:17" ht="23.1" customHeight="1">
      <c r="A11" s="413" t="s">
        <v>533</v>
      </c>
      <c r="B11" s="402"/>
      <c r="C11" s="408"/>
      <c r="D11" s="409"/>
      <c r="E11" s="410"/>
      <c r="F11" s="411" t="e">
        <f>SUM(H11,J11,L11)</f>
        <v>#REF!</v>
      </c>
      <c r="G11" s="411"/>
      <c r="H11" s="411" t="e">
        <f>SUM(H5:H10)</f>
        <v>#REF!</v>
      </c>
      <c r="I11" s="411"/>
      <c r="J11" s="411">
        <f>SUM(J5:J10)</f>
        <v>0</v>
      </c>
      <c r="K11" s="411"/>
      <c r="L11" s="411" t="e">
        <f>SUM(L5:L10)</f>
        <v>#REF!</v>
      </c>
      <c r="M11" s="412"/>
    </row>
    <row r="12" spans="1:17" ht="23.1" customHeight="1">
      <c r="A12" s="414">
        <f>$O$2</f>
        <v>1</v>
      </c>
      <c r="B12" s="415"/>
      <c r="C12" s="415"/>
      <c r="D12" s="416"/>
      <c r="E12" s="417"/>
      <c r="F12" s="411" t="e">
        <f>SUM(H12,J12,L12)</f>
        <v>#REF!</v>
      </c>
      <c r="G12" s="418"/>
      <c r="H12" s="418" t="e">
        <f>INT($A12*H11)</f>
        <v>#REF!</v>
      </c>
      <c r="I12" s="418"/>
      <c r="J12" s="418">
        <f>INT($A12*J11)</f>
        <v>0</v>
      </c>
      <c r="K12" s="418"/>
      <c r="L12" s="418" t="e">
        <f>INT($A12*L11)</f>
        <v>#REF!</v>
      </c>
      <c r="M12" s="412"/>
    </row>
    <row r="13" spans="1:17" ht="23.1" customHeight="1">
      <c r="A13" s="401" t="s">
        <v>1860</v>
      </c>
      <c r="B13" s="402"/>
      <c r="C13" s="402"/>
      <c r="D13" s="403"/>
      <c r="E13" s="410"/>
      <c r="F13" s="411"/>
      <c r="G13" s="411"/>
      <c r="H13" s="411"/>
      <c r="I13" s="411"/>
      <c r="J13" s="411"/>
      <c r="K13" s="411"/>
      <c r="L13" s="419"/>
      <c r="M13" s="406" t="s">
        <v>1100</v>
      </c>
    </row>
    <row r="14" spans="1:17" ht="23.1" customHeight="1">
      <c r="A14" s="407" t="s">
        <v>140</v>
      </c>
      <c r="B14" s="402"/>
      <c r="C14" s="408" t="s">
        <v>41</v>
      </c>
      <c r="D14" s="409">
        <f>0</f>
        <v>0</v>
      </c>
      <c r="E14" s="410">
        <f t="shared" ref="E14:F19" si="3">SUM(G14,I14,K14)</f>
        <v>0</v>
      </c>
      <c r="F14" s="411">
        <f t="shared" si="3"/>
        <v>0</v>
      </c>
      <c r="G14" s="411">
        <f>'산근3 노임'!$B$27</f>
        <v>0</v>
      </c>
      <c r="H14" s="411">
        <f t="shared" ref="H14:H19" si="4">TRUNC($D14*G14,0)</f>
        <v>0</v>
      </c>
      <c r="I14" s="411"/>
      <c r="J14" s="411"/>
      <c r="K14" s="411"/>
      <c r="L14" s="411">
        <f t="shared" ref="L14:L19" si="5">TRUNC($D14*K14,0)</f>
        <v>0</v>
      </c>
      <c r="M14" s="412"/>
    </row>
    <row r="15" spans="1:17" ht="23.1" customHeight="1">
      <c r="A15" s="407" t="s">
        <v>145</v>
      </c>
      <c r="B15" s="402"/>
      <c r="C15" s="408" t="s">
        <v>41</v>
      </c>
      <c r="D15" s="409">
        <f>'산근2-1(측량조사)'!G75</f>
        <v>4</v>
      </c>
      <c r="E15" s="410">
        <f t="shared" si="3"/>
        <v>0</v>
      </c>
      <c r="F15" s="411">
        <f t="shared" si="3"/>
        <v>0</v>
      </c>
      <c r="G15" s="411">
        <f>'산근3 노임'!$B$28</f>
        <v>0</v>
      </c>
      <c r="H15" s="411">
        <f t="shared" si="4"/>
        <v>0</v>
      </c>
      <c r="I15" s="411"/>
      <c r="J15" s="411"/>
      <c r="K15" s="411"/>
      <c r="L15" s="411">
        <f t="shared" si="5"/>
        <v>0</v>
      </c>
      <c r="M15" s="412"/>
    </row>
    <row r="16" spans="1:17" ht="23.1" customHeight="1">
      <c r="A16" s="407" t="s">
        <v>161</v>
      </c>
      <c r="B16" s="402"/>
      <c r="C16" s="408" t="s">
        <v>41</v>
      </c>
      <c r="D16" s="409">
        <f>'산근2-1(측량조사)'!I75</f>
        <v>7.47</v>
      </c>
      <c r="E16" s="410">
        <f t="shared" si="3"/>
        <v>0</v>
      </c>
      <c r="F16" s="411">
        <f t="shared" si="3"/>
        <v>0</v>
      </c>
      <c r="G16" s="411">
        <f>'산근3 노임'!$B$29</f>
        <v>0</v>
      </c>
      <c r="H16" s="411">
        <f t="shared" si="4"/>
        <v>0</v>
      </c>
      <c r="I16" s="411"/>
      <c r="J16" s="411"/>
      <c r="K16" s="411"/>
      <c r="L16" s="411">
        <f t="shared" si="5"/>
        <v>0</v>
      </c>
      <c r="M16" s="412"/>
    </row>
    <row r="17" spans="1:13" ht="23.1" customHeight="1">
      <c r="A17" s="407" t="s">
        <v>159</v>
      </c>
      <c r="B17" s="402"/>
      <c r="C17" s="408" t="s">
        <v>41</v>
      </c>
      <c r="D17" s="409">
        <f>'산근2-1(측량조사)'!K75</f>
        <v>8.94</v>
      </c>
      <c r="E17" s="410">
        <f t="shared" si="3"/>
        <v>0</v>
      </c>
      <c r="F17" s="411">
        <f t="shared" si="3"/>
        <v>0</v>
      </c>
      <c r="G17" s="411">
        <f>'산근3 노임'!$B$30</f>
        <v>0</v>
      </c>
      <c r="H17" s="411">
        <f t="shared" si="4"/>
        <v>0</v>
      </c>
      <c r="I17" s="411"/>
      <c r="J17" s="411"/>
      <c r="K17" s="411"/>
      <c r="L17" s="411">
        <f t="shared" si="5"/>
        <v>0</v>
      </c>
      <c r="M17" s="412"/>
    </row>
    <row r="18" spans="1:13" ht="23.1" customHeight="1">
      <c r="A18" s="407" t="s">
        <v>158</v>
      </c>
      <c r="B18" s="402"/>
      <c r="C18" s="408" t="s">
        <v>41</v>
      </c>
      <c r="D18" s="409">
        <f>'산근2-1(측량조사)'!M75</f>
        <v>13.879999999999999</v>
      </c>
      <c r="E18" s="410">
        <f t="shared" si="3"/>
        <v>0</v>
      </c>
      <c r="F18" s="411">
        <f t="shared" si="3"/>
        <v>0</v>
      </c>
      <c r="G18" s="411">
        <f>'산근3 노임'!$B$31</f>
        <v>0</v>
      </c>
      <c r="H18" s="411">
        <f t="shared" si="4"/>
        <v>0</v>
      </c>
      <c r="I18" s="411"/>
      <c r="J18" s="411"/>
      <c r="K18" s="411"/>
      <c r="L18" s="411">
        <f t="shared" si="5"/>
        <v>0</v>
      </c>
      <c r="M18" s="412"/>
    </row>
    <row r="19" spans="1:13" ht="23.1" customHeight="1">
      <c r="A19" s="407" t="s">
        <v>532</v>
      </c>
      <c r="B19" s="402"/>
      <c r="C19" s="408" t="s">
        <v>41</v>
      </c>
      <c r="D19" s="409">
        <f>'산근2-1(측량조사)'!O75</f>
        <v>5.47</v>
      </c>
      <c r="E19" s="410">
        <f t="shared" si="3"/>
        <v>0</v>
      </c>
      <c r="F19" s="411">
        <f t="shared" si="3"/>
        <v>0</v>
      </c>
      <c r="G19" s="411"/>
      <c r="H19" s="411">
        <f t="shared" si="4"/>
        <v>0</v>
      </c>
      <c r="I19" s="411"/>
      <c r="J19" s="411"/>
      <c r="K19" s="411">
        <f>'산근3 노임'!$B$19</f>
        <v>0</v>
      </c>
      <c r="L19" s="411">
        <f t="shared" si="5"/>
        <v>0</v>
      </c>
      <c r="M19" s="412"/>
    </row>
    <row r="20" spans="1:13" ht="23.1" customHeight="1">
      <c r="A20" s="413" t="s">
        <v>533</v>
      </c>
      <c r="B20" s="402"/>
      <c r="C20" s="408"/>
      <c r="D20" s="409"/>
      <c r="E20" s="410"/>
      <c r="F20" s="411">
        <f>SUM(H20,J20,L20)</f>
        <v>0</v>
      </c>
      <c r="G20" s="411"/>
      <c r="H20" s="411">
        <f>SUM(H14:H19)</f>
        <v>0</v>
      </c>
      <c r="I20" s="411"/>
      <c r="J20" s="411">
        <f>SUM(J14:J19)</f>
        <v>0</v>
      </c>
      <c r="K20" s="411"/>
      <c r="L20" s="411">
        <f>SUM(L14:L19)</f>
        <v>0</v>
      </c>
      <c r="M20" s="412"/>
    </row>
    <row r="21" spans="1:13" ht="23.1" customHeight="1">
      <c r="A21" s="414">
        <f>$O$2</f>
        <v>1</v>
      </c>
      <c r="B21" s="415"/>
      <c r="C21" s="415"/>
      <c r="D21" s="416"/>
      <c r="E21" s="417"/>
      <c r="F21" s="418">
        <f>SUM(H21,J21,L21)</f>
        <v>0</v>
      </c>
      <c r="G21" s="418"/>
      <c r="H21" s="418">
        <f>INT($A21*H20)</f>
        <v>0</v>
      </c>
      <c r="I21" s="418"/>
      <c r="J21" s="418">
        <f>INT($A21*J20)</f>
        <v>0</v>
      </c>
      <c r="K21" s="418"/>
      <c r="L21" s="418">
        <f>INT($A21*L20)</f>
        <v>0</v>
      </c>
      <c r="M21" s="420"/>
    </row>
    <row r="22" spans="1:13" ht="23.1" customHeight="1">
      <c r="A22" s="421"/>
      <c r="B22" s="422"/>
      <c r="C22" s="422"/>
      <c r="D22" s="423"/>
      <c r="E22" s="424"/>
      <c r="F22" s="425"/>
      <c r="G22" s="425"/>
      <c r="H22" s="425"/>
      <c r="I22" s="425"/>
      <c r="J22" s="425"/>
      <c r="K22" s="425"/>
      <c r="L22" s="426"/>
      <c r="M22" s="427"/>
    </row>
    <row r="23" spans="1:13" ht="23.1" customHeight="1">
      <c r="A23" s="428" t="s">
        <v>1861</v>
      </c>
      <c r="B23" s="429"/>
      <c r="C23" s="430"/>
      <c r="D23" s="431"/>
      <c r="E23" s="432"/>
      <c r="F23" s="433"/>
      <c r="G23" s="433"/>
      <c r="H23" s="433"/>
      <c r="I23" s="433"/>
      <c r="J23" s="433"/>
      <c r="K23" s="433"/>
      <c r="L23" s="434"/>
      <c r="M23" s="435" t="s">
        <v>1101</v>
      </c>
    </row>
    <row r="24" spans="1:13" ht="23.1" customHeight="1">
      <c r="A24" s="407" t="s">
        <v>140</v>
      </c>
      <c r="B24" s="402"/>
      <c r="C24" s="408" t="s">
        <v>41</v>
      </c>
      <c r="D24" s="409">
        <v>0</v>
      </c>
      <c r="E24" s="410">
        <f t="shared" ref="E24:F29" si="6">SUM(G24,I24,K24)</f>
        <v>0</v>
      </c>
      <c r="F24" s="411">
        <f t="shared" si="6"/>
        <v>0</v>
      </c>
      <c r="G24" s="411">
        <f>'산근3 노임'!$B$27</f>
        <v>0</v>
      </c>
      <c r="H24" s="411">
        <f t="shared" ref="H24:H29" si="7">TRUNC($D24*G24,0)</f>
        <v>0</v>
      </c>
      <c r="I24" s="411"/>
      <c r="J24" s="411"/>
      <c r="K24" s="411"/>
      <c r="L24" s="411">
        <f t="shared" ref="L24:L29" si="8">TRUNC($D24*K24,0)</f>
        <v>0</v>
      </c>
      <c r="M24" s="412"/>
    </row>
    <row r="25" spans="1:13" ht="23.1" customHeight="1">
      <c r="A25" s="407" t="s">
        <v>145</v>
      </c>
      <c r="B25" s="402"/>
      <c r="C25" s="408" t="s">
        <v>41</v>
      </c>
      <c r="D25" s="409">
        <f>'산근2-1(측량조사)'!D88</f>
        <v>4.4000000000000004</v>
      </c>
      <c r="E25" s="410">
        <f t="shared" si="6"/>
        <v>0</v>
      </c>
      <c r="F25" s="411">
        <f t="shared" si="6"/>
        <v>0</v>
      </c>
      <c r="G25" s="411">
        <f>'산근3 노임'!$B$28</f>
        <v>0</v>
      </c>
      <c r="H25" s="411">
        <f t="shared" si="7"/>
        <v>0</v>
      </c>
      <c r="I25" s="411"/>
      <c r="J25" s="411"/>
      <c r="K25" s="411"/>
      <c r="L25" s="411">
        <f t="shared" si="8"/>
        <v>0</v>
      </c>
      <c r="M25" s="412"/>
    </row>
    <row r="26" spans="1:13" ht="23.1" customHeight="1">
      <c r="A26" s="407" t="s">
        <v>161</v>
      </c>
      <c r="B26" s="402"/>
      <c r="C26" s="408" t="s">
        <v>41</v>
      </c>
      <c r="D26" s="409">
        <f>'산근2-1(측량조사)'!F88</f>
        <v>10.8</v>
      </c>
      <c r="E26" s="410">
        <f t="shared" si="6"/>
        <v>0</v>
      </c>
      <c r="F26" s="411">
        <f t="shared" si="6"/>
        <v>0</v>
      </c>
      <c r="G26" s="411">
        <f>'산근3 노임'!$B$29</f>
        <v>0</v>
      </c>
      <c r="H26" s="411">
        <f t="shared" si="7"/>
        <v>0</v>
      </c>
      <c r="I26" s="411"/>
      <c r="J26" s="411"/>
      <c r="K26" s="411"/>
      <c r="L26" s="411">
        <f t="shared" si="8"/>
        <v>0</v>
      </c>
      <c r="M26" s="412"/>
    </row>
    <row r="27" spans="1:13" ht="23.1" customHeight="1">
      <c r="A27" s="407" t="s">
        <v>159</v>
      </c>
      <c r="B27" s="402"/>
      <c r="C27" s="408" t="s">
        <v>41</v>
      </c>
      <c r="D27" s="409">
        <f>'산근2-1(측량조사)'!H88</f>
        <v>12</v>
      </c>
      <c r="E27" s="410">
        <f t="shared" si="6"/>
        <v>0</v>
      </c>
      <c r="F27" s="411">
        <f t="shared" si="6"/>
        <v>0</v>
      </c>
      <c r="G27" s="411">
        <f>'산근3 노임'!$B$30</f>
        <v>0</v>
      </c>
      <c r="H27" s="411">
        <f t="shared" si="7"/>
        <v>0</v>
      </c>
      <c r="I27" s="411"/>
      <c r="J27" s="411"/>
      <c r="K27" s="411"/>
      <c r="L27" s="411">
        <f t="shared" si="8"/>
        <v>0</v>
      </c>
      <c r="M27" s="412"/>
    </row>
    <row r="28" spans="1:13" ht="23.1" customHeight="1">
      <c r="A28" s="407" t="s">
        <v>158</v>
      </c>
      <c r="B28" s="402"/>
      <c r="C28" s="408" t="s">
        <v>41</v>
      </c>
      <c r="D28" s="409">
        <f>'산근2-1(측량조사)'!J88</f>
        <v>5.2</v>
      </c>
      <c r="E28" s="410">
        <f t="shared" si="6"/>
        <v>0</v>
      </c>
      <c r="F28" s="411">
        <f t="shared" si="6"/>
        <v>0</v>
      </c>
      <c r="G28" s="411">
        <f>'산근3 노임'!$B$31</f>
        <v>0</v>
      </c>
      <c r="H28" s="411">
        <f t="shared" si="7"/>
        <v>0</v>
      </c>
      <c r="I28" s="411"/>
      <c r="J28" s="411"/>
      <c r="K28" s="411"/>
      <c r="L28" s="411">
        <f t="shared" si="8"/>
        <v>0</v>
      </c>
      <c r="M28" s="412"/>
    </row>
    <row r="29" spans="1:13" ht="23.1" customHeight="1">
      <c r="A29" s="407" t="s">
        <v>532</v>
      </c>
      <c r="B29" s="402"/>
      <c r="C29" s="408" t="s">
        <v>41</v>
      </c>
      <c r="D29" s="409">
        <v>0</v>
      </c>
      <c r="E29" s="410">
        <f t="shared" si="6"/>
        <v>0</v>
      </c>
      <c r="F29" s="411">
        <f t="shared" si="6"/>
        <v>0</v>
      </c>
      <c r="G29" s="411"/>
      <c r="H29" s="411">
        <f t="shared" si="7"/>
        <v>0</v>
      </c>
      <c r="I29" s="411"/>
      <c r="J29" s="411"/>
      <c r="K29" s="411">
        <f>'산근3 노임'!$B$19</f>
        <v>0</v>
      </c>
      <c r="L29" s="411">
        <f t="shared" si="8"/>
        <v>0</v>
      </c>
      <c r="M29" s="412"/>
    </row>
    <row r="30" spans="1:13" ht="23.1" customHeight="1">
      <c r="A30" s="413" t="s">
        <v>533</v>
      </c>
      <c r="B30" s="402"/>
      <c r="C30" s="408"/>
      <c r="D30" s="409"/>
      <c r="E30" s="410"/>
      <c r="F30" s="411">
        <f>SUM(H30,J30,L30)</f>
        <v>0</v>
      </c>
      <c r="G30" s="411"/>
      <c r="H30" s="411">
        <f>SUM(H24:H29)</f>
        <v>0</v>
      </c>
      <c r="I30" s="411"/>
      <c r="J30" s="411">
        <f>SUM(J24:J29)</f>
        <v>0</v>
      </c>
      <c r="K30" s="411"/>
      <c r="L30" s="411">
        <f>SUM(L24:L29)</f>
        <v>0</v>
      </c>
      <c r="M30" s="412"/>
    </row>
    <row r="31" spans="1:13" ht="23.1" customHeight="1">
      <c r="A31" s="414">
        <f>$O$2</f>
        <v>1</v>
      </c>
      <c r="B31" s="415"/>
      <c r="C31" s="415"/>
      <c r="D31" s="416"/>
      <c r="E31" s="417"/>
      <c r="F31" s="418">
        <f>SUM(H31,J31,L31)</f>
        <v>0</v>
      </c>
      <c r="G31" s="418"/>
      <c r="H31" s="418">
        <f>INT($A31*H30)</f>
        <v>0</v>
      </c>
      <c r="I31" s="418"/>
      <c r="J31" s="418">
        <f>INT($A31*J30)</f>
        <v>0</v>
      </c>
      <c r="K31" s="418"/>
      <c r="L31" s="418">
        <f>INT($A31*L30)</f>
        <v>0</v>
      </c>
      <c r="M31" s="420"/>
    </row>
    <row r="32" spans="1:13" ht="23.1" customHeight="1">
      <c r="A32" s="401" t="s">
        <v>1862</v>
      </c>
      <c r="B32" s="402"/>
      <c r="C32" s="408"/>
      <c r="D32" s="409"/>
      <c r="E32" s="410"/>
      <c r="F32" s="411"/>
      <c r="G32" s="411"/>
      <c r="H32" s="411"/>
      <c r="I32" s="411"/>
      <c r="J32" s="411"/>
      <c r="K32" s="411"/>
      <c r="L32" s="419"/>
      <c r="M32" s="406" t="s">
        <v>1102</v>
      </c>
    </row>
    <row r="33" spans="1:13" ht="23.1" customHeight="1">
      <c r="A33" s="407" t="s">
        <v>140</v>
      </c>
      <c r="B33" s="402"/>
      <c r="C33" s="408" t="s">
        <v>41</v>
      </c>
      <c r="D33" s="409">
        <v>0</v>
      </c>
      <c r="E33" s="410">
        <f t="shared" ref="E33:F38" si="9">SUM(G33,I33,K33)</f>
        <v>0</v>
      </c>
      <c r="F33" s="411">
        <f t="shared" si="9"/>
        <v>0</v>
      </c>
      <c r="G33" s="411">
        <f>'산근3 노임'!$B$27</f>
        <v>0</v>
      </c>
      <c r="H33" s="411">
        <f t="shared" ref="H33:H38" si="10">TRUNC($D33*G33,0)</f>
        <v>0</v>
      </c>
      <c r="I33" s="411"/>
      <c r="J33" s="411"/>
      <c r="K33" s="411"/>
      <c r="L33" s="411">
        <f t="shared" ref="L33:L38" si="11">TRUNC($D33*K33,0)</f>
        <v>0</v>
      </c>
      <c r="M33" s="412"/>
    </row>
    <row r="34" spans="1:13" ht="23.1" customHeight="1">
      <c r="A34" s="407" t="s">
        <v>145</v>
      </c>
      <c r="B34" s="402"/>
      <c r="C34" s="408" t="s">
        <v>41</v>
      </c>
      <c r="D34" s="409">
        <f>'산근2-1(측량조사)'!D98</f>
        <v>0.26</v>
      </c>
      <c r="E34" s="410">
        <f t="shared" si="9"/>
        <v>0</v>
      </c>
      <c r="F34" s="411">
        <f t="shared" si="9"/>
        <v>0</v>
      </c>
      <c r="G34" s="411">
        <f>'산근3 노임'!$B$28</f>
        <v>0</v>
      </c>
      <c r="H34" s="411">
        <f t="shared" si="10"/>
        <v>0</v>
      </c>
      <c r="I34" s="411"/>
      <c r="J34" s="411"/>
      <c r="K34" s="411"/>
      <c r="L34" s="411">
        <f t="shared" si="11"/>
        <v>0</v>
      </c>
      <c r="M34" s="412"/>
    </row>
    <row r="35" spans="1:13" ht="23.1" customHeight="1">
      <c r="A35" s="407" t="s">
        <v>161</v>
      </c>
      <c r="B35" s="402"/>
      <c r="C35" s="408" t="s">
        <v>41</v>
      </c>
      <c r="D35" s="409">
        <f>'산근2-1(측량조사)'!F98</f>
        <v>1.3</v>
      </c>
      <c r="E35" s="410">
        <f t="shared" si="9"/>
        <v>0</v>
      </c>
      <c r="F35" s="411">
        <f t="shared" si="9"/>
        <v>0</v>
      </c>
      <c r="G35" s="411">
        <f>'산근3 노임'!$B$29</f>
        <v>0</v>
      </c>
      <c r="H35" s="411">
        <f t="shared" si="10"/>
        <v>0</v>
      </c>
      <c r="I35" s="411"/>
      <c r="J35" s="411"/>
      <c r="K35" s="411"/>
      <c r="L35" s="411">
        <f t="shared" si="11"/>
        <v>0</v>
      </c>
      <c r="M35" s="412"/>
    </row>
    <row r="36" spans="1:13" ht="23.1" customHeight="1">
      <c r="A36" s="407" t="s">
        <v>159</v>
      </c>
      <c r="B36" s="402"/>
      <c r="C36" s="408" t="s">
        <v>41</v>
      </c>
      <c r="D36" s="409">
        <f>'산근2-1(측량조사)'!H98</f>
        <v>1.3</v>
      </c>
      <c r="E36" s="410">
        <f t="shared" si="9"/>
        <v>0</v>
      </c>
      <c r="F36" s="411">
        <f t="shared" si="9"/>
        <v>0</v>
      </c>
      <c r="G36" s="411">
        <f>'산근3 노임'!$B$30</f>
        <v>0</v>
      </c>
      <c r="H36" s="411">
        <f t="shared" si="10"/>
        <v>0</v>
      </c>
      <c r="I36" s="411"/>
      <c r="J36" s="411"/>
      <c r="K36" s="411"/>
      <c r="L36" s="411">
        <f t="shared" si="11"/>
        <v>0</v>
      </c>
      <c r="M36" s="412"/>
    </row>
    <row r="37" spans="1:13" ht="23.1" customHeight="1">
      <c r="A37" s="407" t="s">
        <v>158</v>
      </c>
      <c r="B37" s="402"/>
      <c r="C37" s="408" t="s">
        <v>41</v>
      </c>
      <c r="D37" s="409">
        <f>'산근2-1(측량조사)'!J98</f>
        <v>1</v>
      </c>
      <c r="E37" s="410">
        <f t="shared" si="9"/>
        <v>0</v>
      </c>
      <c r="F37" s="411">
        <f t="shared" si="9"/>
        <v>0</v>
      </c>
      <c r="G37" s="411">
        <f>'산근3 노임'!$B$31</f>
        <v>0</v>
      </c>
      <c r="H37" s="411">
        <f t="shared" si="10"/>
        <v>0</v>
      </c>
      <c r="I37" s="411"/>
      <c r="J37" s="411"/>
      <c r="K37" s="411"/>
      <c r="L37" s="411">
        <f t="shared" si="11"/>
        <v>0</v>
      </c>
      <c r="M37" s="412"/>
    </row>
    <row r="38" spans="1:13" ht="23.1" customHeight="1">
      <c r="A38" s="407" t="s">
        <v>532</v>
      </c>
      <c r="B38" s="402"/>
      <c r="C38" s="408" t="s">
        <v>41</v>
      </c>
      <c r="D38" s="409">
        <f>'산근2-1(측량조사)'!L98</f>
        <v>1</v>
      </c>
      <c r="E38" s="410">
        <f t="shared" si="9"/>
        <v>0</v>
      </c>
      <c r="F38" s="411">
        <f t="shared" si="9"/>
        <v>0</v>
      </c>
      <c r="G38" s="411"/>
      <c r="H38" s="411">
        <f t="shared" si="10"/>
        <v>0</v>
      </c>
      <c r="I38" s="411"/>
      <c r="J38" s="411"/>
      <c r="K38" s="411">
        <f>'산근3 노임'!$B$19</f>
        <v>0</v>
      </c>
      <c r="L38" s="411">
        <f t="shared" si="11"/>
        <v>0</v>
      </c>
      <c r="M38" s="412"/>
    </row>
    <row r="39" spans="1:13" ht="23.1" customHeight="1">
      <c r="A39" s="413" t="s">
        <v>533</v>
      </c>
      <c r="B39" s="402"/>
      <c r="C39" s="408"/>
      <c r="D39" s="409"/>
      <c r="E39" s="410"/>
      <c r="F39" s="411">
        <f>SUM(H39,J39,L39)</f>
        <v>0</v>
      </c>
      <c r="G39" s="411"/>
      <c r="H39" s="411">
        <f>SUM(H33:H38)</f>
        <v>0</v>
      </c>
      <c r="I39" s="411"/>
      <c r="J39" s="411">
        <f>SUM(J33:J38)</f>
        <v>0</v>
      </c>
      <c r="K39" s="411"/>
      <c r="L39" s="411">
        <f>SUM(L33:L38)</f>
        <v>0</v>
      </c>
      <c r="M39" s="412"/>
    </row>
    <row r="40" spans="1:13" ht="23.1" customHeight="1">
      <c r="A40" s="414">
        <f>$O$2</f>
        <v>1</v>
      </c>
      <c r="B40" s="415"/>
      <c r="C40" s="415"/>
      <c r="D40" s="416"/>
      <c r="E40" s="417"/>
      <c r="F40" s="411">
        <f>SUM(H40,J40,L40)</f>
        <v>0</v>
      </c>
      <c r="G40" s="418"/>
      <c r="H40" s="418">
        <f>INT($A40*H39)</f>
        <v>0</v>
      </c>
      <c r="I40" s="418"/>
      <c r="J40" s="418">
        <f>INT($A40*J39)</f>
        <v>0</v>
      </c>
      <c r="K40" s="418"/>
      <c r="L40" s="418">
        <f>INT($A40*L39)</f>
        <v>0</v>
      </c>
      <c r="M40" s="412"/>
    </row>
    <row r="41" spans="1:13" ht="23.1" customHeight="1">
      <c r="A41" s="421"/>
      <c r="B41" s="422"/>
      <c r="C41" s="422"/>
      <c r="D41" s="423"/>
      <c r="E41" s="424"/>
      <c r="F41" s="425"/>
      <c r="G41" s="425"/>
      <c r="H41" s="425"/>
      <c r="I41" s="425"/>
      <c r="J41" s="425"/>
      <c r="K41" s="425"/>
      <c r="L41" s="426"/>
      <c r="M41" s="427"/>
    </row>
    <row r="42" spans="1:13" ht="18.95" customHeight="1">
      <c r="A42" s="428" t="s">
        <v>1863</v>
      </c>
      <c r="B42" s="429"/>
      <c r="C42" s="430"/>
      <c r="D42" s="431"/>
      <c r="E42" s="432"/>
      <c r="F42" s="433"/>
      <c r="G42" s="433"/>
      <c r="H42" s="433"/>
      <c r="I42" s="433"/>
      <c r="J42" s="433"/>
      <c r="K42" s="433"/>
      <c r="L42" s="434"/>
      <c r="M42" s="435" t="s">
        <v>1104</v>
      </c>
    </row>
    <row r="43" spans="1:13" ht="18.95" customHeight="1">
      <c r="A43" s="407" t="s">
        <v>140</v>
      </c>
      <c r="B43" s="402"/>
      <c r="C43" s="408" t="s">
        <v>41</v>
      </c>
      <c r="D43" s="409">
        <v>0</v>
      </c>
      <c r="E43" s="410">
        <f t="shared" ref="E43:F48" si="12">SUM(G43,I43,K43)</f>
        <v>0</v>
      </c>
      <c r="F43" s="411">
        <f t="shared" si="12"/>
        <v>0</v>
      </c>
      <c r="G43" s="411">
        <f>'산근3 노임'!$B$27</f>
        <v>0</v>
      </c>
      <c r="H43" s="411">
        <f t="shared" ref="H43:H48" si="13">TRUNC(D43*G43,0)</f>
        <v>0</v>
      </c>
      <c r="I43" s="411"/>
      <c r="J43" s="411"/>
      <c r="K43" s="411"/>
      <c r="L43" s="411">
        <f t="shared" ref="L43:L48" si="14">TRUNC($D43*K43,0)</f>
        <v>0</v>
      </c>
      <c r="M43" s="412"/>
    </row>
    <row r="44" spans="1:13" ht="18.95" customHeight="1">
      <c r="A44" s="407" t="s">
        <v>145</v>
      </c>
      <c r="B44" s="402"/>
      <c r="C44" s="408" t="s">
        <v>41</v>
      </c>
      <c r="D44" s="409">
        <f>'산근2-1(측량조사)'!D102</f>
        <v>0.7</v>
      </c>
      <c r="E44" s="410">
        <f t="shared" si="12"/>
        <v>0</v>
      </c>
      <c r="F44" s="411">
        <f t="shared" si="12"/>
        <v>0</v>
      </c>
      <c r="G44" s="411">
        <f>'산근3 노임'!$B$28</f>
        <v>0</v>
      </c>
      <c r="H44" s="411">
        <f t="shared" si="13"/>
        <v>0</v>
      </c>
      <c r="I44" s="411"/>
      <c r="J44" s="411"/>
      <c r="K44" s="411"/>
      <c r="L44" s="411">
        <f t="shared" si="14"/>
        <v>0</v>
      </c>
      <c r="M44" s="412"/>
    </row>
    <row r="45" spans="1:13" ht="18.95" customHeight="1">
      <c r="A45" s="407" t="s">
        <v>161</v>
      </c>
      <c r="B45" s="402"/>
      <c r="C45" s="408" t="s">
        <v>41</v>
      </c>
      <c r="D45" s="409">
        <f>'산근2-1(측량조사)'!F102</f>
        <v>4.5</v>
      </c>
      <c r="E45" s="410">
        <f t="shared" si="12"/>
        <v>0</v>
      </c>
      <c r="F45" s="411">
        <f t="shared" si="12"/>
        <v>0</v>
      </c>
      <c r="G45" s="411">
        <f>'산근3 노임'!$B$29</f>
        <v>0</v>
      </c>
      <c r="H45" s="411">
        <f t="shared" si="13"/>
        <v>0</v>
      </c>
      <c r="I45" s="411"/>
      <c r="J45" s="411"/>
      <c r="K45" s="411"/>
      <c r="L45" s="411">
        <f t="shared" si="14"/>
        <v>0</v>
      </c>
      <c r="M45" s="412"/>
    </row>
    <row r="46" spans="1:13" ht="18.95" customHeight="1">
      <c r="A46" s="407" t="s">
        <v>159</v>
      </c>
      <c r="B46" s="402"/>
      <c r="C46" s="408" t="s">
        <v>41</v>
      </c>
      <c r="D46" s="409">
        <f>'산근2-1(측량조사)'!H102</f>
        <v>4.5</v>
      </c>
      <c r="E46" s="410">
        <f t="shared" si="12"/>
        <v>0</v>
      </c>
      <c r="F46" s="411">
        <f t="shared" si="12"/>
        <v>0</v>
      </c>
      <c r="G46" s="411">
        <f>'산근3 노임'!$B$30</f>
        <v>0</v>
      </c>
      <c r="H46" s="411">
        <f t="shared" si="13"/>
        <v>0</v>
      </c>
      <c r="I46" s="411"/>
      <c r="J46" s="411"/>
      <c r="K46" s="411"/>
      <c r="L46" s="411">
        <f t="shared" si="14"/>
        <v>0</v>
      </c>
      <c r="M46" s="412"/>
    </row>
    <row r="47" spans="1:13" ht="18.95" customHeight="1">
      <c r="A47" s="407" t="s">
        <v>158</v>
      </c>
      <c r="B47" s="402"/>
      <c r="C47" s="408" t="s">
        <v>41</v>
      </c>
      <c r="D47" s="409">
        <f>'산근2-1(측량조사)'!J102</f>
        <v>7</v>
      </c>
      <c r="E47" s="410">
        <f t="shared" si="12"/>
        <v>0</v>
      </c>
      <c r="F47" s="411">
        <f t="shared" si="12"/>
        <v>0</v>
      </c>
      <c r="G47" s="411">
        <f>'산근3 노임'!$B$31</f>
        <v>0</v>
      </c>
      <c r="H47" s="411">
        <f t="shared" si="13"/>
        <v>0</v>
      </c>
      <c r="I47" s="411"/>
      <c r="J47" s="411"/>
      <c r="K47" s="411"/>
      <c r="L47" s="411">
        <f t="shared" si="14"/>
        <v>0</v>
      </c>
      <c r="M47" s="412"/>
    </row>
    <row r="48" spans="1:13" ht="18.95" customHeight="1">
      <c r="A48" s="407" t="s">
        <v>532</v>
      </c>
      <c r="B48" s="402"/>
      <c r="C48" s="408" t="s">
        <v>41</v>
      </c>
      <c r="D48" s="409">
        <f>'산근2-1(측량조사)'!L102</f>
        <v>7.5</v>
      </c>
      <c r="E48" s="410">
        <f t="shared" si="12"/>
        <v>0</v>
      </c>
      <c r="F48" s="411">
        <f t="shared" si="12"/>
        <v>0</v>
      </c>
      <c r="G48" s="411"/>
      <c r="H48" s="411">
        <f t="shared" si="13"/>
        <v>0</v>
      </c>
      <c r="I48" s="411"/>
      <c r="J48" s="411"/>
      <c r="K48" s="411">
        <f>'산근3 노임'!$B$19</f>
        <v>0</v>
      </c>
      <c r="L48" s="411">
        <f t="shared" si="14"/>
        <v>0</v>
      </c>
      <c r="M48" s="412"/>
    </row>
    <row r="49" spans="1:13" ht="18.95" customHeight="1">
      <c r="A49" s="413" t="s">
        <v>533</v>
      </c>
      <c r="B49" s="402"/>
      <c r="C49" s="408"/>
      <c r="D49" s="409"/>
      <c r="E49" s="410"/>
      <c r="F49" s="411">
        <f>SUM(H49,J49,L49)</f>
        <v>0</v>
      </c>
      <c r="G49" s="411"/>
      <c r="H49" s="411">
        <f>SUM(H43:H48)</f>
        <v>0</v>
      </c>
      <c r="I49" s="411"/>
      <c r="J49" s="411">
        <f>SUM(J43:J48)</f>
        <v>0</v>
      </c>
      <c r="K49" s="411"/>
      <c r="L49" s="411">
        <f>SUM(L43:L48)</f>
        <v>0</v>
      </c>
      <c r="M49" s="412"/>
    </row>
    <row r="50" spans="1:13" ht="18.95" customHeight="1">
      <c r="A50" s="414">
        <f>$O$2</f>
        <v>1</v>
      </c>
      <c r="B50" s="415"/>
      <c r="C50" s="415"/>
      <c r="D50" s="416"/>
      <c r="E50" s="417"/>
      <c r="F50" s="411">
        <f>SUM(H50,J50,L50)</f>
        <v>0</v>
      </c>
      <c r="G50" s="418"/>
      <c r="H50" s="418">
        <f>INT($A50*H49)</f>
        <v>0</v>
      </c>
      <c r="I50" s="418"/>
      <c r="J50" s="418">
        <f>INT($A50*J49)</f>
        <v>0</v>
      </c>
      <c r="K50" s="418"/>
      <c r="L50" s="418">
        <f>INT($A50*L49)</f>
        <v>0</v>
      </c>
      <c r="M50" s="420"/>
    </row>
    <row r="51" spans="1:13" ht="18.95" customHeight="1">
      <c r="A51" s="401" t="s">
        <v>1864</v>
      </c>
      <c r="B51" s="402"/>
      <c r="C51" s="408"/>
      <c r="D51" s="409"/>
      <c r="E51" s="410"/>
      <c r="F51" s="411"/>
      <c r="G51" s="411"/>
      <c r="H51" s="411"/>
      <c r="I51" s="411"/>
      <c r="J51" s="411"/>
      <c r="K51" s="411"/>
      <c r="L51" s="419"/>
      <c r="M51" s="406" t="s">
        <v>1103</v>
      </c>
    </row>
    <row r="52" spans="1:13" ht="18.95" customHeight="1">
      <c r="A52" s="407" t="s">
        <v>534</v>
      </c>
      <c r="B52" s="402"/>
      <c r="C52" s="408" t="s">
        <v>41</v>
      </c>
      <c r="D52" s="409">
        <f>'산근2-5(지장물조사)'!C8</f>
        <v>0</v>
      </c>
      <c r="E52" s="410">
        <f>SUM(G52,I52,K52)</f>
        <v>0</v>
      </c>
      <c r="F52" s="411">
        <f>SUM(H52,J52,L52)</f>
        <v>0</v>
      </c>
      <c r="G52" s="411">
        <f>'산근3 노임'!$B$26</f>
        <v>0</v>
      </c>
      <c r="H52" s="411">
        <f t="shared" ref="H52:H56" si="15">TRUNC(D52*G52,0)</f>
        <v>0</v>
      </c>
      <c r="I52" s="411"/>
      <c r="J52" s="411"/>
      <c r="K52" s="411"/>
      <c r="L52" s="411">
        <f t="shared" ref="L52:L56" si="16">TRUNC($D52*K52,0)</f>
        <v>0</v>
      </c>
      <c r="M52" s="412"/>
    </row>
    <row r="53" spans="1:13" ht="18.95" customHeight="1">
      <c r="A53" s="407" t="s">
        <v>140</v>
      </c>
      <c r="B53" s="402"/>
      <c r="C53" s="408" t="s">
        <v>41</v>
      </c>
      <c r="D53" s="409">
        <f>'산근2-5(지장물조사)'!D8</f>
        <v>2.1</v>
      </c>
      <c r="E53" s="410">
        <f t="shared" ref="E53:F57" si="17">SUM(G53,I53,K53)</f>
        <v>0</v>
      </c>
      <c r="F53" s="411">
        <f t="shared" si="17"/>
        <v>0</v>
      </c>
      <c r="G53" s="411">
        <f>'산근3 노임'!$B$27</f>
        <v>0</v>
      </c>
      <c r="H53" s="411">
        <f t="shared" si="15"/>
        <v>0</v>
      </c>
      <c r="I53" s="411"/>
      <c r="J53" s="411"/>
      <c r="K53" s="411"/>
      <c r="L53" s="411">
        <f t="shared" si="16"/>
        <v>0</v>
      </c>
      <c r="M53" s="412"/>
    </row>
    <row r="54" spans="1:13" ht="18.95" customHeight="1">
      <c r="A54" s="407" t="s">
        <v>145</v>
      </c>
      <c r="B54" s="402"/>
      <c r="C54" s="408" t="s">
        <v>41</v>
      </c>
      <c r="D54" s="409">
        <f>'산근2-5(지장물조사)'!E8</f>
        <v>3.1</v>
      </c>
      <c r="E54" s="410">
        <f t="shared" si="17"/>
        <v>0</v>
      </c>
      <c r="F54" s="411">
        <f t="shared" si="17"/>
        <v>0</v>
      </c>
      <c r="G54" s="411">
        <f>'산근3 노임'!$B$28</f>
        <v>0</v>
      </c>
      <c r="H54" s="411">
        <f t="shared" si="15"/>
        <v>0</v>
      </c>
      <c r="I54" s="411"/>
      <c r="J54" s="411"/>
      <c r="K54" s="411"/>
      <c r="L54" s="411">
        <f t="shared" si="16"/>
        <v>0</v>
      </c>
      <c r="M54" s="412"/>
    </row>
    <row r="55" spans="1:13" ht="18.95" customHeight="1">
      <c r="A55" s="407" t="s">
        <v>161</v>
      </c>
      <c r="B55" s="402"/>
      <c r="C55" s="408" t="s">
        <v>41</v>
      </c>
      <c r="D55" s="409">
        <f>'산근2-5(지장물조사)'!F8</f>
        <v>3.9</v>
      </c>
      <c r="E55" s="410">
        <f t="shared" si="17"/>
        <v>0</v>
      </c>
      <c r="F55" s="411">
        <f t="shared" si="17"/>
        <v>0</v>
      </c>
      <c r="G55" s="411">
        <f>'산근3 노임'!$B$29</f>
        <v>0</v>
      </c>
      <c r="H55" s="411">
        <f t="shared" si="15"/>
        <v>0</v>
      </c>
      <c r="I55" s="411"/>
      <c r="J55" s="411"/>
      <c r="K55" s="411"/>
      <c r="L55" s="411">
        <f t="shared" si="16"/>
        <v>0</v>
      </c>
      <c r="M55" s="412"/>
    </row>
    <row r="56" spans="1:13" ht="18.95" customHeight="1">
      <c r="A56" s="407" t="s">
        <v>159</v>
      </c>
      <c r="B56" s="402"/>
      <c r="C56" s="408" t="s">
        <v>41</v>
      </c>
      <c r="D56" s="409">
        <f>'산근2-5(지장물조사)'!G8</f>
        <v>5.2</v>
      </c>
      <c r="E56" s="410">
        <f t="shared" si="17"/>
        <v>0</v>
      </c>
      <c r="F56" s="411">
        <f t="shared" si="17"/>
        <v>0</v>
      </c>
      <c r="G56" s="411">
        <f>'산근3 노임'!$B$30</f>
        <v>0</v>
      </c>
      <c r="H56" s="411">
        <f t="shared" si="15"/>
        <v>0</v>
      </c>
      <c r="I56" s="411"/>
      <c r="J56" s="411"/>
      <c r="K56" s="411"/>
      <c r="L56" s="411">
        <f t="shared" si="16"/>
        <v>0</v>
      </c>
      <c r="M56" s="412"/>
    </row>
    <row r="57" spans="1:13" ht="18.95" customHeight="1">
      <c r="A57" s="413" t="s">
        <v>533</v>
      </c>
      <c r="B57" s="402"/>
      <c r="C57" s="408"/>
      <c r="D57" s="409"/>
      <c r="E57" s="410"/>
      <c r="F57" s="411">
        <f t="shared" si="17"/>
        <v>0</v>
      </c>
      <c r="G57" s="411"/>
      <c r="H57" s="411">
        <f>SUM(H52:H56)</f>
        <v>0</v>
      </c>
      <c r="I57" s="411"/>
      <c r="J57" s="411">
        <f>SUM(J52:J56)</f>
        <v>0</v>
      </c>
      <c r="K57" s="411"/>
      <c r="L57" s="411">
        <f>SUM(L52:L56)</f>
        <v>0</v>
      </c>
      <c r="M57" s="412"/>
    </row>
    <row r="58" spans="1:13" ht="18.95" customHeight="1">
      <c r="A58" s="414">
        <f>$O$2</f>
        <v>1</v>
      </c>
      <c r="B58" s="415"/>
      <c r="C58" s="415"/>
      <c r="D58" s="416"/>
      <c r="E58" s="417"/>
      <c r="F58" s="411">
        <f>SUM(H58,J58,L58)</f>
        <v>0</v>
      </c>
      <c r="G58" s="418"/>
      <c r="H58" s="418">
        <f>INT($A58*H57)</f>
        <v>0</v>
      </c>
      <c r="I58" s="418"/>
      <c r="J58" s="418">
        <f>INT($A58*J57)</f>
        <v>0</v>
      </c>
      <c r="K58" s="418"/>
      <c r="L58" s="418">
        <f>INT($A58*L57)</f>
        <v>0</v>
      </c>
      <c r="M58" s="420"/>
    </row>
    <row r="59" spans="1:13" ht="18.95" customHeight="1">
      <c r="A59" s="401" t="s">
        <v>1865</v>
      </c>
      <c r="B59" s="402"/>
      <c r="C59" s="408"/>
      <c r="D59" s="409"/>
      <c r="E59" s="410"/>
      <c r="F59" s="411"/>
      <c r="G59" s="411"/>
      <c r="H59" s="411"/>
      <c r="I59" s="411"/>
      <c r="J59" s="411"/>
      <c r="K59" s="411"/>
      <c r="L59" s="419"/>
      <c r="M59" s="406" t="s">
        <v>1105</v>
      </c>
    </row>
    <row r="60" spans="1:13" ht="18.95" customHeight="1">
      <c r="A60" s="407" t="s">
        <v>539</v>
      </c>
      <c r="B60" s="402"/>
      <c r="C60" s="408" t="s">
        <v>540</v>
      </c>
      <c r="D60" s="409" t="e">
        <f>'산근 2-6 (공공측량성과심사)'!$D$31</f>
        <v>#REF!</v>
      </c>
      <c r="E60" s="410">
        <f t="shared" ref="E60:F62" si="18">SUM(G60,I60,K60)</f>
        <v>0</v>
      </c>
      <c r="F60" s="411" t="e">
        <f t="shared" si="18"/>
        <v>#REF!</v>
      </c>
      <c r="G60" s="411">
        <f>'산근 2-6 (공공측량성과심사)'!E31</f>
        <v>0</v>
      </c>
      <c r="H60" s="411" t="e">
        <f>TRUNC(D60*G60,0)</f>
        <v>#REF!</v>
      </c>
      <c r="I60" s="411"/>
      <c r="J60" s="411"/>
      <c r="K60" s="411"/>
      <c r="L60" s="411" t="e">
        <f>TRUNC($D60*K60,0)</f>
        <v>#REF!</v>
      </c>
      <c r="M60" s="412"/>
    </row>
    <row r="61" spans="1:13" ht="18.95" customHeight="1">
      <c r="A61" s="407" t="s">
        <v>541</v>
      </c>
      <c r="B61" s="402"/>
      <c r="C61" s="408" t="s">
        <v>542</v>
      </c>
      <c r="D61" s="409" t="e">
        <f>'산근 2-6 (공공측량성과심사)'!$D$32</f>
        <v>#REF!</v>
      </c>
      <c r="E61" s="410">
        <f t="shared" si="18"/>
        <v>0</v>
      </c>
      <c r="F61" s="411" t="e">
        <f t="shared" si="18"/>
        <v>#REF!</v>
      </c>
      <c r="G61" s="411">
        <f>'산근 2-6 (공공측량성과심사)'!E32</f>
        <v>0</v>
      </c>
      <c r="H61" s="411" t="e">
        <f>TRUNC(D61*G61,0)</f>
        <v>#REF!</v>
      </c>
      <c r="I61" s="411"/>
      <c r="J61" s="411"/>
      <c r="K61" s="411"/>
      <c r="L61" s="411" t="e">
        <f>TRUNC($D61*K61,0)</f>
        <v>#REF!</v>
      </c>
      <c r="M61" s="412"/>
    </row>
    <row r="62" spans="1:13" ht="18.95" customHeight="1">
      <c r="A62" s="407" t="s">
        <v>543</v>
      </c>
      <c r="B62" s="402"/>
      <c r="C62" s="408" t="s">
        <v>544</v>
      </c>
      <c r="D62" s="409" t="e">
        <f>'산근 2-6 (공공측량성과심사)'!$D$33</f>
        <v>#REF!</v>
      </c>
      <c r="E62" s="410">
        <f t="shared" si="18"/>
        <v>0</v>
      </c>
      <c r="F62" s="411" t="e">
        <f t="shared" si="18"/>
        <v>#REF!</v>
      </c>
      <c r="G62" s="411">
        <f>'산근 2-6 (공공측량성과심사)'!E33</f>
        <v>0</v>
      </c>
      <c r="H62" s="411" t="e">
        <f>TRUNC(D62*G62,0)</f>
        <v>#REF!</v>
      </c>
      <c r="I62" s="411"/>
      <c r="J62" s="411"/>
      <c r="K62" s="411"/>
      <c r="L62" s="411" t="e">
        <f>TRUNC($D62*K62,0)</f>
        <v>#REF!</v>
      </c>
      <c r="M62" s="412"/>
    </row>
    <row r="63" spans="1:13" ht="18.95" customHeight="1">
      <c r="A63" s="413" t="s">
        <v>235</v>
      </c>
      <c r="B63" s="402"/>
      <c r="C63" s="408"/>
      <c r="D63" s="409"/>
      <c r="E63" s="410"/>
      <c r="F63" s="411" t="e">
        <f>SUM(H63,J63,L63)</f>
        <v>#REF!</v>
      </c>
      <c r="G63" s="411"/>
      <c r="H63" s="411" t="e">
        <f>SUM(H60:H62)</f>
        <v>#REF!</v>
      </c>
      <c r="I63" s="411"/>
      <c r="J63" s="411">
        <f>SUM(J60:J62)</f>
        <v>0</v>
      </c>
      <c r="K63" s="411"/>
      <c r="L63" s="411" t="e">
        <f>SUM(L60:L62)</f>
        <v>#REF!</v>
      </c>
      <c r="M63" s="412"/>
    </row>
    <row r="64" spans="1:13" ht="18.95" customHeight="1">
      <c r="A64" s="407" t="s">
        <v>545</v>
      </c>
      <c r="B64" s="402"/>
      <c r="C64" s="408" t="s">
        <v>538</v>
      </c>
      <c r="D64" s="409">
        <v>1</v>
      </c>
      <c r="E64" s="410"/>
      <c r="F64" s="411" t="e">
        <f>SUM(H64,J64,L64)</f>
        <v>#REF!</v>
      </c>
      <c r="G64" s="411"/>
      <c r="H64" s="411">
        <f>TRUNC(D64*G64,0)</f>
        <v>0</v>
      </c>
      <c r="I64" s="411"/>
      <c r="J64" s="411"/>
      <c r="K64" s="411"/>
      <c r="L64" s="411" t="e">
        <f>TRUNC(H63*1.1)</f>
        <v>#REF!</v>
      </c>
      <c r="M64" s="412"/>
    </row>
    <row r="65" spans="1:15" ht="18.95" customHeight="1">
      <c r="A65" s="407" t="s">
        <v>546</v>
      </c>
      <c r="B65" s="402"/>
      <c r="C65" s="408" t="s">
        <v>538</v>
      </c>
      <c r="D65" s="409">
        <v>1</v>
      </c>
      <c r="E65" s="410"/>
      <c r="F65" s="411" t="e">
        <f>SUM(H65,J65,L65)</f>
        <v>#REF!</v>
      </c>
      <c r="G65" s="411"/>
      <c r="H65" s="411">
        <f>TRUNC(D65*G65,0)</f>
        <v>0</v>
      </c>
      <c r="I65" s="411"/>
      <c r="J65" s="411"/>
      <c r="K65" s="411"/>
      <c r="L65" s="411" t="e">
        <f>TRUNC((H63+L64)*0.13)-O65</f>
        <v>#REF!</v>
      </c>
      <c r="M65" s="412"/>
      <c r="N65" s="1317" t="s">
        <v>1088</v>
      </c>
      <c r="O65" s="390">
        <v>8569</v>
      </c>
    </row>
    <row r="66" spans="1:15" ht="18.95" customHeight="1">
      <c r="A66" s="413" t="s">
        <v>235</v>
      </c>
      <c r="B66" s="402"/>
      <c r="C66" s="408"/>
      <c r="D66" s="409"/>
      <c r="E66" s="410"/>
      <c r="F66" s="411" t="e">
        <f>SUM(H66,J66,L66)</f>
        <v>#REF!</v>
      </c>
      <c r="G66" s="411"/>
      <c r="H66" s="411" t="e">
        <f>SUM(H63,H64,H65)</f>
        <v>#REF!</v>
      </c>
      <c r="I66" s="411"/>
      <c r="J66" s="411">
        <f>SUM(J63,J64,J65)</f>
        <v>0</v>
      </c>
      <c r="K66" s="411"/>
      <c r="L66" s="411" t="e">
        <f>SUM(L63,L64,L65)</f>
        <v>#REF!</v>
      </c>
      <c r="M66" s="412"/>
    </row>
    <row r="67" spans="1:15" ht="18.95" customHeight="1">
      <c r="A67" s="421">
        <f>$O$2</f>
        <v>1</v>
      </c>
      <c r="B67" s="422"/>
      <c r="C67" s="503"/>
      <c r="D67" s="504"/>
      <c r="E67" s="424"/>
      <c r="F67" s="425" t="e">
        <f>INT($A67*F66)</f>
        <v>#REF!</v>
      </c>
      <c r="G67" s="425"/>
      <c r="H67" s="425" t="e">
        <f>INT($A67*H66)</f>
        <v>#REF!</v>
      </c>
      <c r="I67" s="425"/>
      <c r="J67" s="425">
        <f>INT($A67*J66)</f>
        <v>0</v>
      </c>
      <c r="K67" s="425"/>
      <c r="L67" s="425" t="e">
        <f>INT($A67*L66)</f>
        <v>#REF!</v>
      </c>
      <c r="M67" s="427"/>
    </row>
    <row r="68" spans="1:15" ht="18.600000000000001" customHeight="1">
      <c r="A68" s="439"/>
      <c r="M68" s="390"/>
    </row>
    <row r="69" spans="1:15">
      <c r="A69" s="440"/>
      <c r="M69" s="390"/>
    </row>
    <row r="70" spans="1:15">
      <c r="A70" s="436"/>
      <c r="M70" s="390"/>
    </row>
    <row r="71" spans="1:15">
      <c r="A71" s="437"/>
      <c r="C71" s="438"/>
    </row>
    <row r="72" spans="1:15">
      <c r="A72" s="437"/>
      <c r="C72" s="438"/>
    </row>
    <row r="73" spans="1:15">
      <c r="A73" s="437"/>
      <c r="C73" s="438"/>
    </row>
    <row r="74" spans="1:15">
      <c r="A74" s="437"/>
      <c r="C74" s="438"/>
    </row>
    <row r="75" spans="1:15">
      <c r="A75" s="437"/>
      <c r="C75" s="438"/>
    </row>
    <row r="76" spans="1:15">
      <c r="A76" s="437"/>
      <c r="C76" s="438"/>
    </row>
    <row r="77" spans="1:15">
      <c r="A77" s="439"/>
    </row>
    <row r="78" spans="1:15">
      <c r="A78" s="440"/>
    </row>
    <row r="79" spans="1:15">
      <c r="A79" s="436"/>
    </row>
    <row r="80" spans="1:15">
      <c r="A80" s="437"/>
      <c r="C80" s="438"/>
    </row>
    <row r="81" spans="1:3">
      <c r="A81" s="437"/>
      <c r="C81" s="438"/>
    </row>
    <row r="82" spans="1:3">
      <c r="A82" s="437"/>
      <c r="C82" s="438"/>
    </row>
    <row r="83" spans="1:3">
      <c r="A83" s="437"/>
      <c r="C83" s="438"/>
    </row>
    <row r="84" spans="1:3">
      <c r="A84" s="437"/>
      <c r="C84" s="438"/>
    </row>
    <row r="85" spans="1:3">
      <c r="A85" s="437"/>
      <c r="C85" s="438"/>
    </row>
    <row r="86" spans="1:3">
      <c r="A86" s="439"/>
    </row>
    <row r="87" spans="1:3">
      <c r="A87" s="440"/>
    </row>
    <row r="89" spans="1:3">
      <c r="A89" s="437"/>
      <c r="C89" s="438"/>
    </row>
    <row r="90" spans="1:3">
      <c r="A90" s="437"/>
      <c r="C90" s="438"/>
    </row>
    <row r="91" spans="1:3">
      <c r="A91" s="437"/>
      <c r="C91" s="438"/>
    </row>
    <row r="92" spans="1:3">
      <c r="A92" s="437"/>
      <c r="C92" s="438"/>
    </row>
    <row r="93" spans="1:3">
      <c r="A93" s="437"/>
      <c r="C93" s="438"/>
    </row>
    <row r="94" spans="1:3">
      <c r="A94" s="437"/>
      <c r="C94" s="438"/>
    </row>
    <row r="95" spans="1:3">
      <c r="A95" s="439"/>
    </row>
    <row r="96" spans="1:3">
      <c r="A96" s="440"/>
    </row>
    <row r="98" spans="1:3">
      <c r="A98" s="437"/>
      <c r="C98" s="438"/>
    </row>
    <row r="99" spans="1:3">
      <c r="A99" s="437"/>
      <c r="C99" s="438"/>
    </row>
    <row r="100" spans="1:3">
      <c r="A100" s="437"/>
      <c r="C100" s="438"/>
    </row>
    <row r="101" spans="1:3">
      <c r="A101" s="437"/>
      <c r="C101" s="438"/>
    </row>
    <row r="102" spans="1:3">
      <c r="A102" s="437"/>
      <c r="C102" s="438"/>
    </row>
    <row r="103" spans="1:3">
      <c r="A103" s="437"/>
      <c r="C103" s="438"/>
    </row>
    <row r="104" spans="1:3">
      <c r="A104" s="439"/>
    </row>
    <row r="105" spans="1:3">
      <c r="A105" s="440"/>
    </row>
    <row r="107" spans="1:3">
      <c r="A107" s="437"/>
      <c r="C107" s="438"/>
    </row>
    <row r="108" spans="1:3">
      <c r="A108" s="437"/>
      <c r="C108" s="438"/>
    </row>
    <row r="109" spans="1:3">
      <c r="A109" s="437"/>
      <c r="C109" s="438"/>
    </row>
    <row r="110" spans="1:3">
      <c r="A110" s="437"/>
      <c r="C110" s="438"/>
    </row>
    <row r="111" spans="1:3">
      <c r="A111" s="437"/>
      <c r="C111" s="438"/>
    </row>
    <row r="112" spans="1:3">
      <c r="A112" s="437"/>
      <c r="C112" s="438"/>
    </row>
    <row r="113" spans="1:3">
      <c r="A113" s="439"/>
    </row>
    <row r="114" spans="1:3">
      <c r="A114" s="440"/>
    </row>
    <row r="116" spans="1:3">
      <c r="A116" s="437"/>
      <c r="C116" s="438"/>
    </row>
    <row r="117" spans="1:3">
      <c r="A117" s="437"/>
      <c r="C117" s="438"/>
    </row>
    <row r="118" spans="1:3">
      <c r="A118" s="437"/>
      <c r="C118" s="438"/>
    </row>
    <row r="119" spans="1:3">
      <c r="A119" s="437"/>
      <c r="C119" s="438"/>
    </row>
    <row r="120" spans="1:3">
      <c r="A120" s="437"/>
      <c r="C120" s="438"/>
    </row>
    <row r="121" spans="1:3">
      <c r="A121" s="437"/>
      <c r="C121" s="438"/>
    </row>
    <row r="122" spans="1:3">
      <c r="A122" s="439"/>
    </row>
    <row r="123" spans="1:3">
      <c r="A123" s="440"/>
    </row>
    <row r="125" spans="1:3">
      <c r="A125" s="437"/>
      <c r="C125" s="438"/>
    </row>
    <row r="126" spans="1:3">
      <c r="A126" s="437"/>
      <c r="C126" s="438"/>
    </row>
    <row r="127" spans="1:3">
      <c r="A127" s="437"/>
      <c r="C127" s="438"/>
    </row>
    <row r="128" spans="1:3">
      <c r="A128" s="437"/>
      <c r="C128" s="438"/>
    </row>
    <row r="129" spans="1:3">
      <c r="A129" s="437"/>
      <c r="C129" s="438"/>
    </row>
    <row r="130" spans="1:3">
      <c r="A130" s="437"/>
      <c r="C130" s="438"/>
    </row>
    <row r="131" spans="1:3">
      <c r="A131" s="439"/>
    </row>
    <row r="132" spans="1:3">
      <c r="A132" s="440"/>
    </row>
  </sheetData>
  <mergeCells count="6">
    <mergeCell ref="M1:M2"/>
    <mergeCell ref="A1:A2"/>
    <mergeCell ref="B1:B2"/>
    <mergeCell ref="C1:C2"/>
    <mergeCell ref="D1:D2"/>
    <mergeCell ref="E1:F1"/>
  </mergeCells>
  <phoneticPr fontId="181" type="noConversion"/>
  <printOptions horizontalCentered="1"/>
  <pageMargins left="0.39370078740157483" right="0.39370078740157483" top="0.39370078740157483" bottom="0.39370078740157483" header="0" footer="0"/>
  <pageSetup paperSize="9" scale="95" orientation="landscape" r:id="rId1"/>
  <rowBreaks count="2" manualBreakCount="2">
    <brk id="22" max="12" man="1"/>
    <brk id="41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tabColor theme="7" tint="0.39997558519241921"/>
  </sheetPr>
  <dimension ref="A1:AO51"/>
  <sheetViews>
    <sheetView view="pageBreakPreview" zoomScale="115" zoomScaleNormal="85" zoomScaleSheetLayoutView="115" workbookViewId="0">
      <selection activeCell="Q18" sqref="Q18"/>
    </sheetView>
  </sheetViews>
  <sheetFormatPr defaultColWidth="8" defaultRowHeight="12"/>
  <cols>
    <col min="1" max="1" width="2.44140625" style="552" customWidth="1"/>
    <col min="2" max="2" width="4.77734375" style="552" customWidth="1"/>
    <col min="3" max="4" width="5" style="552" customWidth="1"/>
    <col min="5" max="5" width="6.77734375" style="552" customWidth="1"/>
    <col min="6" max="13" width="5.88671875" style="552" customWidth="1"/>
    <col min="14" max="14" width="6.77734375" style="552" customWidth="1"/>
    <col min="15" max="15" width="2.6640625" style="552" customWidth="1"/>
    <col min="16" max="16" width="13.88671875" style="526" bestFit="1" customWidth="1"/>
    <col min="17" max="17" width="8.6640625" style="526" bestFit="1" customWidth="1"/>
    <col min="18" max="18" width="5.77734375" style="526" customWidth="1"/>
    <col min="19" max="19" width="4" style="526" bestFit="1" customWidth="1"/>
    <col min="20" max="20" width="2" style="526" bestFit="1" customWidth="1"/>
    <col min="21" max="21" width="3.33203125" style="526" bestFit="1" customWidth="1"/>
    <col min="22" max="24" width="8.6640625" style="526" bestFit="1" customWidth="1"/>
    <col min="25" max="25" width="5.44140625" style="526" bestFit="1" customWidth="1"/>
    <col min="26" max="26" width="4.77734375" style="526" bestFit="1" customWidth="1"/>
    <col min="27" max="28" width="5" style="526" bestFit="1" customWidth="1"/>
    <col min="29" max="29" width="5.44140625" style="526" bestFit="1" customWidth="1"/>
    <col min="30" max="30" width="4.77734375" style="526" bestFit="1" customWidth="1"/>
    <col min="31" max="32" width="5" style="526" bestFit="1" customWidth="1"/>
    <col min="33" max="33" width="5.44140625" style="526" bestFit="1" customWidth="1"/>
    <col min="34" max="34" width="5.6640625" style="526" bestFit="1" customWidth="1"/>
    <col min="35" max="35" width="5" style="526" bestFit="1" customWidth="1"/>
    <col min="36" max="36" width="6.33203125" style="526" bestFit="1" customWidth="1"/>
    <col min="37" max="37" width="3.77734375" style="526" bestFit="1" customWidth="1"/>
    <col min="38" max="38" width="5" style="526" bestFit="1" customWidth="1"/>
    <col min="39" max="39" width="4" style="526" bestFit="1" customWidth="1"/>
    <col min="40" max="40" width="5.6640625" style="526" bestFit="1" customWidth="1"/>
    <col min="41" max="41" width="6.33203125" style="526" bestFit="1" customWidth="1"/>
    <col min="42" max="16384" width="8" style="552"/>
  </cols>
  <sheetData>
    <row r="1" spans="1:41" s="505" customFormat="1" ht="15" customHeight="1">
      <c r="A1" s="505" t="s">
        <v>1866</v>
      </c>
      <c r="C1" s="506"/>
      <c r="D1" s="507"/>
      <c r="E1" s="508"/>
      <c r="F1" s="508"/>
      <c r="P1" s="1884" t="s">
        <v>463</v>
      </c>
      <c r="Q1" s="1884" t="s">
        <v>547</v>
      </c>
      <c r="R1" s="1884"/>
      <c r="S1" s="1884"/>
      <c r="T1" s="1884"/>
      <c r="U1" s="1884"/>
      <c r="V1" s="1884"/>
      <c r="W1" s="1884"/>
      <c r="X1" s="510"/>
    </row>
    <row r="2" spans="1:41" s="511" customFormat="1" ht="30" customHeight="1">
      <c r="A2" s="1885" t="s">
        <v>1107</v>
      </c>
      <c r="B2" s="1885"/>
      <c r="C2" s="1885"/>
      <c r="D2" s="1885"/>
      <c r="E2" s="1885"/>
      <c r="F2" s="1885"/>
      <c r="G2" s="1885"/>
      <c r="H2" s="1885"/>
      <c r="I2" s="1885"/>
      <c r="J2" s="1885"/>
      <c r="K2" s="1885"/>
      <c r="L2" s="1885"/>
      <c r="M2" s="1885"/>
      <c r="N2" s="1885"/>
      <c r="O2" s="509"/>
      <c r="P2" s="1884"/>
      <c r="Q2" s="1884" t="s">
        <v>548</v>
      </c>
      <c r="R2" s="1884"/>
      <c r="S2" s="1884"/>
      <c r="T2" s="1884"/>
      <c r="U2" s="1884"/>
      <c r="V2" s="1884"/>
      <c r="W2" s="510" t="s">
        <v>549</v>
      </c>
      <c r="X2" s="510" t="s">
        <v>533</v>
      </c>
    </row>
    <row r="3" spans="1:41" s="512" customFormat="1" ht="15" customHeight="1">
      <c r="C3" s="513"/>
      <c r="D3" s="514"/>
      <c r="E3" s="515"/>
      <c r="F3" s="515"/>
      <c r="P3" s="1884"/>
      <c r="Q3" s="510" t="s">
        <v>550</v>
      </c>
      <c r="R3" s="510" t="s">
        <v>551</v>
      </c>
      <c r="S3" s="1884" t="s">
        <v>552</v>
      </c>
      <c r="T3" s="1884"/>
      <c r="U3" s="1884"/>
      <c r="V3" s="510" t="s">
        <v>553</v>
      </c>
      <c r="W3" s="510" t="s">
        <v>553</v>
      </c>
      <c r="X3" s="510"/>
    </row>
    <row r="4" spans="1:41" s="506" customFormat="1" ht="15" customHeight="1">
      <c r="A4" s="516" t="s">
        <v>554</v>
      </c>
      <c r="B4" s="505"/>
      <c r="C4" s="505"/>
      <c r="D4" s="505"/>
      <c r="E4" s="517"/>
      <c r="F4" s="505"/>
      <c r="G4" s="505"/>
      <c r="H4" s="505"/>
      <c r="I4" s="505"/>
      <c r="J4" s="505"/>
      <c r="K4" s="505"/>
      <c r="L4" s="505"/>
      <c r="M4" s="505"/>
      <c r="N4" s="505"/>
      <c r="P4" s="518" t="s">
        <v>555</v>
      </c>
      <c r="Q4" s="519">
        <v>100</v>
      </c>
      <c r="R4" s="519">
        <v>5</v>
      </c>
      <c r="S4" s="519">
        <v>100</v>
      </c>
      <c r="T4" s="519"/>
      <c r="U4" s="519">
        <v>1</v>
      </c>
      <c r="V4" s="520">
        <f>Q4*(R4+S4)</f>
        <v>10500</v>
      </c>
      <c r="W4" s="510"/>
      <c r="X4" s="510"/>
      <c r="Y4" s="530" t="s">
        <v>1942</v>
      </c>
    </row>
    <row r="5" spans="1:41" s="506" customFormat="1" ht="15" customHeight="1">
      <c r="A5" s="505"/>
      <c r="B5" s="521" t="s">
        <v>556</v>
      </c>
      <c r="C5" s="505"/>
      <c r="E5" s="522" t="e">
        <f>J14</f>
        <v>#REF!</v>
      </c>
      <c r="F5" s="505" t="s">
        <v>557</v>
      </c>
      <c r="G5" s="505"/>
      <c r="H5" s="505"/>
      <c r="I5" s="523"/>
      <c r="J5" s="523"/>
      <c r="K5" s="523"/>
      <c r="L5" s="505"/>
      <c r="M5" s="505"/>
      <c r="N5" s="505"/>
      <c r="P5" s="518" t="s">
        <v>558</v>
      </c>
      <c r="Q5" s="510">
        <v>0</v>
      </c>
      <c r="R5" s="519">
        <v>5</v>
      </c>
      <c r="S5" s="519">
        <v>5</v>
      </c>
      <c r="T5" s="519"/>
      <c r="U5" s="519">
        <v>1</v>
      </c>
      <c r="V5" s="520">
        <f>Q5*(R5+S5)</f>
        <v>0</v>
      </c>
      <c r="W5" s="520"/>
      <c r="X5" s="510"/>
    </row>
    <row r="6" spans="1:41" s="506" customFormat="1" ht="15" customHeight="1">
      <c r="A6" s="505"/>
      <c r="B6" s="521" t="s">
        <v>559</v>
      </c>
      <c r="C6" s="505"/>
      <c r="E6" s="522" t="e">
        <f>F12</f>
        <v>#REF!</v>
      </c>
      <c r="F6" s="505" t="s">
        <v>309</v>
      </c>
      <c r="G6" s="505"/>
      <c r="H6" s="505"/>
      <c r="I6" s="523"/>
      <c r="J6" s="523"/>
      <c r="K6" s="523"/>
      <c r="L6" s="505"/>
      <c r="M6" s="505"/>
      <c r="N6" s="505"/>
      <c r="P6" s="518" t="s">
        <v>464</v>
      </c>
      <c r="Q6" s="519">
        <v>0</v>
      </c>
      <c r="R6" s="519">
        <v>5</v>
      </c>
      <c r="S6" s="519">
        <v>2</v>
      </c>
      <c r="T6" s="519"/>
      <c r="U6" s="519">
        <v>1</v>
      </c>
      <c r="V6" s="520">
        <f>Q6*(R6+S6)</f>
        <v>0</v>
      </c>
      <c r="W6" s="519"/>
      <c r="X6" s="510"/>
    </row>
    <row r="7" spans="1:41" s="506" customFormat="1" ht="15" customHeight="1">
      <c r="A7" s="505"/>
      <c r="B7" s="521" t="s">
        <v>560</v>
      </c>
      <c r="C7" s="505"/>
      <c r="E7" s="522">
        <f>F13</f>
        <v>100</v>
      </c>
      <c r="F7" s="505" t="s">
        <v>309</v>
      </c>
      <c r="G7" s="505"/>
      <c r="H7" s="505"/>
      <c r="I7" s="523"/>
      <c r="J7" s="523"/>
      <c r="K7" s="523"/>
      <c r="L7" s="505"/>
      <c r="M7" s="505"/>
      <c r="N7" s="505"/>
      <c r="P7" s="525" t="s">
        <v>561</v>
      </c>
      <c r="Q7" s="519">
        <v>0</v>
      </c>
      <c r="R7" s="519">
        <v>5</v>
      </c>
      <c r="S7" s="519">
        <v>2</v>
      </c>
      <c r="T7" s="519"/>
      <c r="U7" s="519">
        <v>1</v>
      </c>
      <c r="V7" s="520">
        <f>Q7*(R7+S7)</f>
        <v>0</v>
      </c>
      <c r="W7" s="519"/>
      <c r="X7" s="510"/>
      <c r="Y7" s="530"/>
      <c r="Z7" s="526"/>
      <c r="AA7" s="526"/>
      <c r="AB7" s="526"/>
      <c r="AC7" s="526"/>
      <c r="AD7" s="526"/>
      <c r="AE7" s="526"/>
      <c r="AF7" s="526"/>
      <c r="AG7" s="526"/>
      <c r="AH7" s="526"/>
      <c r="AI7" s="526"/>
      <c r="AJ7" s="526"/>
      <c r="AK7" s="526"/>
      <c r="AL7" s="526"/>
      <c r="AM7" s="526"/>
      <c r="AN7" s="526"/>
      <c r="AO7" s="526"/>
    </row>
    <row r="8" spans="1:41" s="506" customFormat="1" ht="15" customHeight="1">
      <c r="A8" s="505"/>
      <c r="B8" s="505" t="s">
        <v>562</v>
      </c>
      <c r="C8" s="505"/>
      <c r="D8" s="505"/>
      <c r="E8" s="527" t="e">
        <f>Q15</f>
        <v>#REF!</v>
      </c>
      <c r="F8" s="505" t="s">
        <v>309</v>
      </c>
      <c r="G8" s="505"/>
      <c r="H8" s="505"/>
      <c r="I8" s="505"/>
      <c r="J8" s="505"/>
      <c r="K8" s="505"/>
      <c r="L8" s="505"/>
      <c r="M8" s="505"/>
      <c r="N8" s="505"/>
      <c r="P8" s="528" t="s">
        <v>563</v>
      </c>
      <c r="Q8" s="528">
        <f>SUM(Q4:Q7)</f>
        <v>100</v>
      </c>
      <c r="R8" s="528"/>
      <c r="S8" s="528"/>
      <c r="T8" s="528"/>
      <c r="U8" s="528"/>
      <c r="V8" s="529">
        <f>SUM(V4:V7)</f>
        <v>10500</v>
      </c>
      <c r="W8" s="528"/>
      <c r="X8" s="1591"/>
      <c r="Y8" s="526"/>
      <c r="Z8" s="526"/>
      <c r="AA8" s="526"/>
      <c r="AB8" s="526"/>
      <c r="AC8" s="526"/>
      <c r="AD8" s="526"/>
      <c r="AE8" s="526"/>
      <c r="AF8" s="526"/>
      <c r="AG8" s="526"/>
      <c r="AH8" s="526"/>
      <c r="AI8" s="526"/>
      <c r="AJ8" s="526"/>
      <c r="AK8" s="526"/>
      <c r="AL8" s="526"/>
      <c r="AM8" s="526"/>
      <c r="AN8" s="526"/>
      <c r="AO8" s="526"/>
    </row>
    <row r="9" spans="1:41" s="506" customFormat="1" ht="15" customHeight="1">
      <c r="A9" s="505"/>
      <c r="B9" s="1882" t="s">
        <v>564</v>
      </c>
      <c r="C9" s="1882"/>
      <c r="D9" s="1882"/>
      <c r="E9" s="1882"/>
      <c r="F9" s="1883" t="s">
        <v>1943</v>
      </c>
      <c r="G9" s="1883"/>
      <c r="H9" s="1883"/>
      <c r="I9" s="1883"/>
      <c r="J9" s="1883"/>
      <c r="K9" s="1883"/>
      <c r="L9" s="1883"/>
      <c r="M9" s="1883"/>
      <c r="N9" s="1882" t="s">
        <v>238</v>
      </c>
      <c r="P9" s="525" t="s">
        <v>565</v>
      </c>
      <c r="Q9" s="519"/>
      <c r="R9" s="519"/>
      <c r="S9" s="519"/>
      <c r="T9" s="519"/>
      <c r="U9" s="519">
        <v>0</v>
      </c>
      <c r="V9" s="519"/>
      <c r="W9" s="519">
        <v>0</v>
      </c>
      <c r="X9" s="510"/>
      <c r="Y9" s="530" t="s">
        <v>569</v>
      </c>
      <c r="Z9" s="526"/>
      <c r="AA9" s="526"/>
      <c r="AB9" s="526"/>
      <c r="AC9" s="526"/>
      <c r="AD9" s="526"/>
      <c r="AE9" s="526"/>
      <c r="AF9" s="526"/>
      <c r="AG9" s="526"/>
      <c r="AH9" s="526"/>
      <c r="AI9" s="526"/>
      <c r="AJ9" s="526"/>
      <c r="AK9" s="526"/>
      <c r="AL9" s="526"/>
      <c r="AM9" s="526"/>
      <c r="AN9" s="526"/>
      <c r="AO9" s="526"/>
    </row>
    <row r="10" spans="1:41" s="506" customFormat="1" ht="15" customHeight="1">
      <c r="A10" s="505"/>
      <c r="B10" s="1882"/>
      <c r="C10" s="1882"/>
      <c r="D10" s="1882"/>
      <c r="E10" s="1882"/>
      <c r="F10" s="1883" t="s">
        <v>566</v>
      </c>
      <c r="G10" s="1883"/>
      <c r="H10" s="1883"/>
      <c r="I10" s="1883"/>
      <c r="J10" s="1883" t="s">
        <v>567</v>
      </c>
      <c r="K10" s="1883"/>
      <c r="L10" s="1883"/>
      <c r="M10" s="1883"/>
      <c r="N10" s="1882"/>
      <c r="P10" s="525" t="s">
        <v>568</v>
      </c>
      <c r="Q10" s="519"/>
      <c r="R10" s="519"/>
      <c r="S10" s="519"/>
      <c r="T10" s="519"/>
      <c r="U10" s="519">
        <v>1</v>
      </c>
      <c r="V10" s="519"/>
      <c r="W10" s="519">
        <v>0</v>
      </c>
      <c r="X10" s="510"/>
      <c r="Y10" s="530" t="s">
        <v>1273</v>
      </c>
      <c r="Z10" s="526"/>
      <c r="AA10" s="526"/>
      <c r="AB10" s="526"/>
      <c r="AC10" s="526"/>
      <c r="AD10" s="526"/>
      <c r="AE10" s="526"/>
      <c r="AF10" s="526"/>
      <c r="AG10" s="526"/>
      <c r="AH10" s="526"/>
      <c r="AI10" s="526"/>
      <c r="AJ10" s="526"/>
      <c r="AK10" s="526"/>
      <c r="AL10" s="526"/>
      <c r="AM10" s="526"/>
      <c r="AN10" s="526"/>
      <c r="AO10" s="526"/>
    </row>
    <row r="11" spans="1:41" s="506" customFormat="1" ht="15" customHeight="1">
      <c r="A11" s="505"/>
      <c r="B11" s="1886" t="s">
        <v>570</v>
      </c>
      <c r="C11" s="1886"/>
      <c r="D11" s="1886"/>
      <c r="E11" s="1886"/>
      <c r="F11" s="1887" t="s">
        <v>464</v>
      </c>
      <c r="G11" s="1887"/>
      <c r="H11" s="1887"/>
      <c r="I11" s="1887"/>
      <c r="J11" s="1888">
        <f>W15</f>
        <v>20000</v>
      </c>
      <c r="K11" s="1889"/>
      <c r="L11" s="1889"/>
      <c r="M11" s="1890"/>
      <c r="N11" s="519" t="s">
        <v>571</v>
      </c>
      <c r="P11" s="525" t="s">
        <v>572</v>
      </c>
      <c r="Q11" s="519"/>
      <c r="R11" s="519"/>
      <c r="S11" s="519"/>
      <c r="T11" s="519"/>
      <c r="U11" s="519">
        <v>1</v>
      </c>
      <c r="V11" s="519"/>
      <c r="W11" s="1592">
        <v>20000</v>
      </c>
      <c r="X11" s="510"/>
      <c r="Y11" s="524" t="s">
        <v>1944</v>
      </c>
      <c r="Z11" s="526"/>
      <c r="AA11" s="526"/>
      <c r="AB11" s="526"/>
      <c r="AC11" s="526"/>
      <c r="AD11" s="526"/>
      <c r="AE11" s="526"/>
      <c r="AF11" s="526"/>
      <c r="AG11" s="526"/>
      <c r="AH11" s="526"/>
      <c r="AI11" s="526"/>
      <c r="AJ11" s="526"/>
      <c r="AK11" s="526"/>
      <c r="AL11" s="526"/>
      <c r="AM11" s="526"/>
      <c r="AN11" s="526"/>
      <c r="AO11" s="526"/>
    </row>
    <row r="12" spans="1:41" s="506" customFormat="1" ht="15" customHeight="1">
      <c r="A12" s="505"/>
      <c r="B12" s="1891" t="s">
        <v>573</v>
      </c>
      <c r="C12" s="1892"/>
      <c r="D12" s="1892"/>
      <c r="E12" s="1893"/>
      <c r="F12" s="1888" t="e">
        <f>Q14</f>
        <v>#REF!</v>
      </c>
      <c r="G12" s="1889"/>
      <c r="H12" s="1889"/>
      <c r="I12" s="1890"/>
      <c r="J12" s="1888" t="e">
        <f>V14</f>
        <v>#REF!</v>
      </c>
      <c r="K12" s="1889"/>
      <c r="L12" s="1889"/>
      <c r="M12" s="1890"/>
      <c r="N12" s="519" t="s">
        <v>574</v>
      </c>
      <c r="P12" s="525" t="s">
        <v>1272</v>
      </c>
      <c r="Q12" s="519"/>
      <c r="R12" s="519"/>
      <c r="S12" s="519"/>
      <c r="T12" s="519"/>
      <c r="U12" s="519">
        <v>1</v>
      </c>
      <c r="V12" s="519"/>
      <c r="W12" s="519">
        <v>0</v>
      </c>
      <c r="X12" s="510"/>
      <c r="Y12" s="530" t="s">
        <v>1274</v>
      </c>
      <c r="Z12" s="526"/>
      <c r="AA12" s="526"/>
      <c r="AB12" s="526"/>
      <c r="AC12" s="526"/>
      <c r="AD12" s="526"/>
      <c r="AE12" s="526"/>
      <c r="AF12" s="526"/>
      <c r="AG12" s="526"/>
      <c r="AH12" s="526"/>
      <c r="AI12" s="526"/>
      <c r="AJ12" s="526"/>
      <c r="AK12" s="526"/>
      <c r="AL12" s="526"/>
      <c r="AM12" s="526"/>
      <c r="AN12" s="526"/>
      <c r="AO12" s="526"/>
    </row>
    <row r="13" spans="1:41" s="506" customFormat="1" ht="15" customHeight="1">
      <c r="A13" s="505"/>
      <c r="B13" s="1886" t="s">
        <v>575</v>
      </c>
      <c r="C13" s="1886"/>
      <c r="D13" s="1886"/>
      <c r="E13" s="1886"/>
      <c r="F13" s="1888">
        <f>Q8</f>
        <v>100</v>
      </c>
      <c r="G13" s="1889"/>
      <c r="H13" s="1889"/>
      <c r="I13" s="1890"/>
      <c r="J13" s="1888">
        <f>V8</f>
        <v>10500</v>
      </c>
      <c r="K13" s="1889"/>
      <c r="L13" s="1889"/>
      <c r="M13" s="1890"/>
      <c r="N13" s="531" t="s">
        <v>576</v>
      </c>
      <c r="P13" s="525" t="s">
        <v>219</v>
      </c>
      <c r="Q13" s="519"/>
      <c r="R13" s="519"/>
      <c r="S13" s="519"/>
      <c r="T13" s="519"/>
      <c r="U13" s="519"/>
      <c r="V13" s="519"/>
      <c r="W13" s="519"/>
      <c r="X13" s="510"/>
      <c r="Y13" s="526"/>
      <c r="Z13" s="526"/>
      <c r="AA13" s="526"/>
      <c r="AB13" s="526"/>
      <c r="AC13" s="526"/>
      <c r="AD13" s="526"/>
      <c r="AE13" s="526"/>
      <c r="AF13" s="526"/>
      <c r="AG13" s="526"/>
      <c r="AH13" s="526"/>
      <c r="AI13" s="526"/>
      <c r="AJ13" s="526"/>
      <c r="AK13" s="526"/>
      <c r="AL13" s="526"/>
      <c r="AM13" s="526"/>
      <c r="AN13" s="526"/>
      <c r="AO13" s="526"/>
    </row>
    <row r="14" spans="1:41" s="506" customFormat="1" ht="15" customHeight="1">
      <c r="A14" s="505"/>
      <c r="B14" s="1882" t="s">
        <v>235</v>
      </c>
      <c r="C14" s="1882"/>
      <c r="D14" s="1882"/>
      <c r="E14" s="1882"/>
      <c r="F14" s="1894" t="e">
        <f>SUM(F11:F13)</f>
        <v>#REF!</v>
      </c>
      <c r="G14" s="1894"/>
      <c r="H14" s="1894"/>
      <c r="I14" s="1894"/>
      <c r="J14" s="1894" t="e">
        <f>SUM(J11:J13)</f>
        <v>#REF!</v>
      </c>
      <c r="K14" s="1894"/>
      <c r="L14" s="1894"/>
      <c r="M14" s="1894"/>
      <c r="N14" s="528"/>
      <c r="P14" s="525" t="s">
        <v>577</v>
      </c>
      <c r="Q14" s="519" t="e">
        <f>#REF!*1000</f>
        <v>#REF!</v>
      </c>
      <c r="R14" s="519">
        <v>5</v>
      </c>
      <c r="S14" s="519">
        <v>2</v>
      </c>
      <c r="T14" s="519"/>
      <c r="U14" s="519">
        <v>1</v>
      </c>
      <c r="V14" s="520" t="e">
        <f>Q14*(R14+S14)</f>
        <v>#REF!</v>
      </c>
      <c r="W14" s="519"/>
      <c r="X14" s="510"/>
      <c r="Y14" s="526"/>
      <c r="Z14" s="526"/>
      <c r="AA14" s="526"/>
      <c r="AB14" s="526"/>
      <c r="AC14" s="526"/>
      <c r="AD14" s="526"/>
      <c r="AE14" s="526"/>
      <c r="AF14" s="526"/>
      <c r="AG14" s="526"/>
      <c r="AH14" s="526"/>
      <c r="AI14" s="526"/>
      <c r="AJ14" s="526"/>
      <c r="AK14" s="526"/>
      <c r="AL14" s="526"/>
      <c r="AM14" s="526"/>
      <c r="AN14" s="526"/>
      <c r="AO14" s="526"/>
    </row>
    <row r="15" spans="1:41" s="506" customFormat="1" ht="15" customHeight="1">
      <c r="B15" s="532"/>
      <c r="C15" s="532"/>
      <c r="D15" s="533"/>
      <c r="E15" s="533"/>
      <c r="F15" s="533"/>
      <c r="G15" s="533"/>
      <c r="P15" s="528" t="s">
        <v>235</v>
      </c>
      <c r="Q15" s="534" t="e">
        <f>SUM(Q8,Q14)</f>
        <v>#REF!</v>
      </c>
      <c r="R15" s="528"/>
      <c r="S15" s="528"/>
      <c r="T15" s="528"/>
      <c r="U15" s="528"/>
      <c r="V15" s="534" t="e">
        <f>SUM(V8,V14)</f>
        <v>#REF!</v>
      </c>
      <c r="W15" s="535">
        <f>SUM(W5:W14)</f>
        <v>20000</v>
      </c>
      <c r="X15" s="536" t="e">
        <f>SUM(V15:W15)</f>
        <v>#REF!</v>
      </c>
      <c r="Y15" s="526"/>
      <c r="Z15" s="526"/>
      <c r="AA15" s="526"/>
      <c r="AB15" s="526"/>
      <c r="AC15" s="526"/>
      <c r="AD15" s="526"/>
      <c r="AE15" s="526"/>
      <c r="AF15" s="526"/>
      <c r="AG15" s="526"/>
      <c r="AH15" s="526"/>
      <c r="AI15" s="526"/>
      <c r="AJ15" s="526"/>
      <c r="AK15" s="526"/>
      <c r="AL15" s="526"/>
      <c r="AM15" s="526"/>
      <c r="AN15" s="526"/>
      <c r="AO15" s="526"/>
    </row>
    <row r="16" spans="1:41" s="506" customFormat="1" ht="15" customHeight="1">
      <c r="A16" s="516"/>
      <c r="B16" s="1646"/>
      <c r="C16" s="505"/>
      <c r="D16" s="505"/>
      <c r="E16" s="1647"/>
      <c r="F16" s="505"/>
      <c r="G16" s="505"/>
      <c r="H16" s="505"/>
      <c r="I16" s="505"/>
      <c r="J16" s="505"/>
      <c r="K16" s="505"/>
      <c r="L16" s="505"/>
      <c r="M16" s="505"/>
      <c r="N16" s="505"/>
      <c r="P16" s="524"/>
      <c r="X16" s="526"/>
      <c r="Y16" s="526"/>
      <c r="Z16" s="526"/>
      <c r="AA16" s="526"/>
      <c r="AB16" s="526"/>
      <c r="AC16" s="526"/>
      <c r="AD16" s="526"/>
      <c r="AE16" s="526"/>
      <c r="AF16" s="526"/>
      <c r="AG16" s="526"/>
      <c r="AH16" s="526"/>
      <c r="AI16" s="526"/>
      <c r="AJ16" s="526"/>
      <c r="AK16" s="526"/>
      <c r="AL16" s="526"/>
      <c r="AM16" s="526"/>
      <c r="AN16" s="526"/>
      <c r="AO16" s="526"/>
    </row>
    <row r="17" spans="1:41" s="506" customFormat="1" ht="15" customHeight="1">
      <c r="A17" s="516"/>
      <c r="B17" s="1646"/>
      <c r="C17" s="505"/>
      <c r="D17" s="505"/>
      <c r="E17" s="1647"/>
      <c r="F17" s="505"/>
      <c r="G17" s="505"/>
      <c r="H17" s="505"/>
      <c r="I17" s="505"/>
      <c r="J17" s="505"/>
      <c r="K17" s="505"/>
      <c r="L17" s="505"/>
      <c r="M17" s="505"/>
      <c r="N17" s="505"/>
      <c r="P17" s="526"/>
      <c r="Q17" s="537"/>
      <c r="X17" s="526"/>
      <c r="Y17" s="526"/>
      <c r="Z17" s="526"/>
      <c r="AA17" s="526"/>
      <c r="AB17" s="526"/>
      <c r="AC17" s="526"/>
      <c r="AD17" s="526"/>
      <c r="AE17" s="526"/>
      <c r="AF17" s="526"/>
      <c r="AG17" s="526"/>
      <c r="AH17" s="526"/>
      <c r="AI17" s="526"/>
      <c r="AJ17" s="526"/>
      <c r="AK17" s="526"/>
      <c r="AL17" s="526"/>
      <c r="AM17" s="526"/>
      <c r="AN17" s="526"/>
      <c r="AO17" s="526"/>
    </row>
    <row r="18" spans="1:41" s="506" customFormat="1" ht="15" customHeight="1">
      <c r="A18" s="516"/>
      <c r="B18" s="1646"/>
      <c r="C18" s="505"/>
      <c r="D18" s="505"/>
      <c r="E18" s="1647"/>
      <c r="F18" s="505"/>
      <c r="G18" s="505"/>
      <c r="H18" s="505"/>
      <c r="I18" s="505"/>
      <c r="J18" s="505"/>
      <c r="K18" s="505"/>
      <c r="L18" s="505"/>
      <c r="M18" s="505"/>
      <c r="N18" s="505"/>
      <c r="P18" s="526"/>
      <c r="Q18" s="537"/>
      <c r="X18" s="526"/>
      <c r="Y18" s="526"/>
      <c r="Z18" s="526"/>
      <c r="AA18" s="526"/>
      <c r="AB18" s="526"/>
      <c r="AC18" s="526"/>
      <c r="AD18" s="526"/>
      <c r="AE18" s="526"/>
      <c r="AF18" s="526"/>
      <c r="AG18" s="526"/>
      <c r="AH18" s="526"/>
      <c r="AI18" s="526"/>
      <c r="AJ18" s="526"/>
      <c r="AK18" s="526"/>
      <c r="AL18" s="526"/>
      <c r="AM18" s="526"/>
      <c r="AN18" s="526"/>
      <c r="AO18" s="526"/>
    </row>
    <row r="19" spans="1:41" s="506" customFormat="1" ht="15" customHeight="1">
      <c r="A19" s="516"/>
      <c r="B19" s="1646"/>
      <c r="C19" s="505"/>
      <c r="D19" s="505"/>
      <c r="E19" s="1647"/>
      <c r="F19" s="505"/>
      <c r="G19" s="505"/>
      <c r="H19" s="505"/>
      <c r="I19" s="505"/>
      <c r="J19" s="505"/>
      <c r="K19" s="505"/>
      <c r="L19" s="505"/>
      <c r="M19" s="505"/>
      <c r="N19" s="505"/>
      <c r="P19" s="526"/>
      <c r="Q19" s="538"/>
      <c r="X19" s="526"/>
      <c r="Y19" s="526"/>
      <c r="Z19" s="526"/>
      <c r="AA19" s="526"/>
      <c r="AB19" s="526"/>
      <c r="AC19" s="526"/>
      <c r="AD19" s="526"/>
      <c r="AE19" s="526"/>
      <c r="AF19" s="526"/>
      <c r="AG19" s="526"/>
      <c r="AH19" s="526"/>
      <c r="AI19" s="526"/>
      <c r="AJ19" s="526"/>
      <c r="AK19" s="526"/>
      <c r="AL19" s="526"/>
      <c r="AM19" s="526"/>
      <c r="AN19" s="526"/>
      <c r="AO19" s="526"/>
    </row>
    <row r="20" spans="1:41" s="506" customFormat="1" ht="15" customHeight="1">
      <c r="A20" s="516"/>
      <c r="B20" s="1646"/>
      <c r="C20" s="505"/>
      <c r="D20" s="505"/>
      <c r="E20" s="1647"/>
      <c r="F20" s="505"/>
      <c r="G20" s="505"/>
      <c r="H20" s="505"/>
      <c r="I20" s="505"/>
      <c r="J20" s="505"/>
      <c r="K20" s="505"/>
      <c r="L20" s="505"/>
      <c r="M20" s="505"/>
      <c r="N20" s="505"/>
      <c r="P20" s="526"/>
      <c r="Q20" s="538"/>
      <c r="X20" s="526"/>
      <c r="Y20" s="526"/>
      <c r="Z20" s="526"/>
      <c r="AA20" s="526"/>
      <c r="AB20" s="526"/>
      <c r="AC20" s="526"/>
      <c r="AD20" s="526"/>
      <c r="AE20" s="526"/>
      <c r="AF20" s="526"/>
      <c r="AG20" s="526"/>
      <c r="AH20" s="526"/>
      <c r="AI20" s="526"/>
      <c r="AJ20" s="526"/>
      <c r="AK20" s="526"/>
      <c r="AL20" s="526"/>
      <c r="AM20" s="526"/>
      <c r="AN20" s="526"/>
      <c r="AO20" s="526"/>
    </row>
    <row r="21" spans="1:41" s="532" customFormat="1" ht="15" customHeight="1">
      <c r="A21" s="516"/>
      <c r="B21" s="1646"/>
      <c r="C21" s="505"/>
      <c r="D21" s="505"/>
      <c r="E21" s="1647"/>
      <c r="F21" s="505"/>
      <c r="G21" s="505"/>
      <c r="H21" s="505"/>
      <c r="I21" s="505"/>
      <c r="J21" s="505"/>
      <c r="K21" s="505"/>
      <c r="L21" s="505"/>
      <c r="M21" s="505"/>
      <c r="N21" s="505"/>
      <c r="O21" s="506"/>
      <c r="P21" s="506"/>
      <c r="Q21" s="538"/>
      <c r="R21" s="506"/>
      <c r="S21" s="506"/>
      <c r="T21" s="506"/>
      <c r="U21" s="506"/>
      <c r="V21" s="506"/>
      <c r="W21" s="506"/>
      <c r="X21" s="526"/>
      <c r="Y21" s="540"/>
      <c r="Z21" s="540"/>
      <c r="AA21" s="540"/>
      <c r="AB21" s="540"/>
      <c r="AC21" s="540"/>
      <c r="AD21" s="540"/>
      <c r="AE21" s="540"/>
      <c r="AF21" s="540"/>
      <c r="AG21" s="540"/>
      <c r="AH21" s="540"/>
      <c r="AI21" s="540"/>
      <c r="AJ21" s="540"/>
      <c r="AK21" s="540"/>
      <c r="AL21" s="540"/>
      <c r="AM21" s="540"/>
      <c r="AN21" s="540"/>
      <c r="AO21" s="540"/>
    </row>
    <row r="22" spans="1:41" s="532" customFormat="1" ht="15" customHeight="1">
      <c r="A22" s="516"/>
      <c r="B22" s="1646"/>
      <c r="C22" s="505"/>
      <c r="D22" s="505"/>
      <c r="E22" s="1647"/>
      <c r="F22" s="505"/>
      <c r="G22" s="505"/>
      <c r="H22" s="505"/>
      <c r="I22" s="505"/>
      <c r="J22" s="505"/>
      <c r="K22" s="505"/>
      <c r="L22" s="505"/>
      <c r="M22" s="505"/>
      <c r="N22" s="505"/>
      <c r="O22" s="506"/>
      <c r="P22" s="506"/>
      <c r="Q22" s="506"/>
      <c r="R22" s="506"/>
      <c r="S22" s="542"/>
      <c r="X22" s="540"/>
      <c r="Y22" s="540"/>
      <c r="Z22" s="540"/>
      <c r="AA22" s="540"/>
      <c r="AB22" s="540"/>
      <c r="AC22" s="540"/>
      <c r="AD22" s="540"/>
      <c r="AE22" s="540"/>
      <c r="AF22" s="540"/>
      <c r="AG22" s="540"/>
      <c r="AH22" s="540"/>
      <c r="AI22" s="540"/>
      <c r="AJ22" s="540"/>
      <c r="AK22" s="540"/>
      <c r="AL22" s="540"/>
      <c r="AM22" s="540"/>
      <c r="AN22" s="540"/>
      <c r="AO22" s="540"/>
    </row>
    <row r="23" spans="1:41" s="506" customFormat="1" ht="15" customHeight="1">
      <c r="A23" s="543"/>
      <c r="B23" s="524"/>
      <c r="C23" s="524"/>
      <c r="D23" s="524"/>
      <c r="E23" s="524"/>
      <c r="F23" s="524"/>
      <c r="G23" s="524"/>
      <c r="H23" s="524"/>
      <c r="I23" s="524"/>
      <c r="J23" s="524"/>
      <c r="K23" s="524"/>
      <c r="L23" s="524"/>
      <c r="M23" s="524"/>
      <c r="N23" s="524"/>
      <c r="O23" s="524"/>
      <c r="P23" s="532"/>
      <c r="Q23" s="532"/>
      <c r="R23" s="532"/>
      <c r="S23" s="532"/>
      <c r="T23" s="532"/>
      <c r="U23" s="532"/>
      <c r="V23" s="532"/>
      <c r="W23" s="532"/>
      <c r="X23" s="540"/>
      <c r="Y23" s="526"/>
      <c r="Z23" s="526"/>
      <c r="AA23" s="526"/>
      <c r="AB23" s="526"/>
      <c r="AC23" s="526"/>
      <c r="AD23" s="526"/>
      <c r="AE23" s="526"/>
      <c r="AF23" s="526"/>
      <c r="AG23" s="526"/>
      <c r="AH23" s="526"/>
      <c r="AI23" s="526"/>
      <c r="AJ23" s="526"/>
      <c r="AK23" s="526"/>
      <c r="AL23" s="526"/>
      <c r="AM23" s="526"/>
      <c r="AN23" s="526"/>
      <c r="AO23" s="526"/>
    </row>
    <row r="24" spans="1:41" s="506" customFormat="1" ht="15" customHeight="1">
      <c r="A24" s="543"/>
      <c r="B24" s="1895"/>
      <c r="C24" s="1895"/>
      <c r="D24" s="1895"/>
      <c r="E24" s="1895"/>
      <c r="F24" s="1896"/>
      <c r="G24" s="1896"/>
      <c r="H24" s="1896"/>
      <c r="I24" s="1896"/>
      <c r="J24" s="1896"/>
      <c r="K24" s="1896"/>
      <c r="L24" s="1896"/>
      <c r="M24" s="1896"/>
      <c r="N24" s="1895"/>
      <c r="O24" s="524"/>
      <c r="R24" s="526"/>
      <c r="S24" s="526"/>
      <c r="T24" s="526"/>
      <c r="U24" s="526"/>
      <c r="V24" s="544"/>
      <c r="W24" s="526"/>
      <c r="X24" s="526"/>
      <c r="Y24" s="526"/>
      <c r="Z24" s="526"/>
      <c r="AA24" s="526"/>
      <c r="AB24" s="526"/>
      <c r="AC24" s="526"/>
      <c r="AD24" s="526"/>
      <c r="AE24" s="526"/>
      <c r="AF24" s="526"/>
      <c r="AG24" s="526"/>
      <c r="AH24" s="526"/>
      <c r="AI24" s="526"/>
      <c r="AJ24" s="526"/>
      <c r="AK24" s="526"/>
      <c r="AL24" s="526"/>
      <c r="AM24" s="526"/>
      <c r="AN24" s="526"/>
      <c r="AO24" s="526"/>
    </row>
    <row r="25" spans="1:41" s="532" customFormat="1" ht="15" customHeight="1">
      <c r="A25" s="541"/>
      <c r="B25" s="1895"/>
      <c r="C25" s="1895"/>
      <c r="D25" s="1895"/>
      <c r="E25" s="1895"/>
      <c r="F25" s="1896"/>
      <c r="G25" s="1896"/>
      <c r="H25" s="1896"/>
      <c r="I25" s="1896"/>
      <c r="J25" s="1896"/>
      <c r="K25" s="1896"/>
      <c r="L25" s="1896"/>
      <c r="M25" s="1896"/>
      <c r="N25" s="1895"/>
      <c r="O25" s="539"/>
      <c r="P25" s="506"/>
      <c r="Q25" s="506"/>
      <c r="R25" s="542"/>
      <c r="S25" s="542"/>
      <c r="T25" s="542"/>
      <c r="U25" s="542"/>
      <c r="V25" s="526"/>
      <c r="W25" s="542"/>
      <c r="X25" s="526"/>
      <c r="Y25" s="540"/>
      <c r="Z25" s="540"/>
      <c r="AA25" s="540"/>
      <c r="AB25" s="540"/>
      <c r="AC25" s="540"/>
      <c r="AD25" s="540"/>
      <c r="AE25" s="540"/>
      <c r="AF25" s="540"/>
      <c r="AG25" s="540"/>
      <c r="AH25" s="540"/>
      <c r="AI25" s="540"/>
      <c r="AJ25" s="540"/>
      <c r="AK25" s="540"/>
      <c r="AL25" s="540"/>
      <c r="AM25" s="540"/>
      <c r="AN25" s="540"/>
      <c r="AO25" s="540"/>
    </row>
    <row r="26" spans="1:41" s="506" customFormat="1" ht="15" customHeight="1">
      <c r="A26" s="541"/>
      <c r="B26" s="1897"/>
      <c r="C26" s="1897"/>
      <c r="D26" s="1897"/>
      <c r="E26" s="1897"/>
      <c r="F26" s="1898"/>
      <c r="G26" s="1898"/>
      <c r="H26" s="1898"/>
      <c r="I26" s="1898"/>
      <c r="J26" s="1898"/>
      <c r="K26" s="1898"/>
      <c r="L26" s="1898"/>
      <c r="M26" s="1898"/>
      <c r="O26" s="524"/>
      <c r="P26" s="532"/>
      <c r="Q26" s="532"/>
      <c r="R26" s="526"/>
      <c r="S26" s="526"/>
      <c r="T26" s="526"/>
      <c r="U26" s="526"/>
      <c r="V26" s="526"/>
      <c r="W26" s="526"/>
      <c r="X26" s="526"/>
      <c r="Y26" s="526"/>
      <c r="Z26" s="526"/>
      <c r="AA26" s="526"/>
      <c r="AB26" s="526"/>
      <c r="AC26" s="526"/>
      <c r="AD26" s="526"/>
      <c r="AE26" s="526"/>
      <c r="AF26" s="526"/>
      <c r="AG26" s="526"/>
      <c r="AH26" s="526"/>
      <c r="AI26" s="526"/>
      <c r="AJ26" s="526"/>
      <c r="AK26" s="526"/>
      <c r="AL26" s="526"/>
      <c r="AM26" s="526"/>
      <c r="AN26" s="526"/>
      <c r="AO26" s="526"/>
    </row>
    <row r="27" spans="1:41" s="506" customFormat="1" ht="15" customHeight="1">
      <c r="A27" s="543"/>
      <c r="B27" s="1897"/>
      <c r="C27" s="1897"/>
      <c r="D27" s="1897"/>
      <c r="E27" s="1897"/>
      <c r="F27" s="1898"/>
      <c r="G27" s="1898"/>
      <c r="H27" s="1898"/>
      <c r="I27" s="1898"/>
      <c r="J27" s="1898"/>
      <c r="K27" s="1898"/>
      <c r="L27" s="1898"/>
      <c r="M27" s="1898"/>
      <c r="O27" s="524"/>
      <c r="P27" s="530"/>
      <c r="Q27" s="526"/>
      <c r="R27" s="526"/>
      <c r="S27" s="526"/>
      <c r="T27" s="526"/>
      <c r="U27" s="526"/>
      <c r="V27" s="526"/>
      <c r="W27" s="526"/>
      <c r="X27" s="526"/>
      <c r="Y27" s="526"/>
      <c r="Z27" s="526"/>
      <c r="AA27" s="526"/>
      <c r="AB27" s="526"/>
      <c r="AC27" s="526"/>
      <c r="AD27" s="526"/>
      <c r="AE27" s="526"/>
      <c r="AF27" s="526"/>
      <c r="AG27" s="526"/>
      <c r="AH27" s="526"/>
      <c r="AI27" s="526"/>
      <c r="AJ27" s="526"/>
      <c r="AK27" s="526"/>
      <c r="AL27" s="526"/>
      <c r="AM27" s="526"/>
      <c r="AN27" s="526"/>
      <c r="AO27" s="526"/>
    </row>
    <row r="28" spans="1:41" s="506" customFormat="1" ht="15" customHeight="1">
      <c r="A28" s="541"/>
      <c r="B28" s="1895"/>
      <c r="C28" s="1895"/>
      <c r="D28" s="1895"/>
      <c r="E28" s="1895"/>
      <c r="F28" s="1899"/>
      <c r="G28" s="1899"/>
      <c r="H28" s="1899"/>
      <c r="I28" s="1899"/>
      <c r="J28" s="1899"/>
      <c r="K28" s="1899"/>
      <c r="L28" s="1899"/>
      <c r="M28" s="1899"/>
      <c r="N28" s="532"/>
      <c r="O28" s="524"/>
      <c r="P28" s="530"/>
      <c r="Q28" s="526"/>
      <c r="R28" s="526"/>
      <c r="S28" s="526"/>
      <c r="T28" s="526"/>
      <c r="U28" s="526"/>
      <c r="V28" s="526"/>
      <c r="W28" s="526"/>
      <c r="X28" s="526"/>
      <c r="Y28" s="526"/>
      <c r="Z28" s="526"/>
      <c r="AA28" s="526"/>
      <c r="AB28" s="526"/>
      <c r="AC28" s="526"/>
      <c r="AD28" s="526"/>
      <c r="AE28" s="526"/>
      <c r="AF28" s="526"/>
      <c r="AG28" s="526"/>
      <c r="AH28" s="526"/>
      <c r="AI28" s="526"/>
      <c r="AJ28" s="526"/>
      <c r="AK28" s="526"/>
      <c r="AL28" s="526"/>
      <c r="AM28" s="526"/>
      <c r="AN28" s="526"/>
      <c r="AO28" s="526"/>
    </row>
    <row r="29" spans="1:41" s="506" customFormat="1" ht="15" customHeight="1">
      <c r="A29" s="541"/>
      <c r="B29" s="524"/>
      <c r="C29" s="524"/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45"/>
      <c r="O29" s="524"/>
      <c r="P29" s="1900"/>
      <c r="Q29" s="546"/>
      <c r="R29" s="526"/>
      <c r="S29" s="526"/>
      <c r="T29" s="526"/>
      <c r="U29" s="526"/>
      <c r="V29" s="546"/>
      <c r="X29" s="526"/>
      <c r="Y29" s="526"/>
      <c r="Z29" s="526"/>
      <c r="AA29" s="526"/>
      <c r="AB29" s="526"/>
      <c r="AC29" s="526"/>
      <c r="AD29" s="526"/>
      <c r="AE29" s="526"/>
      <c r="AF29" s="526"/>
      <c r="AG29" s="526"/>
      <c r="AH29" s="526"/>
      <c r="AI29" s="526"/>
      <c r="AJ29" s="526"/>
      <c r="AK29" s="526"/>
      <c r="AL29" s="526"/>
      <c r="AM29" s="526"/>
      <c r="AN29" s="526"/>
      <c r="AO29" s="526"/>
    </row>
    <row r="30" spans="1:41" s="506" customFormat="1" ht="15" customHeight="1">
      <c r="A30" s="541"/>
      <c r="B30" s="524"/>
      <c r="C30" s="524"/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45"/>
      <c r="O30" s="524"/>
      <c r="P30" s="1900"/>
      <c r="Q30" s="546"/>
      <c r="R30" s="526"/>
      <c r="S30" s="526"/>
      <c r="T30" s="526"/>
      <c r="U30" s="526"/>
      <c r="V30" s="546"/>
      <c r="X30" s="526"/>
      <c r="Y30" s="526"/>
      <c r="Z30" s="526"/>
      <c r="AA30" s="526"/>
      <c r="AB30" s="526"/>
      <c r="AC30" s="526"/>
      <c r="AD30" s="526"/>
      <c r="AE30" s="526"/>
      <c r="AF30" s="526"/>
      <c r="AG30" s="526"/>
      <c r="AH30" s="526"/>
      <c r="AI30" s="526"/>
      <c r="AJ30" s="526"/>
      <c r="AK30" s="526"/>
      <c r="AL30" s="526"/>
      <c r="AM30" s="526"/>
      <c r="AN30" s="526"/>
      <c r="AO30" s="526"/>
    </row>
    <row r="31" spans="1:41" s="506" customFormat="1" ht="15" customHeight="1">
      <c r="A31" s="541"/>
      <c r="B31" s="1895"/>
      <c r="C31" s="1895"/>
      <c r="D31" s="1895"/>
      <c r="E31" s="1895"/>
      <c r="F31" s="1895"/>
      <c r="G31" s="1895"/>
      <c r="H31" s="1895"/>
      <c r="I31" s="1895"/>
      <c r="J31" s="1895"/>
      <c r="K31" s="1895"/>
      <c r="L31" s="1895"/>
      <c r="M31" s="1895"/>
      <c r="N31" s="1895"/>
      <c r="O31" s="524"/>
      <c r="Q31" s="547"/>
      <c r="R31" s="547"/>
      <c r="S31" s="547"/>
      <c r="T31" s="547"/>
      <c r="U31" s="547"/>
      <c r="V31" s="547"/>
      <c r="W31" s="547"/>
      <c r="X31" s="542"/>
      <c r="Y31" s="526"/>
      <c r="Z31" s="526"/>
      <c r="AA31" s="526"/>
      <c r="AB31" s="526"/>
      <c r="AC31" s="526"/>
      <c r="AD31" s="526"/>
      <c r="AE31" s="526"/>
      <c r="AF31" s="526"/>
      <c r="AG31" s="526"/>
      <c r="AH31" s="526"/>
      <c r="AI31" s="526"/>
      <c r="AJ31" s="526"/>
      <c r="AK31" s="526"/>
      <c r="AL31" s="526"/>
      <c r="AM31" s="526"/>
      <c r="AN31" s="526"/>
      <c r="AO31" s="526"/>
    </row>
    <row r="32" spans="1:41" s="506" customFormat="1" ht="15" customHeight="1">
      <c r="A32" s="541"/>
      <c r="B32" s="1895"/>
      <c r="C32" s="1895"/>
      <c r="D32" s="1895"/>
      <c r="E32" s="1895"/>
      <c r="F32" s="1895"/>
      <c r="G32" s="1895"/>
      <c r="H32" s="1895"/>
      <c r="I32" s="532"/>
      <c r="J32" s="532"/>
      <c r="K32" s="532"/>
      <c r="L32" s="532"/>
      <c r="M32" s="532"/>
      <c r="N32" s="1895"/>
      <c r="O32" s="524"/>
      <c r="P32" s="526"/>
      <c r="Q32" s="548"/>
      <c r="R32" s="549"/>
      <c r="S32" s="549"/>
      <c r="T32" s="549"/>
      <c r="U32" s="549"/>
      <c r="V32" s="526"/>
      <c r="W32" s="549"/>
      <c r="X32" s="526"/>
      <c r="Y32" s="526"/>
      <c r="Z32" s="526"/>
      <c r="AA32" s="526"/>
      <c r="AB32" s="526"/>
      <c r="AC32" s="526"/>
      <c r="AD32" s="526"/>
      <c r="AE32" s="526"/>
      <c r="AF32" s="526"/>
      <c r="AG32" s="526"/>
      <c r="AH32" s="526"/>
      <c r="AI32" s="526"/>
      <c r="AJ32" s="526"/>
      <c r="AK32" s="526"/>
      <c r="AL32" s="526"/>
      <c r="AM32" s="526"/>
      <c r="AN32" s="526"/>
      <c r="AO32" s="526"/>
    </row>
    <row r="33" spans="1:41" s="506" customFormat="1" ht="15" customHeight="1">
      <c r="A33" s="541"/>
      <c r="B33" s="1901"/>
      <c r="C33" s="1901"/>
      <c r="D33" s="1897"/>
      <c r="E33" s="1897"/>
      <c r="F33" s="1902"/>
      <c r="H33" s="547"/>
      <c r="I33" s="550"/>
      <c r="J33" s="550"/>
      <c r="K33" s="550"/>
      <c r="L33" s="550"/>
      <c r="M33" s="550"/>
      <c r="N33" s="1903"/>
      <c r="O33" s="524"/>
      <c r="P33" s="549"/>
      <c r="Q33" s="551"/>
      <c r="R33" s="551"/>
      <c r="S33" s="551"/>
      <c r="T33" s="551"/>
      <c r="U33" s="551"/>
      <c r="V33" s="526"/>
      <c r="X33" s="526"/>
      <c r="Y33" s="526"/>
      <c r="Z33" s="526"/>
      <c r="AA33" s="526"/>
      <c r="AB33" s="526"/>
      <c r="AC33" s="526"/>
      <c r="AD33" s="526"/>
      <c r="AE33" s="526"/>
      <c r="AF33" s="526"/>
      <c r="AG33" s="526"/>
      <c r="AH33" s="526"/>
      <c r="AI33" s="526"/>
      <c r="AJ33" s="526"/>
      <c r="AK33" s="526"/>
      <c r="AL33" s="526"/>
      <c r="AM33" s="526"/>
      <c r="AN33" s="526"/>
      <c r="AO33" s="526"/>
    </row>
    <row r="34" spans="1:41" s="506" customFormat="1" ht="15" customHeight="1">
      <c r="A34" s="541"/>
      <c r="B34" s="1901"/>
      <c r="C34" s="1901"/>
      <c r="D34" s="1897"/>
      <c r="E34" s="1897"/>
      <c r="F34" s="1897"/>
      <c r="H34" s="547"/>
      <c r="I34" s="550"/>
      <c r="J34" s="550"/>
      <c r="K34" s="550"/>
      <c r="L34" s="550"/>
      <c r="M34" s="550"/>
      <c r="N34" s="1900"/>
      <c r="O34" s="524"/>
      <c r="X34" s="526"/>
      <c r="Y34" s="526"/>
      <c r="Z34" s="526"/>
      <c r="AA34" s="526"/>
      <c r="AB34" s="526"/>
      <c r="AC34" s="526"/>
      <c r="AD34" s="526"/>
      <c r="AE34" s="526"/>
      <c r="AF34" s="526"/>
      <c r="AG34" s="526"/>
      <c r="AH34" s="526"/>
      <c r="AI34" s="526"/>
      <c r="AJ34" s="526"/>
      <c r="AK34" s="526"/>
      <c r="AL34" s="526"/>
      <c r="AM34" s="526"/>
      <c r="AN34" s="526"/>
      <c r="AO34" s="526"/>
    </row>
    <row r="35" spans="1:41" s="506" customFormat="1" ht="15" customHeight="1">
      <c r="A35" s="541"/>
      <c r="B35" s="1901"/>
      <c r="C35" s="1901"/>
      <c r="D35" s="1897"/>
      <c r="E35" s="1897"/>
      <c r="F35" s="1902"/>
      <c r="H35" s="547"/>
      <c r="I35" s="550"/>
      <c r="J35" s="550"/>
      <c r="K35" s="550"/>
      <c r="L35" s="550"/>
      <c r="M35" s="550"/>
      <c r="N35" s="1897"/>
      <c r="O35" s="524"/>
      <c r="P35" s="530"/>
      <c r="Q35" s="526"/>
      <c r="R35" s="526"/>
      <c r="S35" s="526"/>
      <c r="T35" s="526"/>
      <c r="U35" s="526"/>
      <c r="V35" s="526"/>
      <c r="W35" s="526"/>
      <c r="X35" s="526"/>
      <c r="Y35" s="526"/>
      <c r="Z35" s="526"/>
      <c r="AA35" s="526"/>
      <c r="AB35" s="526"/>
      <c r="AC35" s="526"/>
      <c r="AD35" s="526"/>
      <c r="AE35" s="526"/>
      <c r="AF35" s="526"/>
      <c r="AG35" s="526"/>
      <c r="AH35" s="526"/>
      <c r="AI35" s="526"/>
      <c r="AJ35" s="526"/>
      <c r="AK35" s="526"/>
      <c r="AL35" s="526"/>
      <c r="AM35" s="526"/>
      <c r="AN35" s="526"/>
      <c r="AO35" s="526"/>
    </row>
    <row r="36" spans="1:41" s="506" customFormat="1" ht="15" customHeight="1">
      <c r="A36" s="541"/>
      <c r="B36" s="1901"/>
      <c r="C36" s="1901"/>
      <c r="D36" s="1897"/>
      <c r="E36" s="1897"/>
      <c r="F36" s="1897"/>
      <c r="H36" s="547"/>
      <c r="I36" s="550"/>
      <c r="J36" s="550"/>
      <c r="K36" s="550"/>
      <c r="L36" s="550"/>
      <c r="M36" s="550"/>
      <c r="N36" s="1897"/>
      <c r="O36" s="524"/>
      <c r="P36" s="530"/>
      <c r="Q36" s="526"/>
      <c r="R36" s="526"/>
      <c r="S36" s="526"/>
      <c r="T36" s="526"/>
      <c r="U36" s="526"/>
      <c r="V36" s="526"/>
      <c r="W36" s="526"/>
      <c r="X36" s="526"/>
      <c r="Y36" s="526"/>
      <c r="Z36" s="526"/>
      <c r="AA36" s="526"/>
      <c r="AB36" s="526"/>
      <c r="AC36" s="526"/>
      <c r="AD36" s="526"/>
      <c r="AE36" s="526"/>
      <c r="AF36" s="526"/>
      <c r="AG36" s="526"/>
      <c r="AH36" s="526"/>
      <c r="AI36" s="526"/>
      <c r="AJ36" s="526"/>
      <c r="AK36" s="526"/>
      <c r="AL36" s="526"/>
      <c r="AM36" s="526"/>
      <c r="AN36" s="526"/>
      <c r="AO36" s="526"/>
    </row>
    <row r="37" spans="1:41" s="506" customFormat="1" ht="15" customHeight="1">
      <c r="A37" s="541"/>
      <c r="B37" s="1901"/>
      <c r="C37" s="1901"/>
      <c r="D37" s="1897"/>
      <c r="E37" s="1897"/>
      <c r="H37" s="550"/>
      <c r="I37" s="550"/>
      <c r="J37" s="550"/>
      <c r="K37" s="550"/>
      <c r="L37" s="550"/>
      <c r="M37" s="550"/>
      <c r="P37" s="530"/>
      <c r="Q37" s="526"/>
      <c r="R37" s="526"/>
      <c r="S37" s="526"/>
      <c r="T37" s="526"/>
      <c r="U37" s="526"/>
      <c r="V37" s="526"/>
      <c r="W37" s="526"/>
      <c r="X37" s="526"/>
      <c r="Y37" s="526"/>
      <c r="Z37" s="526"/>
      <c r="AA37" s="526"/>
      <c r="AB37" s="526"/>
      <c r="AC37" s="526"/>
      <c r="AD37" s="526"/>
      <c r="AE37" s="526"/>
      <c r="AF37" s="526"/>
      <c r="AG37" s="526"/>
      <c r="AH37" s="526"/>
      <c r="AI37" s="526"/>
      <c r="AJ37" s="526"/>
      <c r="AK37" s="526"/>
      <c r="AL37" s="526"/>
      <c r="AM37" s="526"/>
      <c r="AN37" s="526"/>
      <c r="AO37" s="526"/>
    </row>
    <row r="38" spans="1:41" s="506" customFormat="1" ht="15" customHeight="1">
      <c r="A38" s="541"/>
      <c r="B38" s="524"/>
      <c r="C38" s="524"/>
      <c r="D38" s="524"/>
      <c r="E38" s="524"/>
      <c r="F38" s="524"/>
      <c r="G38" s="524"/>
      <c r="H38" s="524"/>
      <c r="I38" s="524"/>
      <c r="J38" s="524"/>
      <c r="K38" s="524"/>
      <c r="L38" s="524"/>
      <c r="M38" s="524"/>
      <c r="N38" s="524"/>
      <c r="P38" s="530"/>
      <c r="Q38" s="526"/>
      <c r="R38" s="526"/>
      <c r="S38" s="526"/>
      <c r="T38" s="526"/>
      <c r="U38" s="526"/>
      <c r="V38" s="526"/>
      <c r="W38" s="526"/>
      <c r="X38" s="526"/>
      <c r="Y38" s="526"/>
      <c r="Z38" s="526"/>
      <c r="AA38" s="526"/>
      <c r="AB38" s="526"/>
      <c r="AC38" s="526"/>
      <c r="AD38" s="526"/>
      <c r="AE38" s="526"/>
      <c r="AF38" s="526"/>
      <c r="AG38" s="526"/>
      <c r="AH38" s="526"/>
      <c r="AI38" s="526"/>
      <c r="AJ38" s="526"/>
      <c r="AK38" s="526"/>
      <c r="AL38" s="526"/>
      <c r="AM38" s="526"/>
      <c r="AN38" s="526"/>
      <c r="AO38" s="526"/>
    </row>
    <row r="39" spans="1:41" s="506" customFormat="1" ht="15" customHeight="1">
      <c r="A39" s="541"/>
      <c r="B39" s="524"/>
      <c r="C39" s="524"/>
      <c r="E39" s="550"/>
      <c r="F39" s="524"/>
      <c r="G39" s="524"/>
      <c r="H39" s="524"/>
      <c r="I39" s="524"/>
      <c r="J39" s="524"/>
      <c r="K39" s="524"/>
      <c r="L39" s="524"/>
      <c r="M39" s="524"/>
      <c r="N39" s="524"/>
      <c r="P39" s="530"/>
      <c r="Q39" s="526"/>
      <c r="R39" s="526"/>
      <c r="S39" s="526"/>
      <c r="T39" s="526"/>
      <c r="U39" s="526"/>
      <c r="V39" s="526"/>
      <c r="W39" s="526"/>
      <c r="X39" s="526"/>
      <c r="Y39" s="526"/>
      <c r="Z39" s="526"/>
      <c r="AA39" s="526"/>
      <c r="AB39" s="526"/>
      <c r="AC39" s="526"/>
      <c r="AD39" s="526"/>
      <c r="AE39" s="526"/>
      <c r="AF39" s="526"/>
      <c r="AG39" s="526"/>
      <c r="AH39" s="526"/>
      <c r="AI39" s="526"/>
      <c r="AJ39" s="526"/>
      <c r="AK39" s="526"/>
      <c r="AL39" s="526"/>
      <c r="AM39" s="526"/>
      <c r="AN39" s="526"/>
      <c r="AO39" s="526"/>
    </row>
    <row r="40" spans="1:41" s="506" customFormat="1" ht="15" customHeight="1">
      <c r="A40" s="541"/>
      <c r="B40" s="524"/>
      <c r="C40" s="524"/>
      <c r="D40" s="524"/>
      <c r="E40" s="524"/>
      <c r="F40" s="524"/>
      <c r="P40" s="530"/>
      <c r="Q40" s="526"/>
      <c r="R40" s="526"/>
      <c r="S40" s="526"/>
      <c r="T40" s="526"/>
      <c r="U40" s="526"/>
      <c r="V40" s="526"/>
      <c r="W40" s="526"/>
      <c r="X40" s="526"/>
      <c r="Y40" s="526"/>
      <c r="Z40" s="526"/>
      <c r="AA40" s="526"/>
      <c r="AB40" s="526"/>
      <c r="AC40" s="526"/>
      <c r="AD40" s="526"/>
      <c r="AE40" s="526"/>
      <c r="AF40" s="526"/>
      <c r="AG40" s="526"/>
      <c r="AH40" s="526"/>
      <c r="AI40" s="526"/>
      <c r="AJ40" s="526"/>
      <c r="AK40" s="526"/>
      <c r="AL40" s="526"/>
      <c r="AM40" s="526"/>
      <c r="AN40" s="526"/>
      <c r="AO40" s="526"/>
    </row>
    <row r="41" spans="1:41" s="506" customFormat="1" ht="15" customHeight="1">
      <c r="A41" s="541"/>
      <c r="B41" s="524"/>
      <c r="C41" s="524"/>
      <c r="E41" s="550"/>
      <c r="F41" s="524"/>
      <c r="G41" s="545"/>
      <c r="H41" s="524"/>
      <c r="L41" s="545"/>
      <c r="M41" s="524"/>
      <c r="O41" s="524"/>
      <c r="P41" s="530"/>
      <c r="Q41" s="526"/>
      <c r="R41" s="526"/>
      <c r="S41" s="526"/>
      <c r="T41" s="526"/>
      <c r="U41" s="526"/>
      <c r="V41" s="526"/>
      <c r="W41" s="526"/>
      <c r="X41" s="526"/>
      <c r="Y41" s="526"/>
      <c r="Z41" s="526"/>
      <c r="AA41" s="526"/>
      <c r="AB41" s="526"/>
      <c r="AC41" s="526"/>
      <c r="AD41" s="526"/>
      <c r="AE41" s="526"/>
      <c r="AF41" s="526"/>
      <c r="AG41" s="526"/>
      <c r="AH41" s="526"/>
      <c r="AI41" s="526"/>
      <c r="AJ41" s="526"/>
      <c r="AK41" s="526"/>
      <c r="AL41" s="526"/>
      <c r="AM41" s="526"/>
      <c r="AN41" s="526"/>
      <c r="AO41" s="526"/>
    </row>
    <row r="42" spans="1:41" s="506" customFormat="1" ht="15" customHeight="1">
      <c r="A42" s="541"/>
      <c r="B42" s="524"/>
      <c r="C42" s="524"/>
      <c r="E42" s="550"/>
      <c r="F42" s="524"/>
      <c r="G42" s="545"/>
      <c r="H42" s="524"/>
      <c r="L42" s="545"/>
      <c r="M42" s="524"/>
      <c r="P42" s="530"/>
      <c r="Q42" s="526"/>
      <c r="R42" s="526"/>
      <c r="S42" s="526"/>
      <c r="T42" s="526"/>
      <c r="U42" s="526"/>
      <c r="V42" s="526"/>
      <c r="W42" s="526"/>
      <c r="X42" s="526"/>
      <c r="Y42" s="526"/>
      <c r="Z42" s="526"/>
      <c r="AA42" s="526"/>
      <c r="AB42" s="526"/>
      <c r="AC42" s="526"/>
      <c r="AD42" s="526"/>
      <c r="AE42" s="526"/>
      <c r="AF42" s="526"/>
      <c r="AG42" s="526"/>
      <c r="AH42" s="526"/>
      <c r="AI42" s="526"/>
      <c r="AJ42" s="526"/>
      <c r="AK42" s="526"/>
      <c r="AL42" s="526"/>
      <c r="AM42" s="526"/>
      <c r="AN42" s="526"/>
      <c r="AO42" s="526"/>
    </row>
    <row r="43" spans="1:41" s="506" customFormat="1" ht="15" customHeight="1">
      <c r="A43" s="541"/>
      <c r="B43" s="524"/>
      <c r="C43" s="524"/>
      <c r="E43" s="550"/>
      <c r="F43" s="524"/>
      <c r="G43" s="545"/>
      <c r="H43" s="524"/>
      <c r="L43" s="545"/>
      <c r="M43" s="524"/>
      <c r="P43" s="530"/>
      <c r="Q43" s="526"/>
      <c r="R43" s="526"/>
      <c r="S43" s="526"/>
      <c r="T43" s="526"/>
      <c r="U43" s="526"/>
      <c r="V43" s="526"/>
      <c r="W43" s="526"/>
      <c r="X43" s="526"/>
      <c r="Y43" s="526"/>
      <c r="Z43" s="526"/>
      <c r="AA43" s="526"/>
      <c r="AB43" s="526"/>
      <c r="AC43" s="526"/>
      <c r="AD43" s="526"/>
      <c r="AE43" s="526"/>
      <c r="AF43" s="526"/>
      <c r="AG43" s="526"/>
      <c r="AH43" s="526"/>
      <c r="AI43" s="526"/>
      <c r="AJ43" s="526"/>
      <c r="AK43" s="526"/>
      <c r="AL43" s="526"/>
      <c r="AM43" s="526"/>
      <c r="AN43" s="526"/>
      <c r="AO43" s="526"/>
    </row>
    <row r="44" spans="1:41" s="506" customFormat="1" ht="15" customHeight="1">
      <c r="A44" s="541"/>
      <c r="B44" s="524"/>
      <c r="C44" s="524"/>
      <c r="E44" s="550"/>
      <c r="F44" s="524"/>
      <c r="G44" s="524"/>
      <c r="H44" s="524"/>
      <c r="I44" s="524"/>
      <c r="J44" s="524"/>
      <c r="K44" s="524"/>
      <c r="L44" s="524"/>
      <c r="M44" s="524"/>
      <c r="N44" s="524"/>
      <c r="P44" s="530"/>
      <c r="Q44" s="526"/>
      <c r="R44" s="526"/>
      <c r="S44" s="526"/>
      <c r="T44" s="526"/>
      <c r="U44" s="526"/>
      <c r="V44" s="526"/>
      <c r="W44" s="526"/>
      <c r="X44" s="526"/>
      <c r="Y44" s="526"/>
      <c r="Z44" s="526"/>
      <c r="AA44" s="526"/>
      <c r="AB44" s="526"/>
      <c r="AC44" s="526"/>
      <c r="AD44" s="526"/>
      <c r="AE44" s="526"/>
      <c r="AF44" s="526"/>
      <c r="AG44" s="526"/>
      <c r="AH44" s="526"/>
      <c r="AI44" s="526"/>
      <c r="AJ44" s="526"/>
      <c r="AK44" s="526"/>
      <c r="AL44" s="526"/>
      <c r="AM44" s="526"/>
      <c r="AN44" s="526"/>
      <c r="AO44" s="526"/>
    </row>
    <row r="45" spans="1:41" s="506" customFormat="1" ht="16.350000000000001" hidden="1" customHeight="1">
      <c r="A45" s="541"/>
      <c r="B45" s="524"/>
      <c r="C45" s="524"/>
      <c r="D45" s="550"/>
      <c r="E45" s="524"/>
      <c r="H45" s="550"/>
      <c r="I45" s="524"/>
      <c r="L45" s="545"/>
      <c r="M45" s="524"/>
      <c r="O45" s="524"/>
      <c r="P45" s="530"/>
      <c r="Q45" s="526"/>
      <c r="R45" s="526"/>
      <c r="S45" s="526"/>
      <c r="T45" s="526"/>
      <c r="U45" s="526"/>
      <c r="V45" s="526"/>
      <c r="W45" s="526"/>
      <c r="X45" s="526"/>
      <c r="Y45" s="526"/>
      <c r="Z45" s="526"/>
      <c r="AA45" s="526"/>
      <c r="AB45" s="526"/>
      <c r="AC45" s="526"/>
      <c r="AD45" s="526"/>
      <c r="AE45" s="526"/>
      <c r="AF45" s="526"/>
      <c r="AG45" s="526"/>
      <c r="AH45" s="526"/>
      <c r="AI45" s="526"/>
      <c r="AJ45" s="526"/>
      <c r="AK45" s="526"/>
      <c r="AL45" s="526"/>
      <c r="AM45" s="526"/>
      <c r="AN45" s="526"/>
      <c r="AO45" s="526"/>
    </row>
    <row r="46" spans="1:41" s="506" customFormat="1" ht="18.75" customHeight="1">
      <c r="A46" s="541"/>
      <c r="B46" s="524"/>
      <c r="C46" s="524"/>
      <c r="D46" s="550"/>
      <c r="E46" s="524"/>
      <c r="H46" s="550"/>
      <c r="I46" s="524"/>
      <c r="L46" s="545"/>
      <c r="M46" s="524"/>
      <c r="P46" s="530"/>
      <c r="Q46" s="526"/>
      <c r="R46" s="526"/>
      <c r="S46" s="526"/>
      <c r="T46" s="526"/>
      <c r="U46" s="526"/>
      <c r="V46" s="526"/>
      <c r="W46" s="526"/>
      <c r="X46" s="526"/>
      <c r="Y46" s="526"/>
      <c r="Z46" s="526"/>
      <c r="AA46" s="526"/>
      <c r="AB46" s="526"/>
      <c r="AC46" s="526"/>
      <c r="AD46" s="526"/>
      <c r="AE46" s="526"/>
      <c r="AF46" s="526"/>
      <c r="AG46" s="526"/>
      <c r="AH46" s="526"/>
      <c r="AI46" s="526"/>
      <c r="AJ46" s="526"/>
      <c r="AK46" s="526"/>
      <c r="AL46" s="526"/>
      <c r="AM46" s="526"/>
      <c r="AN46" s="526"/>
      <c r="AO46" s="526"/>
    </row>
    <row r="47" spans="1:41" s="506" customFormat="1" ht="17.25" customHeight="1">
      <c r="A47" s="541"/>
      <c r="B47" s="524"/>
      <c r="C47" s="524"/>
      <c r="D47" s="550"/>
      <c r="E47" s="524"/>
      <c r="H47" s="550"/>
      <c r="I47" s="524"/>
      <c r="L47" s="545"/>
      <c r="M47" s="524"/>
      <c r="P47" s="526"/>
      <c r="Q47" s="526"/>
      <c r="R47" s="526"/>
      <c r="S47" s="526"/>
      <c r="T47" s="526"/>
      <c r="U47" s="526"/>
      <c r="V47" s="526"/>
      <c r="W47" s="526"/>
      <c r="X47" s="526"/>
      <c r="Y47" s="526"/>
      <c r="Z47" s="526"/>
      <c r="AA47" s="526"/>
      <c r="AB47" s="526"/>
      <c r="AC47" s="526"/>
      <c r="AD47" s="526"/>
      <c r="AE47" s="526"/>
      <c r="AF47" s="526"/>
      <c r="AG47" s="526"/>
      <c r="AH47" s="526"/>
      <c r="AI47" s="526"/>
      <c r="AJ47" s="526"/>
      <c r="AK47" s="526"/>
      <c r="AL47" s="526"/>
      <c r="AM47" s="526"/>
      <c r="AN47" s="526"/>
      <c r="AO47" s="526"/>
    </row>
    <row r="48" spans="1:41" ht="17.25" customHeight="1">
      <c r="A48" s="506"/>
      <c r="B48" s="524"/>
      <c r="C48" s="524"/>
      <c r="D48" s="524"/>
      <c r="E48" s="524"/>
      <c r="F48" s="524"/>
      <c r="G48" s="545"/>
      <c r="H48" s="524"/>
      <c r="I48" s="524"/>
      <c r="J48" s="524"/>
      <c r="K48" s="524"/>
      <c r="L48" s="524"/>
      <c r="M48" s="524"/>
      <c r="N48" s="524"/>
    </row>
    <row r="49" spans="1:14" ht="17.25" customHeight="1">
      <c r="A49" s="506"/>
      <c r="B49" s="506"/>
      <c r="C49" s="506"/>
      <c r="D49" s="506"/>
      <c r="E49" s="506"/>
      <c r="F49" s="506"/>
      <c r="G49" s="506"/>
      <c r="H49" s="506"/>
      <c r="I49" s="506"/>
      <c r="J49" s="506"/>
      <c r="K49" s="506"/>
      <c r="L49" s="506"/>
      <c r="M49" s="506"/>
      <c r="N49" s="506"/>
    </row>
    <row r="50" spans="1:14" ht="17.25" customHeight="1">
      <c r="B50" s="506"/>
      <c r="C50" s="506"/>
      <c r="D50" s="506"/>
      <c r="E50" s="506"/>
      <c r="F50" s="506"/>
      <c r="G50" s="506"/>
      <c r="H50" s="506"/>
      <c r="I50" s="506"/>
      <c r="J50" s="506"/>
      <c r="K50" s="506"/>
      <c r="L50" s="506"/>
      <c r="M50" s="506"/>
      <c r="N50" s="506"/>
    </row>
    <row r="51" spans="1:14" ht="17.25" customHeight="1"/>
  </sheetData>
  <mergeCells count="51">
    <mergeCell ref="B33:C37"/>
    <mergeCell ref="D33:E34"/>
    <mergeCell ref="F33:F34"/>
    <mergeCell ref="N33:N34"/>
    <mergeCell ref="D35:E36"/>
    <mergeCell ref="F35:F36"/>
    <mergeCell ref="N35:N36"/>
    <mergeCell ref="D37:E37"/>
    <mergeCell ref="B28:E28"/>
    <mergeCell ref="F28:I28"/>
    <mergeCell ref="J28:M28"/>
    <mergeCell ref="P29:P30"/>
    <mergeCell ref="B31:C32"/>
    <mergeCell ref="D31:E32"/>
    <mergeCell ref="F31:F32"/>
    <mergeCell ref="G31:M31"/>
    <mergeCell ref="N31:N32"/>
    <mergeCell ref="G32:H32"/>
    <mergeCell ref="N24:N25"/>
    <mergeCell ref="F25:I25"/>
    <mergeCell ref="J25:M25"/>
    <mergeCell ref="B27:E27"/>
    <mergeCell ref="F27:I27"/>
    <mergeCell ref="J27:M27"/>
    <mergeCell ref="B26:E26"/>
    <mergeCell ref="F26:I26"/>
    <mergeCell ref="J26:M26"/>
    <mergeCell ref="B24:E25"/>
    <mergeCell ref="F24:M24"/>
    <mergeCell ref="B13:E13"/>
    <mergeCell ref="F13:I13"/>
    <mergeCell ref="J13:M13"/>
    <mergeCell ref="B14:E14"/>
    <mergeCell ref="F14:I14"/>
    <mergeCell ref="J14:M14"/>
    <mergeCell ref="B11:E11"/>
    <mergeCell ref="F11:I11"/>
    <mergeCell ref="J11:M11"/>
    <mergeCell ref="B12:E12"/>
    <mergeCell ref="F12:I12"/>
    <mergeCell ref="J12:M12"/>
    <mergeCell ref="P1:P3"/>
    <mergeCell ref="Q1:W1"/>
    <mergeCell ref="A2:N2"/>
    <mergeCell ref="Q2:V2"/>
    <mergeCell ref="S3:U3"/>
    <mergeCell ref="B9:E10"/>
    <mergeCell ref="F9:M9"/>
    <mergeCell ref="N9:N10"/>
    <mergeCell ref="F10:I10"/>
    <mergeCell ref="J10:M10"/>
  </mergeCells>
  <phoneticPr fontId="181" type="noConversion"/>
  <printOptions horizontalCentered="1"/>
  <pageMargins left="0.39370078740157483" right="0.39370078740157483" top="0.39370078740157483" bottom="0.39370078740157483" header="0" footer="0"/>
  <pageSetup paperSize="9" scale="96" fitToHeight="0" orientation="portrait" r:id="rId1"/>
  <headerFooter alignWithMargins="0">
    <oddFooter>&amp;R&amp;P/&amp;N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1">
    <tabColor theme="7" tint="0.39997558519241921"/>
  </sheetPr>
  <dimension ref="A1:IV106"/>
  <sheetViews>
    <sheetView view="pageBreakPreview" zoomScale="85" zoomScaleNormal="100" zoomScaleSheetLayoutView="85" workbookViewId="0">
      <selection activeCell="Q18" sqref="Q18"/>
    </sheetView>
  </sheetViews>
  <sheetFormatPr defaultColWidth="8" defaultRowHeight="12"/>
  <cols>
    <col min="1" max="1" width="4.77734375" style="241" customWidth="1"/>
    <col min="2" max="2" width="9.6640625" style="241" customWidth="1"/>
    <col min="3" max="3" width="8.109375" style="241" customWidth="1"/>
    <col min="4" max="10" width="7" style="241" customWidth="1"/>
    <col min="11" max="11" width="8.5546875" style="241" customWidth="1"/>
    <col min="12" max="15" width="7" style="241" customWidth="1"/>
    <col min="16" max="16" width="6.5546875" style="241" customWidth="1"/>
    <col min="17" max="20" width="8" style="241"/>
    <col min="21" max="21" width="8" style="241" customWidth="1"/>
    <col min="22" max="22" width="10.109375" style="241" customWidth="1"/>
    <col min="23" max="16384" width="8" style="241"/>
  </cols>
  <sheetData>
    <row r="1" spans="1:256" ht="19.899999999999999" customHeight="1">
      <c r="A1" s="1908" t="s">
        <v>1867</v>
      </c>
      <c r="B1" s="1908"/>
      <c r="C1" s="1908"/>
      <c r="D1" s="1908"/>
      <c r="E1" s="1908"/>
      <c r="F1" s="1908"/>
      <c r="G1" s="1908"/>
      <c r="H1" s="1908"/>
      <c r="I1" s="1908"/>
      <c r="J1" s="1908"/>
      <c r="K1" s="1908"/>
      <c r="L1" s="1908"/>
      <c r="M1" s="1908"/>
      <c r="N1" s="649"/>
      <c r="O1" s="649"/>
      <c r="P1" s="649"/>
      <c r="Q1" s="649"/>
      <c r="R1" s="649"/>
      <c r="S1" s="649"/>
      <c r="T1" s="649"/>
      <c r="U1" s="649"/>
      <c r="V1" s="649"/>
      <c r="W1" s="649"/>
      <c r="X1" s="649"/>
      <c r="Y1" s="649"/>
      <c r="Z1" s="649"/>
      <c r="AA1" s="649"/>
      <c r="AB1" s="649"/>
      <c r="AC1" s="649"/>
      <c r="AD1" s="649"/>
      <c r="AE1" s="649"/>
      <c r="AF1" s="649"/>
      <c r="AG1" s="649"/>
      <c r="AH1" s="649"/>
      <c r="AI1" s="649"/>
      <c r="AJ1" s="649"/>
      <c r="AK1" s="649"/>
      <c r="AL1" s="649"/>
      <c r="AM1" s="649"/>
      <c r="AN1" s="649"/>
      <c r="AO1" s="649"/>
      <c r="AP1" s="649"/>
      <c r="AQ1" s="649"/>
      <c r="AR1" s="649"/>
      <c r="AS1" s="649"/>
      <c r="AT1" s="649"/>
      <c r="AU1" s="649"/>
      <c r="AV1" s="649"/>
      <c r="AW1" s="649"/>
      <c r="AX1" s="649"/>
      <c r="AY1" s="649"/>
      <c r="AZ1" s="649"/>
      <c r="BA1" s="649"/>
      <c r="BB1" s="649"/>
      <c r="BC1" s="649"/>
      <c r="BD1" s="649"/>
      <c r="BE1" s="649"/>
      <c r="BF1" s="649"/>
      <c r="BG1" s="649"/>
      <c r="BH1" s="649"/>
      <c r="BI1" s="649"/>
      <c r="BJ1" s="649"/>
      <c r="BK1" s="649"/>
      <c r="BL1" s="649"/>
      <c r="BM1" s="649"/>
      <c r="BN1" s="649"/>
      <c r="BO1" s="649"/>
      <c r="BP1" s="649"/>
      <c r="BQ1" s="649"/>
      <c r="BR1" s="649"/>
      <c r="BS1" s="649"/>
      <c r="BT1" s="649"/>
      <c r="BU1" s="649"/>
      <c r="BV1" s="649"/>
      <c r="BW1" s="649"/>
      <c r="BX1" s="649"/>
      <c r="BY1" s="649"/>
      <c r="BZ1" s="649"/>
      <c r="CA1" s="649"/>
      <c r="CB1" s="649"/>
      <c r="CC1" s="649"/>
      <c r="CD1" s="649"/>
      <c r="CE1" s="649"/>
      <c r="CF1" s="649"/>
      <c r="CG1" s="649"/>
      <c r="CH1" s="649"/>
      <c r="CI1" s="649"/>
      <c r="CJ1" s="649"/>
      <c r="CK1" s="649"/>
      <c r="CL1" s="649"/>
      <c r="CM1" s="649"/>
      <c r="CN1" s="649"/>
      <c r="CO1" s="649"/>
      <c r="CP1" s="649"/>
      <c r="CQ1" s="649"/>
      <c r="CR1" s="649"/>
      <c r="CS1" s="649"/>
      <c r="CT1" s="649"/>
      <c r="CU1" s="649"/>
      <c r="CV1" s="649"/>
      <c r="CW1" s="649"/>
      <c r="CX1" s="649"/>
      <c r="CY1" s="649"/>
      <c r="CZ1" s="649"/>
      <c r="DA1" s="649"/>
      <c r="DB1" s="649"/>
      <c r="DC1" s="649"/>
      <c r="DD1" s="649"/>
      <c r="DE1" s="649"/>
      <c r="DF1" s="649"/>
      <c r="DG1" s="649"/>
      <c r="DH1" s="649"/>
      <c r="DI1" s="649"/>
      <c r="DJ1" s="649"/>
      <c r="DK1" s="649"/>
      <c r="DL1" s="649"/>
      <c r="DM1" s="649"/>
      <c r="DN1" s="649"/>
      <c r="DO1" s="649"/>
      <c r="DP1" s="649"/>
      <c r="DQ1" s="649"/>
      <c r="DR1" s="649"/>
      <c r="DS1" s="649"/>
      <c r="DT1" s="649"/>
      <c r="DU1" s="649"/>
      <c r="DV1" s="649"/>
      <c r="DW1" s="649"/>
      <c r="DX1" s="649"/>
      <c r="DY1" s="649"/>
      <c r="DZ1" s="649"/>
      <c r="EA1" s="649"/>
      <c r="EB1" s="649"/>
      <c r="EC1" s="649"/>
      <c r="ED1" s="649"/>
      <c r="EE1" s="649"/>
      <c r="EF1" s="649"/>
      <c r="EG1" s="649"/>
      <c r="EH1" s="649"/>
      <c r="EI1" s="649"/>
      <c r="EJ1" s="649"/>
      <c r="EK1" s="649"/>
      <c r="EL1" s="649"/>
      <c r="EM1" s="649"/>
      <c r="EN1" s="649"/>
      <c r="EO1" s="649"/>
      <c r="EP1" s="649"/>
      <c r="EQ1" s="649"/>
      <c r="ER1" s="649"/>
      <c r="ES1" s="649"/>
      <c r="ET1" s="649"/>
      <c r="EU1" s="649"/>
      <c r="EV1" s="649"/>
      <c r="EW1" s="649"/>
      <c r="EX1" s="649"/>
      <c r="EY1" s="649"/>
      <c r="EZ1" s="649"/>
      <c r="FA1" s="649"/>
      <c r="FB1" s="649"/>
      <c r="FC1" s="649"/>
      <c r="FD1" s="649"/>
      <c r="FE1" s="649"/>
      <c r="FF1" s="649"/>
      <c r="FG1" s="649"/>
      <c r="FH1" s="649"/>
      <c r="FI1" s="649"/>
      <c r="FJ1" s="649"/>
      <c r="FK1" s="649"/>
      <c r="FL1" s="649"/>
      <c r="FM1" s="649"/>
      <c r="FN1" s="649"/>
      <c r="FO1" s="649"/>
      <c r="FP1" s="649"/>
      <c r="FQ1" s="649"/>
      <c r="FR1" s="649"/>
      <c r="FS1" s="649"/>
      <c r="FT1" s="649"/>
      <c r="FU1" s="649"/>
      <c r="FV1" s="649"/>
      <c r="FW1" s="649"/>
      <c r="FX1" s="649"/>
      <c r="FY1" s="649"/>
      <c r="FZ1" s="649"/>
      <c r="GA1" s="649"/>
      <c r="GB1" s="649"/>
      <c r="GC1" s="649"/>
      <c r="GD1" s="649"/>
      <c r="GE1" s="649"/>
      <c r="GF1" s="649"/>
      <c r="GG1" s="649"/>
      <c r="GH1" s="649"/>
      <c r="GI1" s="649"/>
      <c r="GJ1" s="649"/>
      <c r="GK1" s="649"/>
      <c r="GL1" s="649"/>
      <c r="GM1" s="649"/>
      <c r="GN1" s="649"/>
      <c r="GO1" s="649"/>
      <c r="GP1" s="649"/>
      <c r="GQ1" s="649"/>
      <c r="GR1" s="649"/>
      <c r="GS1" s="649"/>
      <c r="GT1" s="649"/>
      <c r="GU1" s="649"/>
      <c r="GV1" s="649"/>
      <c r="GW1" s="649"/>
      <c r="GX1" s="649"/>
      <c r="GY1" s="649"/>
      <c r="GZ1" s="649"/>
      <c r="HA1" s="649"/>
      <c r="HB1" s="649"/>
      <c r="HC1" s="649"/>
      <c r="HD1" s="649"/>
      <c r="HE1" s="649"/>
      <c r="HF1" s="649"/>
      <c r="HG1" s="649"/>
      <c r="HH1" s="649"/>
      <c r="HI1" s="649"/>
      <c r="HJ1" s="649"/>
      <c r="HK1" s="649"/>
      <c r="HL1" s="649"/>
      <c r="HM1" s="649"/>
      <c r="HN1" s="649"/>
      <c r="HO1" s="649"/>
      <c r="HP1" s="649"/>
      <c r="HQ1" s="649"/>
      <c r="HR1" s="649"/>
      <c r="HS1" s="649"/>
      <c r="HT1" s="649"/>
      <c r="HU1" s="649"/>
      <c r="HV1" s="649"/>
      <c r="HW1" s="649"/>
      <c r="HX1" s="649"/>
      <c r="HY1" s="649"/>
      <c r="HZ1" s="649"/>
      <c r="IA1" s="649"/>
      <c r="IB1" s="649"/>
      <c r="IC1" s="649"/>
      <c r="ID1" s="649"/>
      <c r="IE1" s="649"/>
      <c r="IF1" s="649"/>
      <c r="IG1" s="649"/>
      <c r="IH1" s="649"/>
      <c r="II1" s="649"/>
      <c r="IJ1" s="649"/>
      <c r="IK1" s="649"/>
      <c r="IL1" s="649"/>
      <c r="IM1" s="649"/>
      <c r="IN1" s="649"/>
      <c r="IO1" s="649"/>
      <c r="IP1" s="649"/>
      <c r="IQ1" s="649"/>
      <c r="IR1" s="649"/>
      <c r="IS1" s="649"/>
      <c r="IT1" s="649"/>
      <c r="IU1" s="649"/>
      <c r="IV1" s="649"/>
    </row>
    <row r="2" spans="1:256" ht="12.95" customHeight="1">
      <c r="A2" s="650" t="s">
        <v>585</v>
      </c>
      <c r="B2" s="650"/>
      <c r="C2" s="651" t="s">
        <v>586</v>
      </c>
      <c r="D2" s="652"/>
      <c r="E2" s="650" t="s">
        <v>587</v>
      </c>
      <c r="F2" s="650"/>
      <c r="G2" s="650"/>
      <c r="H2" s="650"/>
      <c r="I2" s="650"/>
      <c r="J2" s="650"/>
      <c r="K2" s="653"/>
      <c r="L2" s="650"/>
      <c r="M2" s="650"/>
      <c r="N2" s="650"/>
      <c r="O2" s="650"/>
      <c r="P2" s="650"/>
      <c r="Q2" s="650"/>
      <c r="R2" s="650"/>
      <c r="S2" s="650"/>
      <c r="T2" s="650"/>
      <c r="U2" s="650"/>
      <c r="V2" s="650"/>
      <c r="W2" s="650"/>
      <c r="X2" s="650"/>
      <c r="Y2" s="650"/>
      <c r="Z2" s="650"/>
      <c r="AA2" s="650"/>
      <c r="AB2" s="650"/>
      <c r="AC2" s="650"/>
      <c r="AD2" s="650"/>
      <c r="AE2" s="650"/>
      <c r="AF2" s="650"/>
      <c r="AG2" s="650"/>
      <c r="AH2" s="650"/>
      <c r="AI2" s="650"/>
      <c r="AJ2" s="650"/>
      <c r="AK2" s="650"/>
      <c r="AL2" s="650"/>
      <c r="AM2" s="650"/>
      <c r="AN2" s="650"/>
      <c r="AO2" s="650"/>
      <c r="AP2" s="650"/>
      <c r="AQ2" s="650"/>
      <c r="AR2" s="650"/>
      <c r="AS2" s="650"/>
      <c r="AT2" s="650"/>
      <c r="AU2" s="650"/>
      <c r="AV2" s="650"/>
      <c r="AW2" s="650"/>
      <c r="AX2" s="650"/>
      <c r="AY2" s="650"/>
      <c r="AZ2" s="650"/>
      <c r="BA2" s="650"/>
      <c r="BB2" s="650"/>
      <c r="BC2" s="650"/>
      <c r="BD2" s="650"/>
      <c r="BE2" s="650"/>
      <c r="BF2" s="650"/>
      <c r="BG2" s="650"/>
      <c r="BH2" s="650"/>
      <c r="BI2" s="650"/>
      <c r="BJ2" s="650"/>
      <c r="BK2" s="650"/>
      <c r="BL2" s="650"/>
      <c r="BM2" s="650"/>
      <c r="BN2" s="650"/>
      <c r="BO2" s="650"/>
      <c r="BP2" s="650"/>
      <c r="BQ2" s="650"/>
      <c r="BR2" s="650"/>
      <c r="BS2" s="650"/>
      <c r="BT2" s="650"/>
      <c r="BU2" s="650"/>
      <c r="BV2" s="650"/>
      <c r="BW2" s="650"/>
      <c r="BX2" s="650"/>
      <c r="BY2" s="650"/>
      <c r="BZ2" s="650"/>
      <c r="CA2" s="650"/>
      <c r="CB2" s="650"/>
      <c r="CC2" s="650"/>
      <c r="CD2" s="650"/>
      <c r="CE2" s="650"/>
      <c r="CF2" s="650"/>
      <c r="CG2" s="650"/>
      <c r="CH2" s="650"/>
      <c r="CI2" s="650"/>
      <c r="CJ2" s="650"/>
      <c r="CK2" s="650"/>
      <c r="CL2" s="650"/>
      <c r="CM2" s="650"/>
      <c r="CN2" s="650"/>
      <c r="CO2" s="650"/>
      <c r="CP2" s="650"/>
      <c r="CQ2" s="650"/>
      <c r="CR2" s="650"/>
      <c r="CS2" s="650"/>
      <c r="CT2" s="650"/>
      <c r="CU2" s="650"/>
      <c r="CV2" s="650"/>
      <c r="CW2" s="650"/>
      <c r="CX2" s="650"/>
      <c r="CY2" s="650"/>
      <c r="CZ2" s="650"/>
      <c r="DA2" s="650"/>
      <c r="DB2" s="650"/>
      <c r="DC2" s="650"/>
      <c r="DD2" s="650"/>
      <c r="DE2" s="650"/>
      <c r="DF2" s="650"/>
      <c r="DG2" s="650"/>
      <c r="DH2" s="650"/>
      <c r="DI2" s="650"/>
      <c r="DJ2" s="650"/>
      <c r="DK2" s="650"/>
      <c r="DL2" s="650"/>
      <c r="DM2" s="650"/>
      <c r="DN2" s="650"/>
      <c r="DO2" s="650"/>
      <c r="DP2" s="650"/>
      <c r="DQ2" s="650"/>
      <c r="DR2" s="650"/>
      <c r="DS2" s="650"/>
      <c r="DT2" s="650"/>
      <c r="DU2" s="650"/>
      <c r="DV2" s="650"/>
      <c r="DW2" s="650"/>
      <c r="DX2" s="650"/>
      <c r="DY2" s="650"/>
      <c r="DZ2" s="650"/>
      <c r="EA2" s="650"/>
      <c r="EB2" s="650"/>
      <c r="EC2" s="650"/>
      <c r="ED2" s="650"/>
      <c r="EE2" s="650"/>
      <c r="EF2" s="650"/>
      <c r="EG2" s="650"/>
      <c r="EH2" s="650"/>
      <c r="EI2" s="650"/>
      <c r="EJ2" s="650"/>
      <c r="EK2" s="650"/>
      <c r="EL2" s="650"/>
      <c r="EM2" s="650"/>
      <c r="EN2" s="650"/>
      <c r="EO2" s="650"/>
      <c r="EP2" s="650"/>
      <c r="EQ2" s="650"/>
      <c r="ER2" s="650"/>
      <c r="ES2" s="650"/>
      <c r="ET2" s="650"/>
      <c r="EU2" s="650"/>
      <c r="EV2" s="650"/>
      <c r="EW2" s="650"/>
      <c r="EX2" s="650"/>
      <c r="EY2" s="650"/>
      <c r="EZ2" s="650"/>
      <c r="FA2" s="650"/>
      <c r="FB2" s="650"/>
      <c r="FC2" s="650"/>
      <c r="FD2" s="650"/>
      <c r="FE2" s="650"/>
      <c r="FF2" s="650"/>
      <c r="FG2" s="650"/>
      <c r="FH2" s="650"/>
      <c r="FI2" s="650"/>
      <c r="FJ2" s="650"/>
      <c r="FK2" s="650"/>
      <c r="FL2" s="650"/>
      <c r="FM2" s="650"/>
      <c r="FN2" s="650"/>
      <c r="FO2" s="650"/>
      <c r="FP2" s="650"/>
      <c r="FQ2" s="650"/>
      <c r="FR2" s="650"/>
      <c r="FS2" s="650"/>
      <c r="FT2" s="650"/>
      <c r="FU2" s="650"/>
      <c r="FV2" s="650"/>
      <c r="FW2" s="650"/>
      <c r="FX2" s="650"/>
      <c r="FY2" s="650"/>
      <c r="FZ2" s="650"/>
      <c r="GA2" s="650"/>
      <c r="GB2" s="650"/>
      <c r="GC2" s="650"/>
      <c r="GD2" s="650"/>
      <c r="GE2" s="650"/>
      <c r="GF2" s="650"/>
      <c r="GG2" s="650"/>
      <c r="GH2" s="650"/>
      <c r="GI2" s="650"/>
      <c r="GJ2" s="650"/>
      <c r="GK2" s="650"/>
      <c r="GL2" s="650"/>
      <c r="GM2" s="650"/>
      <c r="GN2" s="650"/>
      <c r="GO2" s="650"/>
      <c r="GP2" s="650"/>
      <c r="GQ2" s="650"/>
      <c r="GR2" s="650"/>
      <c r="GS2" s="650"/>
      <c r="GT2" s="650"/>
      <c r="GU2" s="650"/>
      <c r="GV2" s="650"/>
      <c r="GW2" s="650"/>
      <c r="GX2" s="650"/>
      <c r="GY2" s="650"/>
      <c r="GZ2" s="650"/>
      <c r="HA2" s="650"/>
      <c r="HB2" s="650"/>
      <c r="HC2" s="650"/>
      <c r="HD2" s="650"/>
      <c r="HE2" s="650"/>
      <c r="HF2" s="650"/>
      <c r="HG2" s="650"/>
      <c r="HH2" s="650"/>
      <c r="HI2" s="650"/>
      <c r="HJ2" s="650"/>
      <c r="HK2" s="650"/>
      <c r="HL2" s="650"/>
      <c r="HM2" s="650"/>
      <c r="HN2" s="650"/>
      <c r="HO2" s="650"/>
      <c r="HP2" s="650"/>
      <c r="HQ2" s="650"/>
      <c r="HR2" s="650"/>
      <c r="HS2" s="650"/>
      <c r="HT2" s="650"/>
      <c r="HU2" s="650"/>
      <c r="HV2" s="650"/>
      <c r="HW2" s="650"/>
      <c r="HX2" s="650"/>
      <c r="HY2" s="650"/>
      <c r="HZ2" s="650"/>
      <c r="IA2" s="650"/>
      <c r="IB2" s="650"/>
      <c r="IC2" s="650"/>
      <c r="ID2" s="650"/>
      <c r="IE2" s="650"/>
      <c r="IF2" s="650"/>
      <c r="IG2" s="650"/>
      <c r="IH2" s="650"/>
      <c r="II2" s="650"/>
      <c r="IJ2" s="650"/>
      <c r="IK2" s="650"/>
      <c r="IL2" s="650"/>
      <c r="IM2" s="650"/>
      <c r="IN2" s="650"/>
      <c r="IO2" s="650"/>
      <c r="IP2" s="650"/>
      <c r="IQ2" s="650"/>
      <c r="IR2" s="650"/>
      <c r="IS2" s="650"/>
      <c r="IT2" s="650"/>
      <c r="IU2" s="650"/>
      <c r="IV2" s="650"/>
    </row>
    <row r="3" spans="1:256" ht="12.95" customHeight="1">
      <c r="A3" s="654" t="s">
        <v>588</v>
      </c>
      <c r="B3" s="650"/>
      <c r="C3" s="651" t="s">
        <v>589</v>
      </c>
      <c r="D3" s="655" t="s">
        <v>590</v>
      </c>
      <c r="E3" s="650"/>
      <c r="F3" s="656" t="e">
        <f>HLOOKUP($C$4,$W$26:$Z$48,4,0)</f>
        <v>#REF!</v>
      </c>
      <c r="G3" s="655" t="s">
        <v>591</v>
      </c>
      <c r="H3" s="650"/>
      <c r="I3" s="656" t="e">
        <f>HLOOKUP($C$4,$W$26:$Z$48,6,0)</f>
        <v>#REF!</v>
      </c>
      <c r="J3" s="655" t="s">
        <v>592</v>
      </c>
      <c r="K3" s="650"/>
      <c r="L3" s="656" t="e">
        <f>HLOOKUP($C$4,$W$26:$Z$48,8,0)</f>
        <v>#REF!</v>
      </c>
      <c r="M3" s="654" t="s">
        <v>593</v>
      </c>
      <c r="N3" s="650"/>
      <c r="O3" s="656" t="e">
        <f>HLOOKUP(C4,$W$26:$Z$48,R3,0)</f>
        <v>#REF!</v>
      </c>
      <c r="P3" s="650"/>
      <c r="Q3" s="650"/>
      <c r="R3" s="657">
        <f>IF(C2=U34,11,IF(C2=U37,14,IF(C2=U40,17,IF(C2=U43,20,23))))</f>
        <v>20</v>
      </c>
      <c r="S3" s="650"/>
      <c r="T3" s="650"/>
      <c r="U3" s="650"/>
      <c r="V3" s="650"/>
      <c r="W3" s="650"/>
      <c r="X3" s="650"/>
      <c r="Y3" s="650"/>
      <c r="Z3" s="650"/>
      <c r="AA3" s="650"/>
      <c r="AB3" s="650"/>
      <c r="AC3" s="650"/>
      <c r="AD3" s="650"/>
      <c r="AE3" s="650"/>
      <c r="AF3" s="650"/>
      <c r="AG3" s="650"/>
      <c r="AH3" s="650"/>
      <c r="AI3" s="650"/>
      <c r="AJ3" s="650"/>
      <c r="AK3" s="650"/>
      <c r="AL3" s="650"/>
      <c r="AM3" s="650"/>
      <c r="AN3" s="650"/>
      <c r="AO3" s="650"/>
      <c r="AP3" s="650"/>
      <c r="AQ3" s="650"/>
      <c r="AR3" s="650"/>
      <c r="AS3" s="650"/>
      <c r="AT3" s="650"/>
      <c r="AU3" s="650"/>
      <c r="AV3" s="650"/>
      <c r="AW3" s="650"/>
      <c r="AX3" s="650"/>
      <c r="AY3" s="650"/>
      <c r="AZ3" s="650"/>
      <c r="BA3" s="650"/>
      <c r="BB3" s="650"/>
      <c r="BC3" s="650"/>
      <c r="BD3" s="650"/>
      <c r="BE3" s="650"/>
      <c r="BF3" s="650"/>
      <c r="BG3" s="650"/>
      <c r="BH3" s="650"/>
      <c r="BI3" s="650"/>
      <c r="BJ3" s="650"/>
      <c r="BK3" s="650"/>
      <c r="BL3" s="650"/>
      <c r="BM3" s="650"/>
      <c r="BN3" s="650"/>
      <c r="BO3" s="650"/>
      <c r="BP3" s="650"/>
      <c r="BQ3" s="650"/>
      <c r="BR3" s="650"/>
      <c r="BS3" s="650"/>
      <c r="BT3" s="650"/>
      <c r="BU3" s="650"/>
      <c r="BV3" s="650"/>
      <c r="BW3" s="650"/>
      <c r="BX3" s="650"/>
      <c r="BY3" s="650"/>
      <c r="BZ3" s="650"/>
      <c r="CA3" s="650"/>
      <c r="CB3" s="650"/>
      <c r="CC3" s="650"/>
      <c r="CD3" s="650"/>
      <c r="CE3" s="650"/>
      <c r="CF3" s="650"/>
      <c r="CG3" s="650"/>
      <c r="CH3" s="650"/>
      <c r="CI3" s="650"/>
      <c r="CJ3" s="650"/>
      <c r="CK3" s="650"/>
      <c r="CL3" s="650"/>
      <c r="CM3" s="650"/>
      <c r="CN3" s="650"/>
      <c r="CO3" s="650"/>
      <c r="CP3" s="650"/>
      <c r="CQ3" s="650"/>
      <c r="CR3" s="650"/>
      <c r="CS3" s="650"/>
      <c r="CT3" s="650"/>
      <c r="CU3" s="650"/>
      <c r="CV3" s="650"/>
      <c r="CW3" s="650"/>
      <c r="CX3" s="650"/>
      <c r="CY3" s="650"/>
      <c r="CZ3" s="650"/>
      <c r="DA3" s="650"/>
      <c r="DB3" s="650"/>
      <c r="DC3" s="650"/>
      <c r="DD3" s="650"/>
      <c r="DE3" s="650"/>
      <c r="DF3" s="650"/>
      <c r="DG3" s="650"/>
      <c r="DH3" s="650"/>
      <c r="DI3" s="650"/>
      <c r="DJ3" s="650"/>
      <c r="DK3" s="650"/>
      <c r="DL3" s="650"/>
      <c r="DM3" s="650"/>
      <c r="DN3" s="650"/>
      <c r="DO3" s="650"/>
      <c r="DP3" s="650"/>
      <c r="DQ3" s="650"/>
      <c r="DR3" s="650"/>
      <c r="DS3" s="650"/>
      <c r="DT3" s="650"/>
      <c r="DU3" s="650"/>
      <c r="DV3" s="650"/>
      <c r="DW3" s="650"/>
      <c r="DX3" s="650"/>
      <c r="DY3" s="650"/>
      <c r="DZ3" s="650"/>
      <c r="EA3" s="650"/>
      <c r="EB3" s="650"/>
      <c r="EC3" s="650"/>
      <c r="ED3" s="650"/>
      <c r="EE3" s="650"/>
      <c r="EF3" s="650"/>
      <c r="EG3" s="650"/>
      <c r="EH3" s="650"/>
      <c r="EI3" s="650"/>
      <c r="EJ3" s="650"/>
      <c r="EK3" s="650"/>
      <c r="EL3" s="650"/>
      <c r="EM3" s="650"/>
      <c r="EN3" s="650"/>
      <c r="EO3" s="650"/>
      <c r="EP3" s="650"/>
      <c r="EQ3" s="650"/>
      <c r="ER3" s="650"/>
      <c r="ES3" s="650"/>
      <c r="ET3" s="650"/>
      <c r="EU3" s="650"/>
      <c r="EV3" s="650"/>
      <c r="EW3" s="650"/>
      <c r="EX3" s="650"/>
      <c r="EY3" s="650"/>
      <c r="EZ3" s="650"/>
      <c r="FA3" s="650"/>
      <c r="FB3" s="650"/>
      <c r="FC3" s="650"/>
      <c r="FD3" s="650"/>
      <c r="FE3" s="650"/>
      <c r="FF3" s="650"/>
      <c r="FG3" s="650"/>
      <c r="FH3" s="650"/>
      <c r="FI3" s="650"/>
      <c r="FJ3" s="650"/>
      <c r="FK3" s="650"/>
      <c r="FL3" s="650"/>
      <c r="FM3" s="650"/>
      <c r="FN3" s="650"/>
      <c r="FO3" s="650"/>
      <c r="FP3" s="650"/>
      <c r="FQ3" s="650"/>
      <c r="FR3" s="650"/>
      <c r="FS3" s="650"/>
      <c r="FT3" s="650"/>
      <c r="FU3" s="650"/>
      <c r="FV3" s="650"/>
      <c r="FW3" s="650"/>
      <c r="FX3" s="650"/>
      <c r="FY3" s="650"/>
      <c r="FZ3" s="650"/>
      <c r="GA3" s="650"/>
      <c r="GB3" s="650"/>
      <c r="GC3" s="650"/>
      <c r="GD3" s="650"/>
      <c r="GE3" s="650"/>
      <c r="GF3" s="650"/>
      <c r="GG3" s="650"/>
      <c r="GH3" s="650"/>
      <c r="GI3" s="650"/>
      <c r="GJ3" s="650"/>
      <c r="GK3" s="650"/>
      <c r="GL3" s="650"/>
      <c r="GM3" s="650"/>
      <c r="GN3" s="650"/>
      <c r="GO3" s="650"/>
      <c r="GP3" s="650"/>
      <c r="GQ3" s="650"/>
      <c r="GR3" s="650"/>
      <c r="GS3" s="650"/>
      <c r="GT3" s="650"/>
      <c r="GU3" s="650"/>
      <c r="GV3" s="650"/>
      <c r="GW3" s="650"/>
      <c r="GX3" s="650"/>
      <c r="GY3" s="650"/>
      <c r="GZ3" s="650"/>
      <c r="HA3" s="650"/>
      <c r="HB3" s="650"/>
      <c r="HC3" s="650"/>
      <c r="HD3" s="650"/>
      <c r="HE3" s="650"/>
      <c r="HF3" s="650"/>
      <c r="HG3" s="650"/>
      <c r="HH3" s="650"/>
      <c r="HI3" s="650"/>
      <c r="HJ3" s="650"/>
      <c r="HK3" s="650"/>
      <c r="HL3" s="650"/>
      <c r="HM3" s="650"/>
      <c r="HN3" s="650"/>
      <c r="HO3" s="650"/>
      <c r="HP3" s="650"/>
      <c r="HQ3" s="650"/>
      <c r="HR3" s="650"/>
      <c r="HS3" s="650"/>
      <c r="HT3" s="650"/>
      <c r="HU3" s="650"/>
      <c r="HV3" s="650"/>
      <c r="HW3" s="650"/>
      <c r="HX3" s="650"/>
      <c r="HY3" s="650"/>
      <c r="HZ3" s="650"/>
      <c r="IA3" s="650"/>
      <c r="IB3" s="650"/>
      <c r="IC3" s="650"/>
      <c r="ID3" s="650"/>
      <c r="IE3" s="650"/>
      <c r="IF3" s="650"/>
      <c r="IG3" s="650"/>
      <c r="IH3" s="650"/>
      <c r="II3" s="650"/>
      <c r="IJ3" s="650"/>
      <c r="IK3" s="650"/>
      <c r="IL3" s="650"/>
      <c r="IM3" s="650"/>
      <c r="IN3" s="650"/>
      <c r="IO3" s="650"/>
      <c r="IP3" s="650"/>
      <c r="IQ3" s="650"/>
      <c r="IR3" s="650"/>
      <c r="IS3" s="650"/>
      <c r="IT3" s="650"/>
      <c r="IU3" s="650"/>
      <c r="IV3" s="650"/>
    </row>
    <row r="4" spans="1:256" ht="12.95" customHeight="1">
      <c r="A4" s="654" t="s">
        <v>594</v>
      </c>
      <c r="B4" s="650"/>
      <c r="C4" s="658" t="e">
        <f>IF(D39&lt;300000,10,IF(D39&lt;600000,30,IF(D39&lt;1500000,60,150)))</f>
        <v>#REF!</v>
      </c>
      <c r="D4" s="655" t="s">
        <v>595</v>
      </c>
      <c r="E4" s="650"/>
      <c r="F4" s="650" t="s">
        <v>596</v>
      </c>
      <c r="G4" s="655" t="s">
        <v>595</v>
      </c>
      <c r="H4" s="650"/>
      <c r="I4" s="650" t="s">
        <v>597</v>
      </c>
      <c r="J4" s="655" t="s">
        <v>598</v>
      </c>
      <c r="K4" s="650"/>
      <c r="L4" s="650" t="s">
        <v>599</v>
      </c>
      <c r="M4" s="654" t="s">
        <v>600</v>
      </c>
      <c r="N4" s="650"/>
      <c r="O4" s="650" t="s">
        <v>601</v>
      </c>
      <c r="P4" s="650"/>
      <c r="Q4" s="650"/>
      <c r="R4" s="656"/>
      <c r="S4" s="650"/>
      <c r="T4" s="1909" t="s">
        <v>404</v>
      </c>
      <c r="U4" s="1909"/>
      <c r="V4" s="1909"/>
      <c r="W4" s="1909"/>
      <c r="X4" s="659">
        <f>D17</f>
        <v>1.25</v>
      </c>
      <c r="Y4" s="660" t="str">
        <f>C2</f>
        <v>구릉지</v>
      </c>
      <c r="Z4" s="660"/>
      <c r="AA4" s="660"/>
      <c r="AB4" s="660"/>
      <c r="AC4" s="660"/>
      <c r="AD4" s="660"/>
      <c r="AE4" s="660"/>
      <c r="AF4" s="660"/>
      <c r="AG4" s="660"/>
      <c r="AH4" s="650"/>
      <c r="AI4" s="650"/>
      <c r="AJ4" s="650"/>
      <c r="AK4" s="650"/>
      <c r="AL4" s="650"/>
      <c r="AM4" s="650"/>
      <c r="AN4" s="650"/>
      <c r="AO4" s="650"/>
      <c r="AP4" s="650"/>
      <c r="AQ4" s="650"/>
      <c r="AR4" s="650"/>
      <c r="AS4" s="650"/>
      <c r="AT4" s="650"/>
      <c r="AU4" s="650"/>
      <c r="AV4" s="650"/>
      <c r="AW4" s="650"/>
      <c r="AX4" s="650"/>
      <c r="AY4" s="650"/>
      <c r="AZ4" s="650"/>
      <c r="BA4" s="650"/>
      <c r="BB4" s="650"/>
      <c r="BC4" s="650"/>
      <c r="BD4" s="650"/>
      <c r="BE4" s="650"/>
      <c r="BF4" s="650"/>
      <c r="BG4" s="650"/>
      <c r="BH4" s="650"/>
      <c r="BI4" s="650"/>
      <c r="BJ4" s="650"/>
      <c r="BK4" s="650"/>
      <c r="BL4" s="650"/>
      <c r="BM4" s="650"/>
      <c r="BN4" s="650"/>
      <c r="BO4" s="650"/>
      <c r="BP4" s="650"/>
      <c r="BQ4" s="650"/>
      <c r="BR4" s="650"/>
      <c r="BS4" s="650"/>
      <c r="BT4" s="650"/>
      <c r="BU4" s="650"/>
      <c r="BV4" s="650"/>
      <c r="BW4" s="650"/>
      <c r="BX4" s="650"/>
      <c r="BY4" s="650"/>
      <c r="BZ4" s="650"/>
      <c r="CA4" s="650"/>
      <c r="CB4" s="650"/>
      <c r="CC4" s="650"/>
      <c r="CD4" s="650"/>
      <c r="CE4" s="650"/>
      <c r="CF4" s="650"/>
      <c r="CG4" s="650"/>
      <c r="CH4" s="650"/>
      <c r="CI4" s="650"/>
      <c r="CJ4" s="650"/>
      <c r="CK4" s="650"/>
      <c r="CL4" s="650"/>
      <c r="CM4" s="650"/>
      <c r="CN4" s="650"/>
      <c r="CO4" s="650"/>
      <c r="CP4" s="650"/>
      <c r="CQ4" s="650"/>
      <c r="CR4" s="650"/>
      <c r="CS4" s="650"/>
      <c r="CT4" s="650"/>
      <c r="CU4" s="650"/>
      <c r="CV4" s="650"/>
      <c r="CW4" s="650"/>
      <c r="CX4" s="650"/>
      <c r="CY4" s="650"/>
      <c r="CZ4" s="650"/>
      <c r="DA4" s="650"/>
      <c r="DB4" s="650"/>
      <c r="DC4" s="650"/>
      <c r="DD4" s="650"/>
      <c r="DE4" s="650"/>
      <c r="DF4" s="650"/>
      <c r="DG4" s="650"/>
      <c r="DH4" s="650"/>
      <c r="DI4" s="650"/>
      <c r="DJ4" s="650"/>
      <c r="DK4" s="650"/>
      <c r="DL4" s="650"/>
      <c r="DM4" s="650"/>
      <c r="DN4" s="650"/>
      <c r="DO4" s="650"/>
      <c r="DP4" s="650"/>
      <c r="DQ4" s="650"/>
      <c r="DR4" s="650"/>
      <c r="DS4" s="650"/>
      <c r="DT4" s="650"/>
      <c r="DU4" s="650"/>
      <c r="DV4" s="650"/>
      <c r="DW4" s="650"/>
      <c r="DX4" s="650"/>
      <c r="DY4" s="650"/>
      <c r="DZ4" s="650"/>
      <c r="EA4" s="650"/>
      <c r="EB4" s="650"/>
      <c r="EC4" s="650"/>
      <c r="ED4" s="650"/>
      <c r="EE4" s="650"/>
      <c r="EF4" s="650"/>
      <c r="EG4" s="650"/>
      <c r="EH4" s="650"/>
      <c r="EI4" s="650"/>
      <c r="EJ4" s="650"/>
      <c r="EK4" s="650"/>
      <c r="EL4" s="650"/>
      <c r="EM4" s="650"/>
      <c r="EN4" s="650"/>
      <c r="EO4" s="650"/>
      <c r="EP4" s="650"/>
      <c r="EQ4" s="650"/>
      <c r="ER4" s="650"/>
      <c r="ES4" s="650"/>
      <c r="ET4" s="650"/>
      <c r="EU4" s="650"/>
      <c r="EV4" s="650"/>
      <c r="EW4" s="650"/>
      <c r="EX4" s="650"/>
      <c r="EY4" s="650"/>
      <c r="EZ4" s="650"/>
      <c r="FA4" s="650"/>
      <c r="FB4" s="650"/>
      <c r="FC4" s="650"/>
      <c r="FD4" s="650"/>
      <c r="FE4" s="650"/>
      <c r="FF4" s="650"/>
      <c r="FG4" s="650"/>
      <c r="FH4" s="650"/>
      <c r="FI4" s="650"/>
      <c r="FJ4" s="650"/>
      <c r="FK4" s="650"/>
      <c r="FL4" s="650"/>
      <c r="FM4" s="650"/>
      <c r="FN4" s="650"/>
      <c r="FO4" s="650"/>
      <c r="FP4" s="650"/>
      <c r="FQ4" s="650"/>
      <c r="FR4" s="650"/>
      <c r="FS4" s="650"/>
      <c r="FT4" s="650"/>
      <c r="FU4" s="650"/>
      <c r="FV4" s="650"/>
      <c r="FW4" s="650"/>
      <c r="FX4" s="650"/>
      <c r="FY4" s="650"/>
      <c r="FZ4" s="650"/>
      <c r="GA4" s="650"/>
      <c r="GB4" s="650"/>
      <c r="GC4" s="650"/>
      <c r="GD4" s="650"/>
      <c r="GE4" s="650"/>
      <c r="GF4" s="650"/>
      <c r="GG4" s="650"/>
      <c r="GH4" s="650"/>
      <c r="GI4" s="650"/>
      <c r="GJ4" s="650"/>
      <c r="GK4" s="650"/>
      <c r="GL4" s="650"/>
      <c r="GM4" s="650"/>
      <c r="GN4" s="650"/>
      <c r="GO4" s="650"/>
      <c r="GP4" s="650"/>
      <c r="GQ4" s="650"/>
      <c r="GR4" s="650"/>
      <c r="GS4" s="650"/>
      <c r="GT4" s="650"/>
      <c r="GU4" s="650"/>
      <c r="GV4" s="650"/>
      <c r="GW4" s="650"/>
      <c r="GX4" s="650"/>
      <c r="GY4" s="650"/>
      <c r="GZ4" s="650"/>
      <c r="HA4" s="650"/>
      <c r="HB4" s="650"/>
      <c r="HC4" s="650"/>
      <c r="HD4" s="650"/>
      <c r="HE4" s="650"/>
      <c r="HF4" s="650"/>
      <c r="HG4" s="650"/>
      <c r="HH4" s="650"/>
      <c r="HI4" s="650"/>
      <c r="HJ4" s="650"/>
      <c r="HK4" s="650"/>
      <c r="HL4" s="650"/>
      <c r="HM4" s="650"/>
      <c r="HN4" s="650"/>
      <c r="HO4" s="650"/>
      <c r="HP4" s="650"/>
      <c r="HQ4" s="650"/>
      <c r="HR4" s="650"/>
      <c r="HS4" s="650"/>
      <c r="HT4" s="650"/>
      <c r="HU4" s="650"/>
      <c r="HV4" s="650"/>
      <c r="HW4" s="650"/>
      <c r="HX4" s="650"/>
      <c r="HY4" s="650"/>
      <c r="HZ4" s="650"/>
      <c r="IA4" s="650"/>
      <c r="IB4" s="650"/>
      <c r="IC4" s="650"/>
      <c r="ID4" s="650"/>
      <c r="IE4" s="650"/>
      <c r="IF4" s="650"/>
      <c r="IG4" s="650"/>
      <c r="IH4" s="650"/>
      <c r="II4" s="650"/>
      <c r="IJ4" s="650"/>
      <c r="IK4" s="650"/>
      <c r="IL4" s="650"/>
      <c r="IM4" s="650"/>
      <c r="IN4" s="650"/>
      <c r="IO4" s="650"/>
      <c r="IP4" s="650"/>
      <c r="IQ4" s="650"/>
      <c r="IR4" s="650"/>
      <c r="IS4" s="650"/>
      <c r="IT4" s="650"/>
      <c r="IU4" s="650"/>
      <c r="IV4" s="650"/>
    </row>
    <row r="5" spans="1:256" ht="12.95" customHeight="1">
      <c r="A5" s="654" t="s">
        <v>602</v>
      </c>
      <c r="B5" s="650"/>
      <c r="C5" s="661" t="s">
        <v>603</v>
      </c>
      <c r="D5" s="650"/>
      <c r="E5" s="654"/>
      <c r="F5" s="650"/>
      <c r="G5" s="650"/>
      <c r="H5" s="650"/>
      <c r="I5" s="650"/>
      <c r="J5" s="650"/>
      <c r="K5" s="650"/>
      <c r="L5" s="650"/>
      <c r="M5" s="650"/>
      <c r="N5" s="650"/>
      <c r="O5" s="650"/>
      <c r="P5" s="650"/>
      <c r="Q5" s="650"/>
      <c r="R5" s="656"/>
      <c r="S5" s="650"/>
      <c r="T5" s="662" t="s">
        <v>405</v>
      </c>
      <c r="U5" s="662"/>
      <c r="V5" s="662"/>
      <c r="W5" s="662"/>
      <c r="X5" s="662"/>
      <c r="Y5" s="660"/>
      <c r="Z5" s="660"/>
      <c r="AA5" s="660"/>
      <c r="AB5" s="660"/>
      <c r="AC5" s="660"/>
      <c r="AD5" s="660"/>
      <c r="AE5" s="660"/>
      <c r="AF5" s="660"/>
      <c r="AG5" s="660"/>
      <c r="AH5" s="650"/>
      <c r="AI5" s="650"/>
      <c r="AJ5" s="650"/>
      <c r="AK5" s="650"/>
      <c r="AL5" s="650"/>
      <c r="AM5" s="650"/>
      <c r="AN5" s="650"/>
      <c r="AO5" s="650"/>
      <c r="AP5" s="650"/>
      <c r="AQ5" s="650"/>
      <c r="AR5" s="650"/>
      <c r="AS5" s="650"/>
      <c r="AT5" s="650"/>
      <c r="AU5" s="650"/>
      <c r="AV5" s="650"/>
      <c r="AW5" s="650"/>
      <c r="AX5" s="650"/>
      <c r="AY5" s="650"/>
      <c r="AZ5" s="650"/>
      <c r="BA5" s="650"/>
      <c r="BB5" s="650"/>
      <c r="BC5" s="650"/>
      <c r="BD5" s="650"/>
      <c r="BE5" s="650"/>
      <c r="BF5" s="650"/>
      <c r="BG5" s="650"/>
      <c r="BH5" s="650"/>
      <c r="BI5" s="650"/>
      <c r="BJ5" s="650"/>
      <c r="BK5" s="650"/>
      <c r="BL5" s="650"/>
      <c r="BM5" s="650"/>
      <c r="BN5" s="650"/>
      <c r="BO5" s="650"/>
      <c r="BP5" s="650"/>
      <c r="BQ5" s="650"/>
      <c r="BR5" s="650"/>
      <c r="BS5" s="650"/>
      <c r="BT5" s="650"/>
      <c r="BU5" s="650"/>
      <c r="BV5" s="650"/>
      <c r="BW5" s="650"/>
      <c r="BX5" s="650"/>
      <c r="BY5" s="650"/>
      <c r="BZ5" s="650"/>
      <c r="CA5" s="650"/>
      <c r="CB5" s="650"/>
      <c r="CC5" s="650"/>
      <c r="CD5" s="650"/>
      <c r="CE5" s="650"/>
      <c r="CF5" s="650"/>
      <c r="CG5" s="650"/>
      <c r="CH5" s="650"/>
      <c r="CI5" s="650"/>
      <c r="CJ5" s="650"/>
      <c r="CK5" s="650"/>
      <c r="CL5" s="650"/>
      <c r="CM5" s="650"/>
      <c r="CN5" s="650"/>
      <c r="CO5" s="650"/>
      <c r="CP5" s="650"/>
      <c r="CQ5" s="650"/>
      <c r="CR5" s="650"/>
      <c r="CS5" s="650"/>
      <c r="CT5" s="650"/>
      <c r="CU5" s="650"/>
      <c r="CV5" s="650"/>
      <c r="CW5" s="650"/>
      <c r="CX5" s="650"/>
      <c r="CY5" s="650"/>
      <c r="CZ5" s="650"/>
      <c r="DA5" s="650"/>
      <c r="DB5" s="650"/>
      <c r="DC5" s="650"/>
      <c r="DD5" s="650"/>
      <c r="DE5" s="650"/>
      <c r="DF5" s="650"/>
      <c r="DG5" s="650"/>
      <c r="DH5" s="650"/>
      <c r="DI5" s="650"/>
      <c r="DJ5" s="650"/>
      <c r="DK5" s="650"/>
      <c r="DL5" s="650"/>
      <c r="DM5" s="650"/>
      <c r="DN5" s="650"/>
      <c r="DO5" s="650"/>
      <c r="DP5" s="650"/>
      <c r="DQ5" s="650"/>
      <c r="DR5" s="650"/>
      <c r="DS5" s="650"/>
      <c r="DT5" s="650"/>
      <c r="DU5" s="650"/>
      <c r="DV5" s="650"/>
      <c r="DW5" s="650"/>
      <c r="DX5" s="650"/>
      <c r="DY5" s="650"/>
      <c r="DZ5" s="650"/>
      <c r="EA5" s="650"/>
      <c r="EB5" s="650"/>
      <c r="EC5" s="650"/>
      <c r="ED5" s="650"/>
      <c r="EE5" s="650"/>
      <c r="EF5" s="650"/>
      <c r="EG5" s="650"/>
      <c r="EH5" s="650"/>
      <c r="EI5" s="650"/>
      <c r="EJ5" s="650"/>
      <c r="EK5" s="650"/>
      <c r="EL5" s="650"/>
      <c r="EM5" s="650"/>
      <c r="EN5" s="650"/>
      <c r="EO5" s="650"/>
      <c r="EP5" s="650"/>
      <c r="EQ5" s="650"/>
      <c r="ER5" s="650"/>
      <c r="ES5" s="650"/>
      <c r="ET5" s="650"/>
      <c r="EU5" s="650"/>
      <c r="EV5" s="650"/>
      <c r="EW5" s="650"/>
      <c r="EX5" s="650"/>
      <c r="EY5" s="650"/>
      <c r="EZ5" s="650"/>
      <c r="FA5" s="650"/>
      <c r="FB5" s="650"/>
      <c r="FC5" s="650"/>
      <c r="FD5" s="650"/>
      <c r="FE5" s="650"/>
      <c r="FF5" s="650"/>
      <c r="FG5" s="650"/>
      <c r="FH5" s="650"/>
      <c r="FI5" s="650"/>
      <c r="FJ5" s="650"/>
      <c r="FK5" s="650"/>
      <c r="FL5" s="650"/>
      <c r="FM5" s="650"/>
      <c r="FN5" s="650"/>
      <c r="FO5" s="650"/>
      <c r="FP5" s="650"/>
      <c r="FQ5" s="650"/>
      <c r="FR5" s="650"/>
      <c r="FS5" s="650"/>
      <c r="FT5" s="650"/>
      <c r="FU5" s="650"/>
      <c r="FV5" s="650"/>
      <c r="FW5" s="650"/>
      <c r="FX5" s="650"/>
      <c r="FY5" s="650"/>
      <c r="FZ5" s="650"/>
      <c r="GA5" s="650"/>
      <c r="GB5" s="650"/>
      <c r="GC5" s="650"/>
      <c r="GD5" s="650"/>
      <c r="GE5" s="650"/>
      <c r="GF5" s="650"/>
      <c r="GG5" s="650"/>
      <c r="GH5" s="650"/>
      <c r="GI5" s="650"/>
      <c r="GJ5" s="650"/>
      <c r="GK5" s="650"/>
      <c r="GL5" s="650"/>
      <c r="GM5" s="650"/>
      <c r="GN5" s="650"/>
      <c r="GO5" s="650"/>
      <c r="GP5" s="650"/>
      <c r="GQ5" s="650"/>
      <c r="GR5" s="650"/>
      <c r="GS5" s="650"/>
      <c r="GT5" s="650"/>
      <c r="GU5" s="650"/>
      <c r="GV5" s="650"/>
      <c r="GW5" s="650"/>
      <c r="GX5" s="650"/>
      <c r="GY5" s="650"/>
      <c r="GZ5" s="650"/>
      <c r="HA5" s="650"/>
      <c r="HB5" s="650"/>
      <c r="HC5" s="650"/>
      <c r="HD5" s="650"/>
      <c r="HE5" s="650"/>
      <c r="HF5" s="650"/>
      <c r="HG5" s="650"/>
      <c r="HH5" s="650"/>
      <c r="HI5" s="650"/>
      <c r="HJ5" s="650"/>
      <c r="HK5" s="650"/>
      <c r="HL5" s="650"/>
      <c r="HM5" s="650"/>
      <c r="HN5" s="650"/>
      <c r="HO5" s="650"/>
      <c r="HP5" s="650"/>
      <c r="HQ5" s="650"/>
      <c r="HR5" s="650"/>
      <c r="HS5" s="650"/>
      <c r="HT5" s="650"/>
      <c r="HU5" s="650"/>
      <c r="HV5" s="650"/>
      <c r="HW5" s="650"/>
      <c r="HX5" s="650"/>
      <c r="HY5" s="650"/>
      <c r="HZ5" s="650"/>
      <c r="IA5" s="650"/>
      <c r="IB5" s="650"/>
      <c r="IC5" s="650"/>
      <c r="ID5" s="650"/>
      <c r="IE5" s="650"/>
      <c r="IF5" s="650"/>
      <c r="IG5" s="650"/>
      <c r="IH5" s="650"/>
      <c r="II5" s="650"/>
      <c r="IJ5" s="650"/>
      <c r="IK5" s="650"/>
      <c r="IL5" s="650"/>
      <c r="IM5" s="650"/>
      <c r="IN5" s="650"/>
      <c r="IO5" s="650"/>
      <c r="IP5" s="650"/>
      <c r="IQ5" s="650"/>
      <c r="IR5" s="650"/>
      <c r="IS5" s="650"/>
      <c r="IT5" s="650"/>
      <c r="IU5" s="650"/>
      <c r="IV5" s="650"/>
    </row>
    <row r="6" spans="1:256" ht="12.95" customHeight="1">
      <c r="A6" s="650"/>
      <c r="B6" s="650"/>
      <c r="C6" s="650"/>
      <c r="D6" s="650"/>
      <c r="E6" s="654"/>
      <c r="F6" s="650"/>
      <c r="G6" s="650"/>
      <c r="H6" s="650"/>
      <c r="I6" s="650"/>
      <c r="J6" s="650"/>
      <c r="K6" s="650"/>
      <c r="L6" s="650"/>
      <c r="M6" s="650"/>
      <c r="N6" s="650"/>
      <c r="O6" s="650"/>
      <c r="P6" s="650"/>
      <c r="Q6" s="650"/>
      <c r="R6" s="656"/>
      <c r="S6" s="650"/>
      <c r="T6" s="660"/>
      <c r="U6" s="663" t="s">
        <v>406</v>
      </c>
      <c r="V6" s="664" t="s">
        <v>407</v>
      </c>
      <c r="W6" s="665" t="s">
        <v>408</v>
      </c>
      <c r="X6" s="665"/>
      <c r="Y6" s="665"/>
      <c r="Z6" s="665"/>
      <c r="AA6" s="665"/>
      <c r="AB6" s="665"/>
      <c r="AC6" s="665"/>
      <c r="AD6" s="666"/>
      <c r="AE6" s="667"/>
      <c r="AF6" s="660"/>
      <c r="AG6" s="660"/>
      <c r="AH6" s="650"/>
      <c r="AI6" s="650"/>
      <c r="AJ6" s="650"/>
      <c r="AK6" s="650"/>
      <c r="AL6" s="650"/>
      <c r="AM6" s="650"/>
      <c r="AN6" s="650"/>
      <c r="AO6" s="650"/>
      <c r="AP6" s="650"/>
      <c r="AQ6" s="650"/>
      <c r="AR6" s="650"/>
      <c r="AS6" s="650"/>
      <c r="AT6" s="650"/>
      <c r="AU6" s="650"/>
      <c r="AV6" s="650"/>
      <c r="AW6" s="650"/>
      <c r="AX6" s="650"/>
      <c r="AY6" s="650"/>
      <c r="AZ6" s="650"/>
      <c r="BA6" s="650"/>
      <c r="BB6" s="650"/>
      <c r="BC6" s="650"/>
      <c r="BD6" s="650"/>
      <c r="BE6" s="650"/>
      <c r="BF6" s="650"/>
      <c r="BG6" s="650"/>
      <c r="BH6" s="650"/>
      <c r="BI6" s="650"/>
      <c r="BJ6" s="650"/>
      <c r="BK6" s="650"/>
      <c r="BL6" s="650"/>
      <c r="BM6" s="650"/>
      <c r="BN6" s="650"/>
      <c r="BO6" s="650"/>
      <c r="BP6" s="650"/>
      <c r="BQ6" s="650"/>
      <c r="BR6" s="650"/>
      <c r="BS6" s="650"/>
      <c r="BT6" s="650"/>
      <c r="BU6" s="650"/>
      <c r="BV6" s="650"/>
      <c r="BW6" s="650"/>
      <c r="BX6" s="650"/>
      <c r="BY6" s="650"/>
      <c r="BZ6" s="650"/>
      <c r="CA6" s="650"/>
      <c r="CB6" s="650"/>
      <c r="CC6" s="650"/>
      <c r="CD6" s="650"/>
      <c r="CE6" s="650"/>
      <c r="CF6" s="650"/>
      <c r="CG6" s="650"/>
      <c r="CH6" s="650"/>
      <c r="CI6" s="650"/>
      <c r="CJ6" s="650"/>
      <c r="CK6" s="650"/>
      <c r="CL6" s="650"/>
      <c r="CM6" s="650"/>
      <c r="CN6" s="650"/>
      <c r="CO6" s="650"/>
      <c r="CP6" s="650"/>
      <c r="CQ6" s="650"/>
      <c r="CR6" s="650"/>
      <c r="CS6" s="650"/>
      <c r="CT6" s="650"/>
      <c r="CU6" s="650"/>
      <c r="CV6" s="650"/>
      <c r="CW6" s="650"/>
      <c r="CX6" s="650"/>
      <c r="CY6" s="650"/>
      <c r="CZ6" s="650"/>
      <c r="DA6" s="650"/>
      <c r="DB6" s="650"/>
      <c r="DC6" s="650"/>
      <c r="DD6" s="650"/>
      <c r="DE6" s="650"/>
      <c r="DF6" s="650"/>
      <c r="DG6" s="650"/>
      <c r="DH6" s="650"/>
      <c r="DI6" s="650"/>
      <c r="DJ6" s="650"/>
      <c r="DK6" s="650"/>
      <c r="DL6" s="650"/>
      <c r="DM6" s="650"/>
      <c r="DN6" s="650"/>
      <c r="DO6" s="650"/>
      <c r="DP6" s="650"/>
      <c r="DQ6" s="650"/>
      <c r="DR6" s="650"/>
      <c r="DS6" s="650"/>
      <c r="DT6" s="650"/>
      <c r="DU6" s="650"/>
      <c r="DV6" s="650"/>
      <c r="DW6" s="650"/>
      <c r="DX6" s="650"/>
      <c r="DY6" s="650"/>
      <c r="DZ6" s="650"/>
      <c r="EA6" s="650"/>
      <c r="EB6" s="650"/>
      <c r="EC6" s="650"/>
      <c r="ED6" s="650"/>
      <c r="EE6" s="650"/>
      <c r="EF6" s="650"/>
      <c r="EG6" s="650"/>
      <c r="EH6" s="650"/>
      <c r="EI6" s="650"/>
      <c r="EJ6" s="650"/>
      <c r="EK6" s="650"/>
      <c r="EL6" s="650"/>
      <c r="EM6" s="650"/>
      <c r="EN6" s="650"/>
      <c r="EO6" s="650"/>
      <c r="EP6" s="650"/>
      <c r="EQ6" s="650"/>
      <c r="ER6" s="650"/>
      <c r="ES6" s="650"/>
      <c r="ET6" s="650"/>
      <c r="EU6" s="650"/>
      <c r="EV6" s="650"/>
      <c r="EW6" s="650"/>
      <c r="EX6" s="650"/>
      <c r="EY6" s="650"/>
      <c r="EZ6" s="650"/>
      <c r="FA6" s="650"/>
      <c r="FB6" s="650"/>
      <c r="FC6" s="650"/>
      <c r="FD6" s="650"/>
      <c r="FE6" s="650"/>
      <c r="FF6" s="650"/>
      <c r="FG6" s="650"/>
      <c r="FH6" s="650"/>
      <c r="FI6" s="650"/>
      <c r="FJ6" s="650"/>
      <c r="FK6" s="650"/>
      <c r="FL6" s="650"/>
      <c r="FM6" s="650"/>
      <c r="FN6" s="650"/>
      <c r="FO6" s="650"/>
      <c r="FP6" s="650"/>
      <c r="FQ6" s="650"/>
      <c r="FR6" s="650"/>
      <c r="FS6" s="650"/>
      <c r="FT6" s="650"/>
      <c r="FU6" s="650"/>
      <c r="FV6" s="650"/>
      <c r="FW6" s="650"/>
      <c r="FX6" s="650"/>
      <c r="FY6" s="650"/>
      <c r="FZ6" s="650"/>
      <c r="GA6" s="650"/>
      <c r="GB6" s="650"/>
      <c r="GC6" s="650"/>
      <c r="GD6" s="650"/>
      <c r="GE6" s="650"/>
      <c r="GF6" s="650"/>
      <c r="GG6" s="650"/>
      <c r="GH6" s="650"/>
      <c r="GI6" s="650"/>
      <c r="GJ6" s="650"/>
      <c r="GK6" s="650"/>
      <c r="GL6" s="650"/>
      <c r="GM6" s="650"/>
      <c r="GN6" s="650"/>
      <c r="GO6" s="650"/>
      <c r="GP6" s="650"/>
      <c r="GQ6" s="650"/>
      <c r="GR6" s="650"/>
      <c r="GS6" s="650"/>
      <c r="GT6" s="650"/>
      <c r="GU6" s="650"/>
      <c r="GV6" s="650"/>
      <c r="GW6" s="650"/>
      <c r="GX6" s="650"/>
      <c r="GY6" s="650"/>
      <c r="GZ6" s="650"/>
      <c r="HA6" s="650"/>
      <c r="HB6" s="650"/>
      <c r="HC6" s="650"/>
      <c r="HD6" s="650"/>
      <c r="HE6" s="650"/>
      <c r="HF6" s="650"/>
      <c r="HG6" s="650"/>
      <c r="HH6" s="650"/>
      <c r="HI6" s="650"/>
      <c r="HJ6" s="650"/>
      <c r="HK6" s="650"/>
      <c r="HL6" s="650"/>
      <c r="HM6" s="650"/>
      <c r="HN6" s="650"/>
      <c r="HO6" s="650"/>
      <c r="HP6" s="650"/>
      <c r="HQ6" s="650"/>
      <c r="HR6" s="650"/>
      <c r="HS6" s="650"/>
      <c r="HT6" s="650"/>
      <c r="HU6" s="650"/>
      <c r="HV6" s="650"/>
      <c r="HW6" s="650"/>
      <c r="HX6" s="650"/>
      <c r="HY6" s="650"/>
      <c r="HZ6" s="650"/>
      <c r="IA6" s="650"/>
      <c r="IB6" s="650"/>
      <c r="IC6" s="650"/>
      <c r="ID6" s="650"/>
      <c r="IE6" s="650"/>
      <c r="IF6" s="650"/>
      <c r="IG6" s="650"/>
      <c r="IH6" s="650"/>
      <c r="II6" s="650"/>
      <c r="IJ6" s="650"/>
      <c r="IK6" s="650"/>
      <c r="IL6" s="650"/>
      <c r="IM6" s="650"/>
      <c r="IN6" s="650"/>
      <c r="IO6" s="650"/>
      <c r="IP6" s="650"/>
      <c r="IQ6" s="650"/>
      <c r="IR6" s="650"/>
      <c r="IS6" s="650"/>
      <c r="IT6" s="650"/>
      <c r="IU6" s="650"/>
      <c r="IV6" s="650"/>
    </row>
    <row r="7" spans="1:256" ht="12.95" customHeight="1">
      <c r="A7" s="650" t="s">
        <v>604</v>
      </c>
      <c r="B7" s="650"/>
      <c r="C7" s="650"/>
      <c r="D7" s="650"/>
      <c r="E7" s="650"/>
      <c r="F7" s="650"/>
      <c r="G7" s="650"/>
      <c r="H7" s="650"/>
      <c r="I7" s="650"/>
      <c r="J7" s="650"/>
      <c r="K7" s="650"/>
      <c r="L7" s="650"/>
      <c r="M7" s="650"/>
      <c r="N7" s="650"/>
      <c r="O7" s="650"/>
      <c r="P7" s="650"/>
      <c r="Q7" s="650"/>
      <c r="R7" s="656"/>
      <c r="S7" s="650"/>
      <c r="T7" s="660"/>
      <c r="U7" s="668" t="s">
        <v>409</v>
      </c>
      <c r="V7" s="669">
        <v>2.8</v>
      </c>
      <c r="W7" s="670" t="s">
        <v>410</v>
      </c>
      <c r="X7" s="671"/>
      <c r="Y7" s="672"/>
      <c r="Z7" s="672"/>
      <c r="AA7" s="672"/>
      <c r="AB7" s="672"/>
      <c r="AC7" s="672"/>
      <c r="AD7" s="672"/>
      <c r="AE7" s="673"/>
      <c r="AF7" s="660"/>
      <c r="AG7" s="660"/>
      <c r="AH7" s="650"/>
      <c r="AI7" s="650"/>
      <c r="AJ7" s="650"/>
      <c r="AK7" s="650"/>
      <c r="AL7" s="650"/>
      <c r="AM7" s="650"/>
      <c r="AN7" s="650"/>
      <c r="AO7" s="650"/>
      <c r="AP7" s="650"/>
      <c r="AQ7" s="650"/>
      <c r="AR7" s="650"/>
      <c r="AS7" s="650"/>
      <c r="AT7" s="650"/>
      <c r="AU7" s="650"/>
      <c r="AV7" s="650"/>
      <c r="AW7" s="650"/>
      <c r="AX7" s="650"/>
      <c r="AY7" s="650"/>
      <c r="AZ7" s="650"/>
      <c r="BA7" s="650"/>
      <c r="BB7" s="650"/>
      <c r="BC7" s="650"/>
      <c r="BD7" s="650"/>
      <c r="BE7" s="650"/>
      <c r="BF7" s="650"/>
      <c r="BG7" s="650"/>
      <c r="BH7" s="650"/>
      <c r="BI7" s="650"/>
      <c r="BJ7" s="650"/>
      <c r="BK7" s="650"/>
      <c r="BL7" s="650"/>
      <c r="BM7" s="650"/>
      <c r="BN7" s="650"/>
      <c r="BO7" s="650"/>
      <c r="BP7" s="650"/>
      <c r="BQ7" s="650"/>
      <c r="BR7" s="650"/>
      <c r="BS7" s="650"/>
      <c r="BT7" s="650"/>
      <c r="BU7" s="650"/>
      <c r="BV7" s="650"/>
      <c r="BW7" s="650"/>
      <c r="BX7" s="650"/>
      <c r="BY7" s="650"/>
      <c r="BZ7" s="650"/>
      <c r="CA7" s="650"/>
      <c r="CB7" s="650"/>
      <c r="CC7" s="650"/>
      <c r="CD7" s="650"/>
      <c r="CE7" s="650"/>
      <c r="CF7" s="650"/>
      <c r="CG7" s="650"/>
      <c r="CH7" s="650"/>
      <c r="CI7" s="650"/>
      <c r="CJ7" s="650"/>
      <c r="CK7" s="650"/>
      <c r="CL7" s="650"/>
      <c r="CM7" s="650"/>
      <c r="CN7" s="650"/>
      <c r="CO7" s="650"/>
      <c r="CP7" s="650"/>
      <c r="CQ7" s="650"/>
      <c r="CR7" s="650"/>
      <c r="CS7" s="650"/>
      <c r="CT7" s="650"/>
      <c r="CU7" s="650"/>
      <c r="CV7" s="650"/>
      <c r="CW7" s="650"/>
      <c r="CX7" s="650"/>
      <c r="CY7" s="650"/>
      <c r="CZ7" s="650"/>
      <c r="DA7" s="650"/>
      <c r="DB7" s="650"/>
      <c r="DC7" s="650"/>
      <c r="DD7" s="650"/>
      <c r="DE7" s="650"/>
      <c r="DF7" s="650"/>
      <c r="DG7" s="650"/>
      <c r="DH7" s="650"/>
      <c r="DI7" s="650"/>
      <c r="DJ7" s="650"/>
      <c r="DK7" s="650"/>
      <c r="DL7" s="650"/>
      <c r="DM7" s="650"/>
      <c r="DN7" s="650"/>
      <c r="DO7" s="650"/>
      <c r="DP7" s="650"/>
      <c r="DQ7" s="650"/>
      <c r="DR7" s="650"/>
      <c r="DS7" s="650"/>
      <c r="DT7" s="650"/>
      <c r="DU7" s="650"/>
      <c r="DV7" s="650"/>
      <c r="DW7" s="650"/>
      <c r="DX7" s="650"/>
      <c r="DY7" s="650"/>
      <c r="DZ7" s="650"/>
      <c r="EA7" s="650"/>
      <c r="EB7" s="650"/>
      <c r="EC7" s="650"/>
      <c r="ED7" s="650"/>
      <c r="EE7" s="650"/>
      <c r="EF7" s="650"/>
      <c r="EG7" s="650"/>
      <c r="EH7" s="650"/>
      <c r="EI7" s="650"/>
      <c r="EJ7" s="650"/>
      <c r="EK7" s="650"/>
      <c r="EL7" s="650"/>
      <c r="EM7" s="650"/>
      <c r="EN7" s="650"/>
      <c r="EO7" s="650"/>
      <c r="EP7" s="650"/>
      <c r="EQ7" s="650"/>
      <c r="ER7" s="650"/>
      <c r="ES7" s="650"/>
      <c r="ET7" s="650"/>
      <c r="EU7" s="650"/>
      <c r="EV7" s="650"/>
      <c r="EW7" s="650"/>
      <c r="EX7" s="650"/>
      <c r="EY7" s="650"/>
      <c r="EZ7" s="650"/>
      <c r="FA7" s="650"/>
      <c r="FB7" s="650"/>
      <c r="FC7" s="650"/>
      <c r="FD7" s="650"/>
      <c r="FE7" s="650"/>
      <c r="FF7" s="650"/>
      <c r="FG7" s="650"/>
      <c r="FH7" s="650"/>
      <c r="FI7" s="650"/>
      <c r="FJ7" s="650"/>
      <c r="FK7" s="650"/>
      <c r="FL7" s="650"/>
      <c r="FM7" s="650"/>
      <c r="FN7" s="650"/>
      <c r="FO7" s="650"/>
      <c r="FP7" s="650"/>
      <c r="FQ7" s="650"/>
      <c r="FR7" s="650"/>
      <c r="FS7" s="650"/>
      <c r="FT7" s="650"/>
      <c r="FU7" s="650"/>
      <c r="FV7" s="650"/>
      <c r="FW7" s="650"/>
      <c r="FX7" s="650"/>
      <c r="FY7" s="650"/>
      <c r="FZ7" s="650"/>
      <c r="GA7" s="650"/>
      <c r="GB7" s="650"/>
      <c r="GC7" s="650"/>
      <c r="GD7" s="650"/>
      <c r="GE7" s="650"/>
      <c r="GF7" s="650"/>
      <c r="GG7" s="650"/>
      <c r="GH7" s="650"/>
      <c r="GI7" s="650"/>
      <c r="GJ7" s="650"/>
      <c r="GK7" s="650"/>
      <c r="GL7" s="650"/>
      <c r="GM7" s="650"/>
      <c r="GN7" s="650"/>
      <c r="GO7" s="650"/>
      <c r="GP7" s="650"/>
      <c r="GQ7" s="650"/>
      <c r="GR7" s="650"/>
      <c r="GS7" s="650"/>
      <c r="GT7" s="650"/>
      <c r="GU7" s="650"/>
      <c r="GV7" s="650"/>
      <c r="GW7" s="650"/>
      <c r="GX7" s="650"/>
      <c r="GY7" s="650"/>
      <c r="GZ7" s="650"/>
      <c r="HA7" s="650"/>
      <c r="HB7" s="650"/>
      <c r="HC7" s="650"/>
      <c r="HD7" s="650"/>
      <c r="HE7" s="650"/>
      <c r="HF7" s="650"/>
      <c r="HG7" s="650"/>
      <c r="HH7" s="650"/>
      <c r="HI7" s="650"/>
      <c r="HJ7" s="650"/>
      <c r="HK7" s="650"/>
      <c r="HL7" s="650"/>
      <c r="HM7" s="650"/>
      <c r="HN7" s="650"/>
      <c r="HO7" s="650"/>
      <c r="HP7" s="650"/>
      <c r="HQ7" s="650"/>
      <c r="HR7" s="650"/>
      <c r="HS7" s="650"/>
      <c r="HT7" s="650"/>
      <c r="HU7" s="650"/>
      <c r="HV7" s="650"/>
      <c r="HW7" s="650"/>
      <c r="HX7" s="650"/>
      <c r="HY7" s="650"/>
      <c r="HZ7" s="650"/>
      <c r="IA7" s="650"/>
      <c r="IB7" s="650"/>
      <c r="IC7" s="650"/>
      <c r="ID7" s="650"/>
      <c r="IE7" s="650"/>
      <c r="IF7" s="650"/>
      <c r="IG7" s="650"/>
      <c r="IH7" s="650"/>
      <c r="II7" s="650"/>
      <c r="IJ7" s="650"/>
      <c r="IK7" s="650"/>
      <c r="IL7" s="650"/>
      <c r="IM7" s="650"/>
      <c r="IN7" s="650"/>
      <c r="IO7" s="650"/>
      <c r="IP7" s="650"/>
      <c r="IQ7" s="650"/>
      <c r="IR7" s="650"/>
      <c r="IS7" s="650"/>
      <c r="IT7" s="650"/>
      <c r="IU7" s="650"/>
      <c r="IV7" s="650"/>
    </row>
    <row r="8" spans="1:256" ht="12.95" customHeight="1">
      <c r="A8" s="650" t="s">
        <v>605</v>
      </c>
      <c r="B8" s="650"/>
      <c r="C8" s="650"/>
      <c r="D8" s="650"/>
      <c r="E8" s="650"/>
      <c r="F8" s="650"/>
      <c r="G8" s="650"/>
      <c r="H8" s="650"/>
      <c r="I8" s="650"/>
      <c r="J8" s="650"/>
      <c r="K8" s="650"/>
      <c r="L8" s="650"/>
      <c r="M8" s="650"/>
      <c r="N8" s="650"/>
      <c r="O8" s="650"/>
      <c r="P8" s="650"/>
      <c r="Q8" s="650"/>
      <c r="R8" s="650"/>
      <c r="S8" s="650"/>
      <c r="T8" s="660"/>
      <c r="U8" s="674" t="s">
        <v>411</v>
      </c>
      <c r="V8" s="675">
        <v>2.15</v>
      </c>
      <c r="W8" s="676" t="s">
        <v>412</v>
      </c>
      <c r="X8" s="677"/>
      <c r="Y8" s="678"/>
      <c r="Z8" s="678"/>
      <c r="AA8" s="678"/>
      <c r="AB8" s="678"/>
      <c r="AC8" s="678"/>
      <c r="AD8" s="678"/>
      <c r="AE8" s="679"/>
      <c r="AF8" s="660"/>
      <c r="AG8" s="660"/>
      <c r="AH8" s="650"/>
      <c r="AI8" s="650"/>
      <c r="AJ8" s="650"/>
      <c r="AK8" s="650"/>
      <c r="AL8" s="650"/>
      <c r="AM8" s="650"/>
      <c r="AN8" s="650"/>
      <c r="AO8" s="650"/>
      <c r="AP8" s="650"/>
      <c r="AQ8" s="650"/>
      <c r="AR8" s="650"/>
      <c r="AS8" s="650"/>
      <c r="AT8" s="650"/>
      <c r="AU8" s="650"/>
      <c r="AV8" s="650"/>
      <c r="AW8" s="650"/>
      <c r="AX8" s="650"/>
      <c r="AY8" s="650"/>
      <c r="AZ8" s="650"/>
      <c r="BA8" s="650"/>
      <c r="BB8" s="650"/>
      <c r="BC8" s="650"/>
      <c r="BD8" s="650"/>
      <c r="BE8" s="650"/>
      <c r="BF8" s="650"/>
      <c r="BG8" s="650"/>
      <c r="BH8" s="650"/>
      <c r="BI8" s="650"/>
      <c r="BJ8" s="650"/>
      <c r="BK8" s="650"/>
      <c r="BL8" s="650"/>
      <c r="BM8" s="650"/>
      <c r="BN8" s="650"/>
      <c r="BO8" s="650"/>
      <c r="BP8" s="650"/>
      <c r="BQ8" s="650"/>
      <c r="BR8" s="650"/>
      <c r="BS8" s="650"/>
      <c r="BT8" s="650"/>
      <c r="BU8" s="650"/>
      <c r="BV8" s="650"/>
      <c r="BW8" s="650"/>
      <c r="BX8" s="650"/>
      <c r="BY8" s="650"/>
      <c r="BZ8" s="650"/>
      <c r="CA8" s="650"/>
      <c r="CB8" s="650"/>
      <c r="CC8" s="650"/>
      <c r="CD8" s="650"/>
      <c r="CE8" s="650"/>
      <c r="CF8" s="650"/>
      <c r="CG8" s="650"/>
      <c r="CH8" s="650"/>
      <c r="CI8" s="650"/>
      <c r="CJ8" s="650"/>
      <c r="CK8" s="650"/>
      <c r="CL8" s="650"/>
      <c r="CM8" s="650"/>
      <c r="CN8" s="650"/>
      <c r="CO8" s="650"/>
      <c r="CP8" s="650"/>
      <c r="CQ8" s="650"/>
      <c r="CR8" s="650"/>
      <c r="CS8" s="650"/>
      <c r="CT8" s="650"/>
      <c r="CU8" s="650"/>
      <c r="CV8" s="650"/>
      <c r="CW8" s="650"/>
      <c r="CX8" s="650"/>
      <c r="CY8" s="650"/>
      <c r="CZ8" s="650"/>
      <c r="DA8" s="650"/>
      <c r="DB8" s="650"/>
      <c r="DC8" s="650"/>
      <c r="DD8" s="650"/>
      <c r="DE8" s="650"/>
      <c r="DF8" s="650"/>
      <c r="DG8" s="650"/>
      <c r="DH8" s="650"/>
      <c r="DI8" s="650"/>
      <c r="DJ8" s="650"/>
      <c r="DK8" s="650"/>
      <c r="DL8" s="650"/>
      <c r="DM8" s="650"/>
      <c r="DN8" s="650"/>
      <c r="DO8" s="650"/>
      <c r="DP8" s="650"/>
      <c r="DQ8" s="650"/>
      <c r="DR8" s="650"/>
      <c r="DS8" s="650"/>
      <c r="DT8" s="650"/>
      <c r="DU8" s="650"/>
      <c r="DV8" s="650"/>
      <c r="DW8" s="650"/>
      <c r="DX8" s="650"/>
      <c r="DY8" s="650"/>
      <c r="DZ8" s="650"/>
      <c r="EA8" s="650"/>
      <c r="EB8" s="650"/>
      <c r="EC8" s="650"/>
      <c r="ED8" s="650"/>
      <c r="EE8" s="650"/>
      <c r="EF8" s="650"/>
      <c r="EG8" s="650"/>
      <c r="EH8" s="650"/>
      <c r="EI8" s="650"/>
      <c r="EJ8" s="650"/>
      <c r="EK8" s="650"/>
      <c r="EL8" s="650"/>
      <c r="EM8" s="650"/>
      <c r="EN8" s="650"/>
      <c r="EO8" s="650"/>
      <c r="EP8" s="650"/>
      <c r="EQ8" s="650"/>
      <c r="ER8" s="650"/>
      <c r="ES8" s="650"/>
      <c r="ET8" s="650"/>
      <c r="EU8" s="650"/>
      <c r="EV8" s="650"/>
      <c r="EW8" s="650"/>
      <c r="EX8" s="650"/>
      <c r="EY8" s="650"/>
      <c r="EZ8" s="650"/>
      <c r="FA8" s="650"/>
      <c r="FB8" s="650"/>
      <c r="FC8" s="650"/>
      <c r="FD8" s="650"/>
      <c r="FE8" s="650"/>
      <c r="FF8" s="650"/>
      <c r="FG8" s="650"/>
      <c r="FH8" s="650"/>
      <c r="FI8" s="650"/>
      <c r="FJ8" s="650"/>
      <c r="FK8" s="650"/>
      <c r="FL8" s="650"/>
      <c r="FM8" s="650"/>
      <c r="FN8" s="650"/>
      <c r="FO8" s="650"/>
      <c r="FP8" s="650"/>
      <c r="FQ8" s="650"/>
      <c r="FR8" s="650"/>
      <c r="FS8" s="650"/>
      <c r="FT8" s="650"/>
      <c r="FU8" s="650"/>
      <c r="FV8" s="650"/>
      <c r="FW8" s="650"/>
      <c r="FX8" s="650"/>
      <c r="FY8" s="650"/>
      <c r="FZ8" s="650"/>
      <c r="GA8" s="650"/>
      <c r="GB8" s="650"/>
      <c r="GC8" s="650"/>
      <c r="GD8" s="650"/>
      <c r="GE8" s="650"/>
      <c r="GF8" s="650"/>
      <c r="GG8" s="650"/>
      <c r="GH8" s="650"/>
      <c r="GI8" s="650"/>
      <c r="GJ8" s="650"/>
      <c r="GK8" s="650"/>
      <c r="GL8" s="650"/>
      <c r="GM8" s="650"/>
      <c r="GN8" s="650"/>
      <c r="GO8" s="650"/>
      <c r="GP8" s="650"/>
      <c r="GQ8" s="650"/>
      <c r="GR8" s="650"/>
      <c r="GS8" s="650"/>
      <c r="GT8" s="650"/>
      <c r="GU8" s="650"/>
      <c r="GV8" s="650"/>
      <c r="GW8" s="650"/>
      <c r="GX8" s="650"/>
      <c r="GY8" s="650"/>
      <c r="GZ8" s="650"/>
      <c r="HA8" s="650"/>
      <c r="HB8" s="650"/>
      <c r="HC8" s="650"/>
      <c r="HD8" s="650"/>
      <c r="HE8" s="650"/>
      <c r="HF8" s="650"/>
      <c r="HG8" s="650"/>
      <c r="HH8" s="650"/>
      <c r="HI8" s="650"/>
      <c r="HJ8" s="650"/>
      <c r="HK8" s="650"/>
      <c r="HL8" s="650"/>
      <c r="HM8" s="650"/>
      <c r="HN8" s="650"/>
      <c r="HO8" s="650"/>
      <c r="HP8" s="650"/>
      <c r="HQ8" s="650"/>
      <c r="HR8" s="650"/>
      <c r="HS8" s="650"/>
      <c r="HT8" s="650"/>
      <c r="HU8" s="650"/>
      <c r="HV8" s="650"/>
      <c r="HW8" s="650"/>
      <c r="HX8" s="650"/>
      <c r="HY8" s="650"/>
      <c r="HZ8" s="650"/>
      <c r="IA8" s="650"/>
      <c r="IB8" s="650"/>
      <c r="IC8" s="650"/>
      <c r="ID8" s="650"/>
      <c r="IE8" s="650"/>
      <c r="IF8" s="650"/>
      <c r="IG8" s="650"/>
      <c r="IH8" s="650"/>
      <c r="II8" s="650"/>
      <c r="IJ8" s="650"/>
      <c r="IK8" s="650"/>
      <c r="IL8" s="650"/>
      <c r="IM8" s="650"/>
      <c r="IN8" s="650"/>
      <c r="IO8" s="650"/>
      <c r="IP8" s="650"/>
      <c r="IQ8" s="650"/>
      <c r="IR8" s="650"/>
      <c r="IS8" s="650"/>
      <c r="IT8" s="650"/>
      <c r="IU8" s="650"/>
      <c r="IV8" s="650"/>
    </row>
    <row r="9" spans="1:256" ht="12.95" customHeight="1">
      <c r="A9" s="680" t="s">
        <v>606</v>
      </c>
      <c r="B9" s="650"/>
      <c r="C9" s="681" t="e">
        <f>F3</f>
        <v>#REF!</v>
      </c>
      <c r="D9" s="682">
        <f>IF($C$2="밀집시가지",1.3,IF($C$2="시가지",1.15,IF(OR($C$2="평지",$C$2="구릉지"),1,IF($C$2="산지",1.2))))</f>
        <v>1</v>
      </c>
      <c r="E9" s="683" t="e">
        <f>IF(F3=0,0,0.8+3.2/F3)</f>
        <v>#REF!</v>
      </c>
      <c r="F9" s="683"/>
      <c r="G9" s="684" t="e">
        <f>ROUND(C9/14*D9*E9,2)</f>
        <v>#REF!</v>
      </c>
      <c r="H9" s="241" t="s">
        <v>607</v>
      </c>
      <c r="I9" s="650"/>
      <c r="J9" s="650"/>
      <c r="K9" s="650"/>
      <c r="L9" s="650"/>
      <c r="M9" s="650"/>
      <c r="N9" s="650"/>
      <c r="O9" s="650"/>
      <c r="P9" s="650"/>
      <c r="Q9" s="650"/>
      <c r="R9" s="650"/>
      <c r="S9" s="650"/>
      <c r="T9" s="660"/>
      <c r="U9" s="674" t="s">
        <v>413</v>
      </c>
      <c r="V9" s="675">
        <v>1</v>
      </c>
      <c r="W9" s="676" t="s">
        <v>414</v>
      </c>
      <c r="X9" s="677"/>
      <c r="Y9" s="678"/>
      <c r="Z9" s="678"/>
      <c r="AA9" s="678"/>
      <c r="AB9" s="678"/>
      <c r="AC9" s="678"/>
      <c r="AD9" s="678"/>
      <c r="AE9" s="679"/>
      <c r="AF9" s="660"/>
      <c r="AG9" s="660"/>
      <c r="AH9" s="650"/>
      <c r="AI9" s="650"/>
      <c r="AJ9" s="650"/>
      <c r="AK9" s="650"/>
      <c r="AL9" s="650"/>
      <c r="AM9" s="650"/>
      <c r="AN9" s="650"/>
      <c r="AO9" s="650"/>
      <c r="AP9" s="650"/>
      <c r="AQ9" s="650"/>
      <c r="AR9" s="650"/>
      <c r="AS9" s="650"/>
      <c r="AT9" s="650"/>
      <c r="AU9" s="650"/>
      <c r="AV9" s="650"/>
      <c r="AW9" s="650"/>
      <c r="AX9" s="650"/>
      <c r="AY9" s="650"/>
      <c r="AZ9" s="650"/>
      <c r="BA9" s="650"/>
      <c r="BB9" s="650"/>
      <c r="BC9" s="650"/>
      <c r="BD9" s="650"/>
      <c r="BE9" s="650"/>
      <c r="BF9" s="650"/>
      <c r="BG9" s="650"/>
      <c r="BH9" s="650"/>
      <c r="BI9" s="650"/>
      <c r="BJ9" s="650"/>
      <c r="BK9" s="650"/>
      <c r="BL9" s="650"/>
      <c r="BM9" s="650"/>
      <c r="BN9" s="650"/>
      <c r="BO9" s="650"/>
      <c r="BP9" s="650"/>
      <c r="BQ9" s="650"/>
      <c r="BR9" s="650"/>
      <c r="BS9" s="650"/>
      <c r="BT9" s="650"/>
      <c r="BU9" s="650"/>
      <c r="BV9" s="650"/>
      <c r="BW9" s="650"/>
      <c r="BX9" s="650"/>
      <c r="BY9" s="650"/>
      <c r="BZ9" s="650"/>
      <c r="CA9" s="650"/>
      <c r="CB9" s="650"/>
      <c r="CC9" s="650"/>
      <c r="CD9" s="650"/>
      <c r="CE9" s="650"/>
      <c r="CF9" s="650"/>
      <c r="CG9" s="650"/>
      <c r="CH9" s="650"/>
      <c r="CI9" s="650"/>
      <c r="CJ9" s="650"/>
      <c r="CK9" s="650"/>
      <c r="CL9" s="650"/>
      <c r="CM9" s="650"/>
      <c r="CN9" s="650"/>
      <c r="CO9" s="650"/>
      <c r="CP9" s="650"/>
      <c r="CQ9" s="650"/>
      <c r="CR9" s="650"/>
      <c r="CS9" s="650"/>
      <c r="CT9" s="650"/>
      <c r="CU9" s="650"/>
      <c r="CV9" s="650"/>
      <c r="CW9" s="650"/>
      <c r="CX9" s="650"/>
      <c r="CY9" s="650"/>
      <c r="CZ9" s="650"/>
      <c r="DA9" s="650"/>
      <c r="DB9" s="650"/>
      <c r="DC9" s="650"/>
      <c r="DD9" s="650"/>
      <c r="DE9" s="650"/>
      <c r="DF9" s="650"/>
      <c r="DG9" s="650"/>
      <c r="DH9" s="650"/>
      <c r="DI9" s="650"/>
      <c r="DJ9" s="650"/>
      <c r="DK9" s="650"/>
      <c r="DL9" s="650"/>
      <c r="DM9" s="650"/>
      <c r="DN9" s="650"/>
      <c r="DO9" s="650"/>
      <c r="DP9" s="650"/>
      <c r="DQ9" s="650"/>
      <c r="DR9" s="650"/>
      <c r="DS9" s="650"/>
      <c r="DT9" s="650"/>
      <c r="DU9" s="650"/>
      <c r="DV9" s="650"/>
      <c r="DW9" s="650"/>
      <c r="DX9" s="650"/>
      <c r="DY9" s="650"/>
      <c r="DZ9" s="650"/>
      <c r="EA9" s="650"/>
      <c r="EB9" s="650"/>
      <c r="EC9" s="650"/>
      <c r="ED9" s="650"/>
      <c r="EE9" s="650"/>
      <c r="EF9" s="650"/>
      <c r="EG9" s="650"/>
      <c r="EH9" s="650"/>
      <c r="EI9" s="650"/>
      <c r="EJ9" s="650"/>
      <c r="EK9" s="650"/>
      <c r="EL9" s="650"/>
      <c r="EM9" s="650"/>
      <c r="EN9" s="650"/>
      <c r="EO9" s="650"/>
      <c r="EP9" s="650"/>
      <c r="EQ9" s="650"/>
      <c r="ER9" s="650"/>
      <c r="ES9" s="650"/>
      <c r="ET9" s="650"/>
      <c r="EU9" s="650"/>
      <c r="EV9" s="650"/>
      <c r="EW9" s="650"/>
      <c r="EX9" s="650"/>
      <c r="EY9" s="650"/>
      <c r="EZ9" s="650"/>
      <c r="FA9" s="650"/>
      <c r="FB9" s="650"/>
      <c r="FC9" s="650"/>
      <c r="FD9" s="650"/>
      <c r="FE9" s="650"/>
      <c r="FF9" s="650"/>
      <c r="FG9" s="650"/>
      <c r="FH9" s="650"/>
      <c r="FI9" s="650"/>
      <c r="FJ9" s="650"/>
      <c r="FK9" s="650"/>
      <c r="FL9" s="650"/>
      <c r="FM9" s="650"/>
      <c r="FN9" s="650"/>
      <c r="FO9" s="650"/>
      <c r="FP9" s="650"/>
      <c r="FQ9" s="650"/>
      <c r="FR9" s="650"/>
      <c r="FS9" s="650"/>
      <c r="FT9" s="650"/>
      <c r="FU9" s="650"/>
      <c r="FV9" s="650"/>
      <c r="FW9" s="650"/>
      <c r="FX9" s="650"/>
      <c r="FY9" s="650"/>
      <c r="FZ9" s="650"/>
      <c r="GA9" s="650"/>
      <c r="GB9" s="650"/>
      <c r="GC9" s="650"/>
      <c r="GD9" s="650"/>
      <c r="GE9" s="650"/>
      <c r="GF9" s="650"/>
      <c r="GG9" s="650"/>
      <c r="GH9" s="650"/>
      <c r="GI9" s="650"/>
      <c r="GJ9" s="650"/>
      <c r="GK9" s="650"/>
      <c r="GL9" s="650"/>
      <c r="GM9" s="650"/>
      <c r="GN9" s="650"/>
      <c r="GO9" s="650"/>
      <c r="GP9" s="650"/>
      <c r="GQ9" s="650"/>
      <c r="GR9" s="650"/>
      <c r="GS9" s="650"/>
      <c r="GT9" s="650"/>
      <c r="GU9" s="650"/>
      <c r="GV9" s="650"/>
      <c r="GW9" s="650"/>
      <c r="GX9" s="650"/>
      <c r="GY9" s="650"/>
      <c r="GZ9" s="650"/>
      <c r="HA9" s="650"/>
      <c r="HB9" s="650"/>
      <c r="HC9" s="650"/>
      <c r="HD9" s="650"/>
      <c r="HE9" s="650"/>
      <c r="HF9" s="650"/>
      <c r="HG9" s="650"/>
      <c r="HH9" s="650"/>
      <c r="HI9" s="650"/>
      <c r="HJ9" s="650"/>
      <c r="HK9" s="650"/>
      <c r="HL9" s="650"/>
      <c r="HM9" s="650"/>
      <c r="HN9" s="650"/>
      <c r="HO9" s="650"/>
      <c r="HP9" s="650"/>
      <c r="HQ9" s="650"/>
      <c r="HR9" s="650"/>
      <c r="HS9" s="650"/>
      <c r="HT9" s="650"/>
      <c r="HU9" s="650"/>
      <c r="HV9" s="650"/>
      <c r="HW9" s="650"/>
      <c r="HX9" s="650"/>
      <c r="HY9" s="650"/>
      <c r="HZ9" s="650"/>
      <c r="IA9" s="650"/>
      <c r="IB9" s="650"/>
      <c r="IC9" s="650"/>
      <c r="ID9" s="650"/>
      <c r="IE9" s="650"/>
      <c r="IF9" s="650"/>
      <c r="IG9" s="650"/>
      <c r="IH9" s="650"/>
      <c r="II9" s="650"/>
      <c r="IJ9" s="650"/>
      <c r="IK9" s="650"/>
      <c r="IL9" s="650"/>
      <c r="IM9" s="650"/>
      <c r="IN9" s="650"/>
      <c r="IO9" s="650"/>
      <c r="IP9" s="650"/>
      <c r="IQ9" s="650"/>
      <c r="IR9" s="650"/>
      <c r="IS9" s="650"/>
      <c r="IT9" s="650"/>
      <c r="IU9" s="650"/>
      <c r="IV9" s="650"/>
    </row>
    <row r="10" spans="1:256" ht="12.95" customHeight="1">
      <c r="A10" s="680" t="s">
        <v>608</v>
      </c>
      <c r="B10" s="650"/>
      <c r="C10" s="681" t="e">
        <f>I3</f>
        <v>#REF!</v>
      </c>
      <c r="D10" s="682">
        <f>IF($C$2="밀집시가지",1.3,IF($C$2="시가지",1.15,IF(OR($C$2="평지",$C$2="구릉지"),1,IF($C$2="산지",1.2))))</f>
        <v>1</v>
      </c>
      <c r="E10" s="683" t="e">
        <f>IF(I3=0,0,0.8+2.8/I3)</f>
        <v>#REF!</v>
      </c>
      <c r="F10" s="683"/>
      <c r="G10" s="684" t="e">
        <f>ROUND(C10/14*D10*E10,2)</f>
        <v>#REF!</v>
      </c>
      <c r="H10" s="241" t="s">
        <v>607</v>
      </c>
      <c r="I10" s="650"/>
      <c r="J10" s="650"/>
      <c r="K10" s="650"/>
      <c r="L10" s="650"/>
      <c r="M10" s="650"/>
      <c r="N10" s="650"/>
      <c r="O10" s="650"/>
      <c r="P10" s="650"/>
      <c r="Q10" s="650"/>
      <c r="R10" s="650"/>
      <c r="S10" s="650"/>
      <c r="T10" s="660"/>
      <c r="U10" s="674" t="s">
        <v>415</v>
      </c>
      <c r="V10" s="675">
        <v>1.25</v>
      </c>
      <c r="W10" s="676" t="s">
        <v>416</v>
      </c>
      <c r="X10" s="677"/>
      <c r="Y10" s="678"/>
      <c r="Z10" s="678"/>
      <c r="AA10" s="678"/>
      <c r="AB10" s="678"/>
      <c r="AC10" s="678"/>
      <c r="AD10" s="678"/>
      <c r="AE10" s="679"/>
      <c r="AF10" s="660"/>
      <c r="AG10" s="660"/>
      <c r="AH10" s="650"/>
      <c r="AI10" s="650"/>
      <c r="AJ10" s="650"/>
      <c r="AK10" s="650"/>
      <c r="AL10" s="650"/>
      <c r="AM10" s="650"/>
      <c r="AN10" s="650"/>
      <c r="AO10" s="650"/>
      <c r="AP10" s="650"/>
      <c r="AQ10" s="650"/>
      <c r="AR10" s="650"/>
      <c r="AS10" s="650"/>
      <c r="AT10" s="650"/>
      <c r="AU10" s="650"/>
      <c r="AV10" s="650"/>
      <c r="AW10" s="650"/>
      <c r="AX10" s="650"/>
      <c r="AY10" s="650"/>
      <c r="AZ10" s="650"/>
      <c r="BA10" s="650"/>
      <c r="BB10" s="650"/>
      <c r="BC10" s="650"/>
      <c r="BD10" s="650"/>
      <c r="BE10" s="650"/>
      <c r="BF10" s="650"/>
      <c r="BG10" s="650"/>
      <c r="BH10" s="650"/>
      <c r="BI10" s="650"/>
      <c r="BJ10" s="650"/>
      <c r="BK10" s="650"/>
      <c r="BL10" s="650"/>
      <c r="BM10" s="650"/>
      <c r="BN10" s="650"/>
      <c r="BO10" s="650"/>
      <c r="BP10" s="650"/>
      <c r="BQ10" s="650"/>
      <c r="BR10" s="650"/>
      <c r="BS10" s="650"/>
      <c r="BT10" s="650"/>
      <c r="BU10" s="650"/>
      <c r="BV10" s="650"/>
      <c r="BW10" s="650"/>
      <c r="BX10" s="650"/>
      <c r="BY10" s="650"/>
      <c r="BZ10" s="650"/>
      <c r="CA10" s="650"/>
      <c r="CB10" s="650"/>
      <c r="CC10" s="650"/>
      <c r="CD10" s="650"/>
      <c r="CE10" s="650"/>
      <c r="CF10" s="650"/>
      <c r="CG10" s="650"/>
      <c r="CH10" s="650"/>
      <c r="CI10" s="650"/>
      <c r="CJ10" s="650"/>
      <c r="CK10" s="650"/>
      <c r="CL10" s="650"/>
      <c r="CM10" s="650"/>
      <c r="CN10" s="650"/>
      <c r="CO10" s="650"/>
      <c r="CP10" s="650"/>
      <c r="CQ10" s="650"/>
      <c r="CR10" s="650"/>
      <c r="CS10" s="650"/>
      <c r="CT10" s="650"/>
      <c r="CU10" s="650"/>
      <c r="CV10" s="650"/>
      <c r="CW10" s="650"/>
      <c r="CX10" s="650"/>
      <c r="CY10" s="650"/>
      <c r="CZ10" s="650"/>
      <c r="DA10" s="650"/>
      <c r="DB10" s="650"/>
      <c r="DC10" s="650"/>
      <c r="DD10" s="650"/>
      <c r="DE10" s="650"/>
      <c r="DF10" s="650"/>
      <c r="DG10" s="650"/>
      <c r="DH10" s="650"/>
      <c r="DI10" s="650"/>
      <c r="DJ10" s="650"/>
      <c r="DK10" s="650"/>
      <c r="DL10" s="650"/>
      <c r="DM10" s="650"/>
      <c r="DN10" s="650"/>
      <c r="DO10" s="650"/>
      <c r="DP10" s="650"/>
      <c r="DQ10" s="650"/>
      <c r="DR10" s="650"/>
      <c r="DS10" s="650"/>
      <c r="DT10" s="650"/>
      <c r="DU10" s="650"/>
      <c r="DV10" s="650"/>
      <c r="DW10" s="650"/>
      <c r="DX10" s="650"/>
      <c r="DY10" s="650"/>
      <c r="DZ10" s="650"/>
      <c r="EA10" s="650"/>
      <c r="EB10" s="650"/>
      <c r="EC10" s="650"/>
      <c r="ED10" s="650"/>
      <c r="EE10" s="650"/>
      <c r="EF10" s="650"/>
      <c r="EG10" s="650"/>
      <c r="EH10" s="650"/>
      <c r="EI10" s="650"/>
      <c r="EJ10" s="650"/>
      <c r="EK10" s="650"/>
      <c r="EL10" s="650"/>
      <c r="EM10" s="650"/>
      <c r="EN10" s="650"/>
      <c r="EO10" s="650"/>
      <c r="EP10" s="650"/>
      <c r="EQ10" s="650"/>
      <c r="ER10" s="650"/>
      <c r="ES10" s="650"/>
      <c r="ET10" s="650"/>
      <c r="EU10" s="650"/>
      <c r="EV10" s="650"/>
      <c r="EW10" s="650"/>
      <c r="EX10" s="650"/>
      <c r="EY10" s="650"/>
      <c r="EZ10" s="650"/>
      <c r="FA10" s="650"/>
      <c r="FB10" s="650"/>
      <c r="FC10" s="650"/>
      <c r="FD10" s="650"/>
      <c r="FE10" s="650"/>
      <c r="FF10" s="650"/>
      <c r="FG10" s="650"/>
      <c r="FH10" s="650"/>
      <c r="FI10" s="650"/>
      <c r="FJ10" s="650"/>
      <c r="FK10" s="650"/>
      <c r="FL10" s="650"/>
      <c r="FM10" s="650"/>
      <c r="FN10" s="650"/>
      <c r="FO10" s="650"/>
      <c r="FP10" s="650"/>
      <c r="FQ10" s="650"/>
      <c r="FR10" s="650"/>
      <c r="FS10" s="650"/>
      <c r="FT10" s="650"/>
      <c r="FU10" s="650"/>
      <c r="FV10" s="650"/>
      <c r="FW10" s="650"/>
      <c r="FX10" s="650"/>
      <c r="FY10" s="650"/>
      <c r="FZ10" s="650"/>
      <c r="GA10" s="650"/>
      <c r="GB10" s="650"/>
      <c r="GC10" s="650"/>
      <c r="GD10" s="650"/>
      <c r="GE10" s="650"/>
      <c r="GF10" s="650"/>
      <c r="GG10" s="650"/>
      <c r="GH10" s="650"/>
      <c r="GI10" s="650"/>
      <c r="GJ10" s="650"/>
      <c r="GK10" s="650"/>
      <c r="GL10" s="650"/>
      <c r="GM10" s="650"/>
      <c r="GN10" s="650"/>
      <c r="GO10" s="650"/>
      <c r="GP10" s="650"/>
      <c r="GQ10" s="650"/>
      <c r="GR10" s="650"/>
      <c r="GS10" s="650"/>
      <c r="GT10" s="650"/>
      <c r="GU10" s="650"/>
      <c r="GV10" s="650"/>
      <c r="GW10" s="650"/>
      <c r="GX10" s="650"/>
      <c r="GY10" s="650"/>
      <c r="GZ10" s="650"/>
      <c r="HA10" s="650"/>
      <c r="HB10" s="650"/>
      <c r="HC10" s="650"/>
      <c r="HD10" s="650"/>
      <c r="HE10" s="650"/>
      <c r="HF10" s="650"/>
      <c r="HG10" s="650"/>
      <c r="HH10" s="650"/>
      <c r="HI10" s="650"/>
      <c r="HJ10" s="650"/>
      <c r="HK10" s="650"/>
      <c r="HL10" s="650"/>
      <c r="HM10" s="650"/>
      <c r="HN10" s="650"/>
      <c r="HO10" s="650"/>
      <c r="HP10" s="650"/>
      <c r="HQ10" s="650"/>
      <c r="HR10" s="650"/>
      <c r="HS10" s="650"/>
      <c r="HT10" s="650"/>
      <c r="HU10" s="650"/>
      <c r="HV10" s="650"/>
      <c r="HW10" s="650"/>
      <c r="HX10" s="650"/>
      <c r="HY10" s="650"/>
      <c r="HZ10" s="650"/>
      <c r="IA10" s="650"/>
      <c r="IB10" s="650"/>
      <c r="IC10" s="650"/>
      <c r="ID10" s="650"/>
      <c r="IE10" s="650"/>
      <c r="IF10" s="650"/>
      <c r="IG10" s="650"/>
      <c r="IH10" s="650"/>
      <c r="II10" s="650"/>
      <c r="IJ10" s="650"/>
      <c r="IK10" s="650"/>
      <c r="IL10" s="650"/>
      <c r="IM10" s="650"/>
      <c r="IN10" s="650"/>
      <c r="IO10" s="650"/>
      <c r="IP10" s="650"/>
      <c r="IQ10" s="650"/>
      <c r="IR10" s="650"/>
      <c r="IS10" s="650"/>
      <c r="IT10" s="650"/>
      <c r="IU10" s="650"/>
      <c r="IV10" s="650"/>
    </row>
    <row r="11" spans="1:256" ht="12.95" customHeight="1">
      <c r="A11" s="680" t="s">
        <v>609</v>
      </c>
      <c r="B11" s="650"/>
      <c r="C11" s="685" t="e">
        <f>L3</f>
        <v>#REF!</v>
      </c>
      <c r="D11" s="682">
        <f>IF($C$2="밀집시가지",1.3,IF($C$2="시가지",1.15,IF(OR($C$2="평지",$C$2="구릉지"),1,IF($C$2="산지",1.15))))</f>
        <v>1</v>
      </c>
      <c r="E11" s="683" t="e">
        <f>0.8+6/L3</f>
        <v>#REF!</v>
      </c>
      <c r="F11" s="683"/>
      <c r="G11" s="684" t="e">
        <f>ROUND(C11/30*D11*E11,2)</f>
        <v>#REF!</v>
      </c>
      <c r="H11" s="241" t="s">
        <v>610</v>
      </c>
      <c r="I11" s="650"/>
      <c r="J11" s="650"/>
      <c r="K11" s="650"/>
      <c r="L11" s="650"/>
      <c r="M11" s="650"/>
      <c r="N11" s="650"/>
      <c r="O11" s="650"/>
      <c r="P11" s="650"/>
      <c r="Q11" s="650"/>
      <c r="R11" s="650"/>
      <c r="S11" s="650"/>
      <c r="T11" s="660"/>
      <c r="U11" s="686" t="s">
        <v>417</v>
      </c>
      <c r="V11" s="687">
        <v>1.3</v>
      </c>
      <c r="W11" s="688" t="s">
        <v>418</v>
      </c>
      <c r="X11" s="689"/>
      <c r="Y11" s="690"/>
      <c r="Z11" s="690"/>
      <c r="AA11" s="690"/>
      <c r="AB11" s="690"/>
      <c r="AC11" s="690"/>
      <c r="AD11" s="690"/>
      <c r="AE11" s="691"/>
      <c r="AF11" s="660"/>
      <c r="AG11" s="660"/>
      <c r="AH11" s="650"/>
      <c r="AI11" s="650"/>
      <c r="AJ11" s="650"/>
      <c r="AK11" s="650"/>
      <c r="AL11" s="650"/>
      <c r="AM11" s="650"/>
      <c r="AN11" s="650"/>
      <c r="AO11" s="650"/>
      <c r="AP11" s="650"/>
      <c r="AQ11" s="650"/>
      <c r="AR11" s="650"/>
      <c r="AS11" s="650"/>
      <c r="AT11" s="650"/>
      <c r="AU11" s="650"/>
      <c r="AV11" s="650"/>
      <c r="AW11" s="650"/>
      <c r="AX11" s="650"/>
      <c r="AY11" s="650"/>
      <c r="AZ11" s="650"/>
      <c r="BA11" s="650"/>
      <c r="BB11" s="650"/>
      <c r="BC11" s="650"/>
      <c r="BD11" s="650"/>
      <c r="BE11" s="650"/>
      <c r="BF11" s="650"/>
      <c r="BG11" s="650"/>
      <c r="BH11" s="650"/>
      <c r="BI11" s="650"/>
      <c r="BJ11" s="650"/>
      <c r="BK11" s="650"/>
      <c r="BL11" s="650"/>
      <c r="BM11" s="650"/>
      <c r="BN11" s="650"/>
      <c r="BO11" s="650"/>
      <c r="BP11" s="650"/>
      <c r="BQ11" s="650"/>
      <c r="BR11" s="650"/>
      <c r="BS11" s="650"/>
      <c r="BT11" s="650"/>
      <c r="BU11" s="650"/>
      <c r="BV11" s="650"/>
      <c r="BW11" s="650"/>
      <c r="BX11" s="650"/>
      <c r="BY11" s="650"/>
      <c r="BZ11" s="650"/>
      <c r="CA11" s="650"/>
      <c r="CB11" s="650"/>
      <c r="CC11" s="650"/>
      <c r="CD11" s="650"/>
      <c r="CE11" s="650"/>
      <c r="CF11" s="650"/>
      <c r="CG11" s="650"/>
      <c r="CH11" s="650"/>
      <c r="CI11" s="650"/>
      <c r="CJ11" s="650"/>
      <c r="CK11" s="650"/>
      <c r="CL11" s="650"/>
      <c r="CM11" s="650"/>
      <c r="CN11" s="650"/>
      <c r="CO11" s="650"/>
      <c r="CP11" s="650"/>
      <c r="CQ11" s="650"/>
      <c r="CR11" s="650"/>
      <c r="CS11" s="650"/>
      <c r="CT11" s="650"/>
      <c r="CU11" s="650"/>
      <c r="CV11" s="650"/>
      <c r="CW11" s="650"/>
      <c r="CX11" s="650"/>
      <c r="CY11" s="650"/>
      <c r="CZ11" s="650"/>
      <c r="DA11" s="650"/>
      <c r="DB11" s="650"/>
      <c r="DC11" s="650"/>
      <c r="DD11" s="650"/>
      <c r="DE11" s="650"/>
      <c r="DF11" s="650"/>
      <c r="DG11" s="650"/>
      <c r="DH11" s="650"/>
      <c r="DI11" s="650"/>
      <c r="DJ11" s="650"/>
      <c r="DK11" s="650"/>
      <c r="DL11" s="650"/>
      <c r="DM11" s="650"/>
      <c r="DN11" s="650"/>
      <c r="DO11" s="650"/>
      <c r="DP11" s="650"/>
      <c r="DQ11" s="650"/>
      <c r="DR11" s="650"/>
      <c r="DS11" s="650"/>
      <c r="DT11" s="650"/>
      <c r="DU11" s="650"/>
      <c r="DV11" s="650"/>
      <c r="DW11" s="650"/>
      <c r="DX11" s="650"/>
      <c r="DY11" s="650"/>
      <c r="DZ11" s="650"/>
      <c r="EA11" s="650"/>
      <c r="EB11" s="650"/>
      <c r="EC11" s="650"/>
      <c r="ED11" s="650"/>
      <c r="EE11" s="650"/>
      <c r="EF11" s="650"/>
      <c r="EG11" s="650"/>
      <c r="EH11" s="650"/>
      <c r="EI11" s="650"/>
      <c r="EJ11" s="650"/>
      <c r="EK11" s="650"/>
      <c r="EL11" s="650"/>
      <c r="EM11" s="650"/>
      <c r="EN11" s="650"/>
      <c r="EO11" s="650"/>
      <c r="EP11" s="650"/>
      <c r="EQ11" s="650"/>
      <c r="ER11" s="650"/>
      <c r="ES11" s="650"/>
      <c r="ET11" s="650"/>
      <c r="EU11" s="650"/>
      <c r="EV11" s="650"/>
      <c r="EW11" s="650"/>
      <c r="EX11" s="650"/>
      <c r="EY11" s="650"/>
      <c r="EZ11" s="650"/>
      <c r="FA11" s="650"/>
      <c r="FB11" s="650"/>
      <c r="FC11" s="650"/>
      <c r="FD11" s="650"/>
      <c r="FE11" s="650"/>
      <c r="FF11" s="650"/>
      <c r="FG11" s="650"/>
      <c r="FH11" s="650"/>
      <c r="FI11" s="650"/>
      <c r="FJ11" s="650"/>
      <c r="FK11" s="650"/>
      <c r="FL11" s="650"/>
      <c r="FM11" s="650"/>
      <c r="FN11" s="650"/>
      <c r="FO11" s="650"/>
      <c r="FP11" s="650"/>
      <c r="FQ11" s="650"/>
      <c r="FR11" s="650"/>
      <c r="FS11" s="650"/>
      <c r="FT11" s="650"/>
      <c r="FU11" s="650"/>
      <c r="FV11" s="650"/>
      <c r="FW11" s="650"/>
      <c r="FX11" s="650"/>
      <c r="FY11" s="650"/>
      <c r="FZ11" s="650"/>
      <c r="GA11" s="650"/>
      <c r="GB11" s="650"/>
      <c r="GC11" s="650"/>
      <c r="GD11" s="650"/>
      <c r="GE11" s="650"/>
      <c r="GF11" s="650"/>
      <c r="GG11" s="650"/>
      <c r="GH11" s="650"/>
      <c r="GI11" s="650"/>
      <c r="GJ11" s="650"/>
      <c r="GK11" s="650"/>
      <c r="GL11" s="650"/>
      <c r="GM11" s="650"/>
      <c r="GN11" s="650"/>
      <c r="GO11" s="650"/>
      <c r="GP11" s="650"/>
      <c r="GQ11" s="650"/>
      <c r="GR11" s="650"/>
      <c r="GS11" s="650"/>
      <c r="GT11" s="650"/>
      <c r="GU11" s="650"/>
      <c r="GV11" s="650"/>
      <c r="GW11" s="650"/>
      <c r="GX11" s="650"/>
      <c r="GY11" s="650"/>
      <c r="GZ11" s="650"/>
      <c r="HA11" s="650"/>
      <c r="HB11" s="650"/>
      <c r="HC11" s="650"/>
      <c r="HD11" s="650"/>
      <c r="HE11" s="650"/>
      <c r="HF11" s="650"/>
      <c r="HG11" s="650"/>
      <c r="HH11" s="650"/>
      <c r="HI11" s="650"/>
      <c r="HJ11" s="650"/>
      <c r="HK11" s="650"/>
      <c r="HL11" s="650"/>
      <c r="HM11" s="650"/>
      <c r="HN11" s="650"/>
      <c r="HO11" s="650"/>
      <c r="HP11" s="650"/>
      <c r="HQ11" s="650"/>
      <c r="HR11" s="650"/>
      <c r="HS11" s="650"/>
      <c r="HT11" s="650"/>
      <c r="HU11" s="650"/>
      <c r="HV11" s="650"/>
      <c r="HW11" s="650"/>
      <c r="HX11" s="650"/>
      <c r="HY11" s="650"/>
      <c r="HZ11" s="650"/>
      <c r="IA11" s="650"/>
      <c r="IB11" s="650"/>
      <c r="IC11" s="650"/>
      <c r="ID11" s="650"/>
      <c r="IE11" s="650"/>
      <c r="IF11" s="650"/>
      <c r="IG11" s="650"/>
      <c r="IH11" s="650"/>
      <c r="II11" s="650"/>
      <c r="IJ11" s="650"/>
      <c r="IK11" s="650"/>
      <c r="IL11" s="650"/>
      <c r="IM11" s="650"/>
      <c r="IN11" s="650"/>
      <c r="IO11" s="650"/>
      <c r="IP11" s="650"/>
      <c r="IQ11" s="650"/>
      <c r="IR11" s="650"/>
      <c r="IS11" s="650"/>
      <c r="IT11" s="650"/>
      <c r="IU11" s="650"/>
      <c r="IV11" s="650"/>
    </row>
    <row r="12" spans="1:256" ht="12.95" customHeight="1">
      <c r="A12" s="680" t="s">
        <v>611</v>
      </c>
      <c r="B12" s="650"/>
      <c r="C12" s="692" t="e">
        <f>O3</f>
        <v>#REF!</v>
      </c>
      <c r="D12" s="682">
        <f>IF($C$2="밀집시가지",1.3,IF($C$2="시가지",1.15,IF(OR($C$2="평지",$C$2="구릉지"),1,IF($C$2="산지",1.1))))</f>
        <v>1</v>
      </c>
      <c r="E12" s="682" t="e">
        <f>0.8+(30/O3)</f>
        <v>#REF!</v>
      </c>
      <c r="F12" s="683">
        <f>ROUND((0.53+0.65)/2,2)</f>
        <v>0.59</v>
      </c>
      <c r="G12" s="684" t="e">
        <f>ROUND(C12/150*D12*E12*F12,2)</f>
        <v>#REF!</v>
      </c>
      <c r="H12" s="241" t="s">
        <v>612</v>
      </c>
      <c r="I12" s="650"/>
      <c r="J12" s="650"/>
      <c r="K12" s="650"/>
      <c r="L12" s="650"/>
      <c r="M12" s="650"/>
      <c r="N12" s="655"/>
      <c r="O12" s="655"/>
      <c r="P12" s="650"/>
      <c r="Q12" s="650"/>
      <c r="R12" s="650"/>
      <c r="S12" s="650"/>
      <c r="T12" s="662"/>
      <c r="U12" s="662"/>
      <c r="V12" s="662"/>
      <c r="W12" s="662"/>
      <c r="X12" s="662"/>
      <c r="Y12" s="660"/>
      <c r="Z12" s="660"/>
      <c r="AA12" s="660"/>
      <c r="AB12" s="660"/>
      <c r="AC12" s="660"/>
      <c r="AD12" s="660"/>
      <c r="AE12" s="660"/>
      <c r="AF12" s="660"/>
      <c r="AG12" s="660"/>
      <c r="AH12" s="650"/>
      <c r="AI12" s="650"/>
      <c r="AJ12" s="650"/>
      <c r="AK12" s="650"/>
      <c r="AL12" s="650"/>
      <c r="AM12" s="650"/>
      <c r="AN12" s="650"/>
      <c r="AO12" s="650"/>
      <c r="AP12" s="650"/>
      <c r="AQ12" s="650"/>
      <c r="AR12" s="650"/>
      <c r="AS12" s="650"/>
      <c r="AT12" s="650"/>
      <c r="AU12" s="650"/>
      <c r="AV12" s="650"/>
      <c r="AW12" s="650"/>
      <c r="AX12" s="650"/>
      <c r="AY12" s="650"/>
      <c r="AZ12" s="650"/>
      <c r="BA12" s="650"/>
      <c r="BB12" s="650"/>
      <c r="BC12" s="650"/>
      <c r="BD12" s="650"/>
      <c r="BE12" s="650"/>
      <c r="BF12" s="650"/>
      <c r="BG12" s="650"/>
      <c r="BH12" s="650"/>
      <c r="BI12" s="650"/>
      <c r="BJ12" s="650"/>
      <c r="BK12" s="650"/>
      <c r="BL12" s="650"/>
      <c r="BM12" s="650"/>
      <c r="BN12" s="650"/>
      <c r="BO12" s="650"/>
      <c r="BP12" s="650"/>
      <c r="BQ12" s="650"/>
      <c r="BR12" s="650"/>
      <c r="BS12" s="650"/>
      <c r="BT12" s="650"/>
      <c r="BU12" s="650"/>
      <c r="BV12" s="650"/>
      <c r="BW12" s="650"/>
      <c r="BX12" s="650"/>
      <c r="BY12" s="650"/>
      <c r="BZ12" s="650"/>
      <c r="CA12" s="650"/>
      <c r="CB12" s="650"/>
      <c r="CC12" s="650"/>
      <c r="CD12" s="650"/>
      <c r="CE12" s="650"/>
      <c r="CF12" s="650"/>
      <c r="CG12" s="650"/>
      <c r="CH12" s="650"/>
      <c r="CI12" s="650"/>
      <c r="CJ12" s="650"/>
      <c r="CK12" s="650"/>
      <c r="CL12" s="650"/>
      <c r="CM12" s="650"/>
      <c r="CN12" s="650"/>
      <c r="CO12" s="650"/>
      <c r="CP12" s="650"/>
      <c r="CQ12" s="650"/>
      <c r="CR12" s="650"/>
      <c r="CS12" s="650"/>
      <c r="CT12" s="650"/>
      <c r="CU12" s="650"/>
      <c r="CV12" s="650"/>
      <c r="CW12" s="650"/>
      <c r="CX12" s="650"/>
      <c r="CY12" s="650"/>
      <c r="CZ12" s="650"/>
      <c r="DA12" s="650"/>
      <c r="DB12" s="650"/>
      <c r="DC12" s="650"/>
      <c r="DD12" s="650"/>
      <c r="DE12" s="650"/>
      <c r="DF12" s="650"/>
      <c r="DG12" s="650"/>
      <c r="DH12" s="650"/>
      <c r="DI12" s="650"/>
      <c r="DJ12" s="650"/>
      <c r="DK12" s="650"/>
      <c r="DL12" s="650"/>
      <c r="DM12" s="650"/>
      <c r="DN12" s="650"/>
      <c r="DO12" s="650"/>
      <c r="DP12" s="650"/>
      <c r="DQ12" s="650"/>
      <c r="DR12" s="650"/>
      <c r="DS12" s="650"/>
      <c r="DT12" s="650"/>
      <c r="DU12" s="650"/>
      <c r="DV12" s="650"/>
      <c r="DW12" s="650"/>
      <c r="DX12" s="650"/>
      <c r="DY12" s="650"/>
      <c r="DZ12" s="650"/>
      <c r="EA12" s="650"/>
      <c r="EB12" s="650"/>
      <c r="EC12" s="650"/>
      <c r="ED12" s="650"/>
      <c r="EE12" s="650"/>
      <c r="EF12" s="650"/>
      <c r="EG12" s="650"/>
      <c r="EH12" s="650"/>
      <c r="EI12" s="650"/>
      <c r="EJ12" s="650"/>
      <c r="EK12" s="650"/>
      <c r="EL12" s="650"/>
      <c r="EM12" s="650"/>
      <c r="EN12" s="650"/>
      <c r="EO12" s="650"/>
      <c r="EP12" s="650"/>
      <c r="EQ12" s="650"/>
      <c r="ER12" s="650"/>
      <c r="ES12" s="650"/>
      <c r="ET12" s="650"/>
      <c r="EU12" s="650"/>
      <c r="EV12" s="650"/>
      <c r="EW12" s="650"/>
      <c r="EX12" s="650"/>
      <c r="EY12" s="650"/>
      <c r="EZ12" s="650"/>
      <c r="FA12" s="650"/>
      <c r="FB12" s="650"/>
      <c r="FC12" s="650"/>
      <c r="FD12" s="650"/>
      <c r="FE12" s="650"/>
      <c r="FF12" s="650"/>
      <c r="FG12" s="650"/>
      <c r="FH12" s="650"/>
      <c r="FI12" s="650"/>
      <c r="FJ12" s="650"/>
      <c r="FK12" s="650"/>
      <c r="FL12" s="650"/>
      <c r="FM12" s="650"/>
      <c r="FN12" s="650"/>
      <c r="FO12" s="650"/>
      <c r="FP12" s="650"/>
      <c r="FQ12" s="650"/>
      <c r="FR12" s="650"/>
      <c r="FS12" s="650"/>
      <c r="FT12" s="650"/>
      <c r="FU12" s="650"/>
      <c r="FV12" s="650"/>
      <c r="FW12" s="650"/>
      <c r="FX12" s="650"/>
      <c r="FY12" s="650"/>
      <c r="FZ12" s="650"/>
      <c r="GA12" s="650"/>
      <c r="GB12" s="650"/>
      <c r="GC12" s="650"/>
      <c r="GD12" s="650"/>
      <c r="GE12" s="650"/>
      <c r="GF12" s="650"/>
      <c r="GG12" s="650"/>
      <c r="GH12" s="650"/>
      <c r="GI12" s="650"/>
      <c r="GJ12" s="650"/>
      <c r="GK12" s="650"/>
      <c r="GL12" s="650"/>
      <c r="GM12" s="650"/>
      <c r="GN12" s="650"/>
      <c r="GO12" s="650"/>
      <c r="GP12" s="650"/>
      <c r="GQ12" s="650"/>
      <c r="GR12" s="650"/>
      <c r="GS12" s="650"/>
      <c r="GT12" s="650"/>
      <c r="GU12" s="650"/>
      <c r="GV12" s="650"/>
      <c r="GW12" s="650"/>
      <c r="GX12" s="650"/>
      <c r="GY12" s="650"/>
      <c r="GZ12" s="650"/>
      <c r="HA12" s="650"/>
      <c r="HB12" s="650"/>
      <c r="HC12" s="650"/>
      <c r="HD12" s="650"/>
      <c r="HE12" s="650"/>
      <c r="HF12" s="650"/>
      <c r="HG12" s="650"/>
      <c r="HH12" s="650"/>
      <c r="HI12" s="650"/>
      <c r="HJ12" s="650"/>
      <c r="HK12" s="650"/>
      <c r="HL12" s="650"/>
      <c r="HM12" s="650"/>
      <c r="HN12" s="650"/>
      <c r="HO12" s="650"/>
      <c r="HP12" s="650"/>
      <c r="HQ12" s="650"/>
      <c r="HR12" s="650"/>
      <c r="HS12" s="650"/>
      <c r="HT12" s="650"/>
      <c r="HU12" s="650"/>
      <c r="HV12" s="650"/>
      <c r="HW12" s="650"/>
      <c r="HX12" s="650"/>
      <c r="HY12" s="650"/>
      <c r="HZ12" s="650"/>
      <c r="IA12" s="650"/>
      <c r="IB12" s="650"/>
      <c r="IC12" s="650"/>
      <c r="ID12" s="650"/>
      <c r="IE12" s="650"/>
      <c r="IF12" s="650"/>
      <c r="IG12" s="650"/>
      <c r="IH12" s="650"/>
      <c r="II12" s="650"/>
      <c r="IJ12" s="650"/>
      <c r="IK12" s="650"/>
      <c r="IL12" s="650"/>
      <c r="IM12" s="650"/>
      <c r="IN12" s="650"/>
      <c r="IO12" s="650"/>
      <c r="IP12" s="650"/>
      <c r="IQ12" s="650"/>
      <c r="IR12" s="650"/>
      <c r="IS12" s="650"/>
      <c r="IT12" s="650"/>
      <c r="IU12" s="650"/>
      <c r="IV12" s="650"/>
    </row>
    <row r="13" spans="1:256" ht="12.95" customHeight="1">
      <c r="A13" s="650" t="s">
        <v>613</v>
      </c>
      <c r="B13" s="650"/>
      <c r="C13" s="650"/>
      <c r="D13" s="650"/>
      <c r="E13" s="650"/>
      <c r="F13" s="650"/>
      <c r="G13" s="650"/>
      <c r="H13" s="650"/>
      <c r="I13" s="650"/>
      <c r="J13" s="650"/>
      <c r="K13" s="650"/>
      <c r="L13" s="650"/>
      <c r="M13" s="650"/>
      <c r="N13" s="650"/>
      <c r="O13" s="650"/>
      <c r="P13" s="650"/>
      <c r="Q13" s="650"/>
      <c r="R13" s="650"/>
      <c r="S13" s="650"/>
      <c r="T13" s="1907" t="s">
        <v>419</v>
      </c>
      <c r="U13" s="1907"/>
      <c r="V13" s="1907"/>
      <c r="W13" s="1907"/>
      <c r="X13" s="693">
        <f>E17</f>
        <v>1</v>
      </c>
      <c r="Y13" s="660"/>
      <c r="Z13" s="660"/>
      <c r="AA13" s="660"/>
      <c r="AB13" s="660"/>
      <c r="AC13" s="660"/>
      <c r="AD13" s="660"/>
      <c r="AE13" s="660"/>
      <c r="AF13" s="660"/>
      <c r="AG13" s="660"/>
      <c r="AH13" s="650"/>
      <c r="AI13" s="650"/>
      <c r="AJ13" s="650"/>
      <c r="AK13" s="650"/>
      <c r="AL13" s="650"/>
      <c r="AM13" s="650"/>
      <c r="AN13" s="650"/>
      <c r="AO13" s="650"/>
      <c r="AP13" s="650"/>
      <c r="AQ13" s="650"/>
      <c r="AR13" s="650"/>
      <c r="AS13" s="650"/>
      <c r="AT13" s="650"/>
      <c r="AU13" s="650"/>
      <c r="AV13" s="650"/>
      <c r="AW13" s="650"/>
      <c r="AX13" s="650"/>
      <c r="AY13" s="650"/>
      <c r="AZ13" s="650"/>
      <c r="BA13" s="650"/>
      <c r="BB13" s="650"/>
      <c r="BC13" s="650"/>
      <c r="BD13" s="650"/>
      <c r="BE13" s="650"/>
      <c r="BF13" s="650"/>
      <c r="BG13" s="650"/>
      <c r="BH13" s="650"/>
      <c r="BI13" s="650"/>
      <c r="BJ13" s="650"/>
      <c r="BK13" s="650"/>
      <c r="BL13" s="650"/>
      <c r="BM13" s="650"/>
      <c r="BN13" s="650"/>
      <c r="BO13" s="650"/>
      <c r="BP13" s="650"/>
      <c r="BQ13" s="650"/>
      <c r="BR13" s="650"/>
      <c r="BS13" s="650"/>
      <c r="BT13" s="650"/>
      <c r="BU13" s="650"/>
      <c r="BV13" s="650"/>
      <c r="BW13" s="650"/>
      <c r="BX13" s="650"/>
      <c r="BY13" s="650"/>
      <c r="BZ13" s="650"/>
      <c r="CA13" s="650"/>
      <c r="CB13" s="650"/>
      <c r="CC13" s="650"/>
      <c r="CD13" s="650"/>
      <c r="CE13" s="650"/>
      <c r="CF13" s="650"/>
      <c r="CG13" s="650"/>
      <c r="CH13" s="650"/>
      <c r="CI13" s="650"/>
      <c r="CJ13" s="650"/>
      <c r="CK13" s="650"/>
      <c r="CL13" s="650"/>
      <c r="CM13" s="650"/>
      <c r="CN13" s="650"/>
      <c r="CO13" s="650"/>
      <c r="CP13" s="650"/>
      <c r="CQ13" s="650"/>
      <c r="CR13" s="650"/>
      <c r="CS13" s="650"/>
      <c r="CT13" s="650"/>
      <c r="CU13" s="650"/>
      <c r="CV13" s="650"/>
      <c r="CW13" s="650"/>
      <c r="CX13" s="650"/>
      <c r="CY13" s="650"/>
      <c r="CZ13" s="650"/>
      <c r="DA13" s="650"/>
      <c r="DB13" s="650"/>
      <c r="DC13" s="650"/>
      <c r="DD13" s="650"/>
      <c r="DE13" s="650"/>
      <c r="DF13" s="650"/>
      <c r="DG13" s="650"/>
      <c r="DH13" s="650"/>
      <c r="DI13" s="650"/>
      <c r="DJ13" s="650"/>
      <c r="DK13" s="650"/>
      <c r="DL13" s="650"/>
      <c r="DM13" s="650"/>
      <c r="DN13" s="650"/>
      <c r="DO13" s="650"/>
      <c r="DP13" s="650"/>
      <c r="DQ13" s="650"/>
      <c r="DR13" s="650"/>
      <c r="DS13" s="650"/>
      <c r="DT13" s="650"/>
      <c r="DU13" s="650"/>
      <c r="DV13" s="650"/>
      <c r="DW13" s="650"/>
      <c r="DX13" s="650"/>
      <c r="DY13" s="650"/>
      <c r="DZ13" s="650"/>
      <c r="EA13" s="650"/>
      <c r="EB13" s="650"/>
      <c r="EC13" s="650"/>
      <c r="ED13" s="650"/>
      <c r="EE13" s="650"/>
      <c r="EF13" s="650"/>
      <c r="EG13" s="650"/>
      <c r="EH13" s="650"/>
      <c r="EI13" s="650"/>
      <c r="EJ13" s="650"/>
      <c r="EK13" s="650"/>
      <c r="EL13" s="650"/>
      <c r="EM13" s="650"/>
      <c r="EN13" s="650"/>
      <c r="EO13" s="650"/>
      <c r="EP13" s="650"/>
      <c r="EQ13" s="650"/>
      <c r="ER13" s="650"/>
      <c r="ES13" s="650"/>
      <c r="ET13" s="650"/>
      <c r="EU13" s="650"/>
      <c r="EV13" s="650"/>
      <c r="EW13" s="650"/>
      <c r="EX13" s="650"/>
      <c r="EY13" s="650"/>
      <c r="EZ13" s="650"/>
      <c r="FA13" s="650"/>
      <c r="FB13" s="650"/>
      <c r="FC13" s="650"/>
      <c r="FD13" s="650"/>
      <c r="FE13" s="650"/>
      <c r="FF13" s="650"/>
      <c r="FG13" s="650"/>
      <c r="FH13" s="650"/>
      <c r="FI13" s="650"/>
      <c r="FJ13" s="650"/>
      <c r="FK13" s="650"/>
      <c r="FL13" s="650"/>
      <c r="FM13" s="650"/>
      <c r="FN13" s="650"/>
      <c r="FO13" s="650"/>
      <c r="FP13" s="650"/>
      <c r="FQ13" s="650"/>
      <c r="FR13" s="650"/>
      <c r="FS13" s="650"/>
      <c r="FT13" s="650"/>
      <c r="FU13" s="650"/>
      <c r="FV13" s="650"/>
      <c r="FW13" s="650"/>
      <c r="FX13" s="650"/>
      <c r="FY13" s="650"/>
      <c r="FZ13" s="650"/>
      <c r="GA13" s="650"/>
      <c r="GB13" s="650"/>
      <c r="GC13" s="650"/>
      <c r="GD13" s="650"/>
      <c r="GE13" s="650"/>
      <c r="GF13" s="650"/>
      <c r="GG13" s="650"/>
      <c r="GH13" s="650"/>
      <c r="GI13" s="650"/>
      <c r="GJ13" s="650"/>
      <c r="GK13" s="650"/>
      <c r="GL13" s="650"/>
      <c r="GM13" s="650"/>
      <c r="GN13" s="650"/>
      <c r="GO13" s="650"/>
      <c r="GP13" s="650"/>
      <c r="GQ13" s="650"/>
      <c r="GR13" s="650"/>
      <c r="GS13" s="650"/>
      <c r="GT13" s="650"/>
      <c r="GU13" s="650"/>
      <c r="GV13" s="650"/>
      <c r="GW13" s="650"/>
      <c r="GX13" s="650"/>
      <c r="GY13" s="650"/>
      <c r="GZ13" s="650"/>
      <c r="HA13" s="650"/>
      <c r="HB13" s="650"/>
      <c r="HC13" s="650"/>
      <c r="HD13" s="650"/>
      <c r="HE13" s="650"/>
      <c r="HF13" s="650"/>
      <c r="HG13" s="650"/>
      <c r="HH13" s="650"/>
      <c r="HI13" s="650"/>
      <c r="HJ13" s="650"/>
      <c r="HK13" s="650"/>
      <c r="HL13" s="650"/>
      <c r="HM13" s="650"/>
      <c r="HN13" s="650"/>
      <c r="HO13" s="650"/>
      <c r="HP13" s="650"/>
      <c r="HQ13" s="650"/>
      <c r="HR13" s="650"/>
      <c r="HS13" s="650"/>
      <c r="HT13" s="650"/>
      <c r="HU13" s="650"/>
      <c r="HV13" s="650"/>
      <c r="HW13" s="650"/>
      <c r="HX13" s="650"/>
      <c r="HY13" s="650"/>
      <c r="HZ13" s="650"/>
      <c r="IA13" s="650"/>
      <c r="IB13" s="650"/>
      <c r="IC13" s="650"/>
      <c r="ID13" s="650"/>
      <c r="IE13" s="650"/>
      <c r="IF13" s="650"/>
      <c r="IG13" s="650"/>
      <c r="IH13" s="650"/>
      <c r="II13" s="650"/>
      <c r="IJ13" s="650"/>
      <c r="IK13" s="650"/>
      <c r="IL13" s="650"/>
      <c r="IM13" s="650"/>
      <c r="IN13" s="650"/>
      <c r="IO13" s="650"/>
      <c r="IP13" s="650"/>
      <c r="IQ13" s="650"/>
      <c r="IR13" s="650"/>
      <c r="IS13" s="650"/>
      <c r="IT13" s="650"/>
      <c r="IU13" s="650"/>
      <c r="IV13" s="650"/>
    </row>
    <row r="14" spans="1:256" ht="12.95" customHeight="1">
      <c r="A14" s="680" t="s">
        <v>614</v>
      </c>
      <c r="B14" s="650"/>
      <c r="C14" s="694" t="e">
        <f>G15</f>
        <v>#REF!</v>
      </c>
      <c r="D14" s="682">
        <f>IF($C$2="밀집시가지",1.3,IF($C$2="시가지",1.2,IF($C$2="평지",1,IF($C$2="구릉지",1.1,1.3))))</f>
        <v>1.1000000000000001</v>
      </c>
      <c r="E14" s="683" t="e">
        <f>(0.8+3/C14)</f>
        <v>#REF!</v>
      </c>
      <c r="F14" s="683"/>
      <c r="G14" s="684" t="e">
        <f>ROUND(C14/15*D14*E14,2)</f>
        <v>#REF!</v>
      </c>
      <c r="H14" s="241" t="s">
        <v>615</v>
      </c>
      <c r="I14" s="650"/>
      <c r="J14" s="650"/>
      <c r="K14" s="650"/>
      <c r="L14" s="650"/>
      <c r="M14" s="650"/>
      <c r="N14" s="650"/>
      <c r="O14" s="650"/>
      <c r="P14" s="650"/>
      <c r="Q14" s="650"/>
      <c r="R14" s="650"/>
      <c r="S14" s="650"/>
      <c r="T14" s="660" t="s">
        <v>420</v>
      </c>
      <c r="U14" s="660"/>
      <c r="V14" s="660"/>
      <c r="W14" s="660"/>
      <c r="X14" s="660"/>
      <c r="Y14" s="660"/>
      <c r="Z14" s="660"/>
      <c r="AA14" s="660"/>
      <c r="AB14" s="660"/>
      <c r="AC14" s="660"/>
      <c r="AD14" s="660"/>
      <c r="AE14" s="660"/>
      <c r="AF14" s="660"/>
      <c r="AG14" s="660"/>
      <c r="AH14" s="650"/>
      <c r="AI14" s="650"/>
      <c r="AJ14" s="650"/>
      <c r="AK14" s="650"/>
      <c r="AL14" s="650"/>
      <c r="AM14" s="650"/>
      <c r="AN14" s="650"/>
      <c r="AO14" s="650"/>
      <c r="AP14" s="650"/>
      <c r="AQ14" s="650"/>
      <c r="AR14" s="650"/>
      <c r="AS14" s="650"/>
      <c r="AT14" s="650"/>
      <c r="AU14" s="650"/>
      <c r="AV14" s="650"/>
      <c r="AW14" s="650"/>
      <c r="AX14" s="650"/>
      <c r="AY14" s="650"/>
      <c r="AZ14" s="650"/>
      <c r="BA14" s="650"/>
      <c r="BB14" s="650"/>
      <c r="BC14" s="650"/>
      <c r="BD14" s="650"/>
      <c r="BE14" s="650"/>
      <c r="BF14" s="650"/>
      <c r="BG14" s="650"/>
      <c r="BH14" s="650"/>
      <c r="BI14" s="650"/>
      <c r="BJ14" s="650"/>
      <c r="BK14" s="650"/>
      <c r="BL14" s="650"/>
      <c r="BM14" s="650"/>
      <c r="BN14" s="650"/>
      <c r="BO14" s="650"/>
      <c r="BP14" s="650"/>
      <c r="BQ14" s="650"/>
      <c r="BR14" s="650"/>
      <c r="BS14" s="650"/>
      <c r="BT14" s="650"/>
      <c r="BU14" s="650"/>
      <c r="BV14" s="650"/>
      <c r="BW14" s="650"/>
      <c r="BX14" s="650"/>
      <c r="BY14" s="650"/>
      <c r="BZ14" s="650"/>
      <c r="CA14" s="650"/>
      <c r="CB14" s="650"/>
      <c r="CC14" s="650"/>
      <c r="CD14" s="650"/>
      <c r="CE14" s="650"/>
      <c r="CF14" s="650"/>
      <c r="CG14" s="650"/>
      <c r="CH14" s="650"/>
      <c r="CI14" s="650"/>
      <c r="CJ14" s="650"/>
      <c r="CK14" s="650"/>
      <c r="CL14" s="650"/>
      <c r="CM14" s="650"/>
      <c r="CN14" s="650"/>
      <c r="CO14" s="650"/>
      <c r="CP14" s="650"/>
      <c r="CQ14" s="650"/>
      <c r="CR14" s="650"/>
      <c r="CS14" s="650"/>
      <c r="CT14" s="650"/>
      <c r="CU14" s="650"/>
      <c r="CV14" s="650"/>
      <c r="CW14" s="650"/>
      <c r="CX14" s="650"/>
      <c r="CY14" s="650"/>
      <c r="CZ14" s="650"/>
      <c r="DA14" s="650"/>
      <c r="DB14" s="650"/>
      <c r="DC14" s="650"/>
      <c r="DD14" s="650"/>
      <c r="DE14" s="650"/>
      <c r="DF14" s="650"/>
      <c r="DG14" s="650"/>
      <c r="DH14" s="650"/>
      <c r="DI14" s="650"/>
      <c r="DJ14" s="650"/>
      <c r="DK14" s="650"/>
      <c r="DL14" s="650"/>
      <c r="DM14" s="650"/>
      <c r="DN14" s="650"/>
      <c r="DO14" s="650"/>
      <c r="DP14" s="650"/>
      <c r="DQ14" s="650"/>
      <c r="DR14" s="650"/>
      <c r="DS14" s="650"/>
      <c r="DT14" s="650"/>
      <c r="DU14" s="650"/>
      <c r="DV14" s="650"/>
      <c r="DW14" s="650"/>
      <c r="DX14" s="650"/>
      <c r="DY14" s="650"/>
      <c r="DZ14" s="650"/>
      <c r="EA14" s="650"/>
      <c r="EB14" s="650"/>
      <c r="EC14" s="650"/>
      <c r="ED14" s="650"/>
      <c r="EE14" s="650"/>
      <c r="EF14" s="650"/>
      <c r="EG14" s="650"/>
      <c r="EH14" s="650"/>
      <c r="EI14" s="650"/>
      <c r="EJ14" s="650"/>
      <c r="EK14" s="650"/>
      <c r="EL14" s="650"/>
      <c r="EM14" s="650"/>
      <c r="EN14" s="650"/>
      <c r="EO14" s="650"/>
      <c r="EP14" s="650"/>
      <c r="EQ14" s="650"/>
      <c r="ER14" s="650"/>
      <c r="ES14" s="650"/>
      <c r="ET14" s="650"/>
      <c r="EU14" s="650"/>
      <c r="EV14" s="650"/>
      <c r="EW14" s="650"/>
      <c r="EX14" s="650"/>
      <c r="EY14" s="650"/>
      <c r="EZ14" s="650"/>
      <c r="FA14" s="650"/>
      <c r="FB14" s="650"/>
      <c r="FC14" s="650"/>
      <c r="FD14" s="650"/>
      <c r="FE14" s="650"/>
      <c r="FF14" s="650"/>
      <c r="FG14" s="650"/>
      <c r="FH14" s="650"/>
      <c r="FI14" s="650"/>
      <c r="FJ14" s="650"/>
      <c r="FK14" s="650"/>
      <c r="FL14" s="650"/>
      <c r="FM14" s="650"/>
      <c r="FN14" s="650"/>
      <c r="FO14" s="650"/>
      <c r="FP14" s="650"/>
      <c r="FQ14" s="650"/>
      <c r="FR14" s="650"/>
      <c r="FS14" s="650"/>
      <c r="FT14" s="650"/>
      <c r="FU14" s="650"/>
      <c r="FV14" s="650"/>
      <c r="FW14" s="650"/>
      <c r="FX14" s="650"/>
      <c r="FY14" s="650"/>
      <c r="FZ14" s="650"/>
      <c r="GA14" s="650"/>
      <c r="GB14" s="650"/>
      <c r="GC14" s="650"/>
      <c r="GD14" s="650"/>
      <c r="GE14" s="650"/>
      <c r="GF14" s="650"/>
      <c r="GG14" s="650"/>
      <c r="GH14" s="650"/>
      <c r="GI14" s="650"/>
      <c r="GJ14" s="650"/>
      <c r="GK14" s="650"/>
      <c r="GL14" s="650"/>
      <c r="GM14" s="650"/>
      <c r="GN14" s="650"/>
      <c r="GO14" s="650"/>
      <c r="GP14" s="650"/>
      <c r="GQ14" s="650"/>
      <c r="GR14" s="650"/>
      <c r="GS14" s="650"/>
      <c r="GT14" s="650"/>
      <c r="GU14" s="650"/>
      <c r="GV14" s="650"/>
      <c r="GW14" s="650"/>
      <c r="GX14" s="650"/>
      <c r="GY14" s="650"/>
      <c r="GZ14" s="650"/>
      <c r="HA14" s="650"/>
      <c r="HB14" s="650"/>
      <c r="HC14" s="650"/>
      <c r="HD14" s="650"/>
      <c r="HE14" s="650"/>
      <c r="HF14" s="650"/>
      <c r="HG14" s="650"/>
      <c r="HH14" s="650"/>
      <c r="HI14" s="650"/>
      <c r="HJ14" s="650"/>
      <c r="HK14" s="650"/>
      <c r="HL14" s="650"/>
      <c r="HM14" s="650"/>
      <c r="HN14" s="650"/>
      <c r="HO14" s="650"/>
      <c r="HP14" s="650"/>
      <c r="HQ14" s="650"/>
      <c r="HR14" s="650"/>
      <c r="HS14" s="650"/>
      <c r="HT14" s="650"/>
      <c r="HU14" s="650"/>
      <c r="HV14" s="650"/>
      <c r="HW14" s="650"/>
      <c r="HX14" s="650"/>
      <c r="HY14" s="650"/>
      <c r="HZ14" s="650"/>
      <c r="IA14" s="650"/>
      <c r="IB14" s="650"/>
      <c r="IC14" s="650"/>
      <c r="ID14" s="650"/>
      <c r="IE14" s="650"/>
      <c r="IF14" s="650"/>
      <c r="IG14" s="650"/>
      <c r="IH14" s="650"/>
      <c r="II14" s="650"/>
      <c r="IJ14" s="650"/>
      <c r="IK14" s="650"/>
      <c r="IL14" s="650"/>
      <c r="IM14" s="650"/>
      <c r="IN14" s="650"/>
      <c r="IO14" s="650"/>
      <c r="IP14" s="650"/>
      <c r="IQ14" s="650"/>
      <c r="IR14" s="650"/>
      <c r="IS14" s="650"/>
      <c r="IT14" s="650"/>
      <c r="IU14" s="650"/>
      <c r="IV14" s="650"/>
    </row>
    <row r="15" spans="1:256" ht="12.95" customHeight="1">
      <c r="A15" s="680" t="s">
        <v>616</v>
      </c>
      <c r="B15" s="650"/>
      <c r="C15" s="1593" t="e">
        <f>F3</f>
        <v>#REF!</v>
      </c>
      <c r="D15" s="1594" t="e">
        <f>I3</f>
        <v>#REF!</v>
      </c>
      <c r="E15" s="1594" t="e">
        <f>L3</f>
        <v>#REF!</v>
      </c>
      <c r="F15" s="1594" t="e">
        <f>O3</f>
        <v>#REF!</v>
      </c>
      <c r="G15" s="684" t="e">
        <f>ROUND((1000*F3+500*I3+200*L3+50*O3)/1000,2)</f>
        <v>#REF!</v>
      </c>
      <c r="H15" s="650" t="s">
        <v>617</v>
      </c>
      <c r="I15" s="650"/>
      <c r="J15" s="650"/>
      <c r="K15" s="650"/>
      <c r="L15" s="650"/>
      <c r="M15" s="650"/>
      <c r="N15" s="650"/>
      <c r="O15" s="650"/>
      <c r="P15" s="650"/>
      <c r="Q15" s="650"/>
      <c r="R15" s="650"/>
      <c r="S15" s="650"/>
      <c r="T15" s="660"/>
      <c r="U15" s="695" t="s">
        <v>421</v>
      </c>
      <c r="V15" s="695" t="s">
        <v>422</v>
      </c>
      <c r="W15" s="1904" t="s">
        <v>423</v>
      </c>
      <c r="X15" s="1904"/>
      <c r="Y15" s="1904" t="s">
        <v>424</v>
      </c>
      <c r="Z15" s="1904"/>
      <c r="AA15" s="1904" t="s">
        <v>425</v>
      </c>
      <c r="AB15" s="1904"/>
      <c r="AC15" s="1904" t="s">
        <v>426</v>
      </c>
      <c r="AD15" s="1904"/>
      <c r="AE15" s="662"/>
      <c r="AF15" s="660"/>
      <c r="AG15" s="660"/>
      <c r="AH15" s="650"/>
      <c r="AI15" s="650"/>
      <c r="AJ15" s="650"/>
      <c r="AK15" s="650"/>
      <c r="AL15" s="650"/>
      <c r="AM15" s="650"/>
      <c r="AN15" s="650"/>
      <c r="AO15" s="650"/>
      <c r="AP15" s="650"/>
      <c r="AQ15" s="650"/>
      <c r="AR15" s="650"/>
      <c r="AS15" s="650"/>
      <c r="AT15" s="650"/>
      <c r="AU15" s="650"/>
      <c r="AV15" s="650"/>
      <c r="AW15" s="650"/>
      <c r="AX15" s="650"/>
      <c r="AY15" s="650"/>
      <c r="AZ15" s="650"/>
      <c r="BA15" s="650"/>
      <c r="BB15" s="650"/>
      <c r="BC15" s="650"/>
      <c r="BD15" s="650"/>
      <c r="BE15" s="650"/>
      <c r="BF15" s="650"/>
      <c r="BG15" s="650"/>
      <c r="BH15" s="650"/>
      <c r="BI15" s="650"/>
      <c r="BJ15" s="650"/>
      <c r="BK15" s="650"/>
      <c r="BL15" s="650"/>
      <c r="BM15" s="650"/>
      <c r="BN15" s="650"/>
      <c r="BO15" s="650"/>
      <c r="BP15" s="650"/>
      <c r="BQ15" s="650"/>
      <c r="BR15" s="650"/>
      <c r="BS15" s="650"/>
      <c r="BT15" s="650"/>
      <c r="BU15" s="650"/>
      <c r="BV15" s="650"/>
      <c r="BW15" s="650"/>
      <c r="BX15" s="650"/>
      <c r="BY15" s="650"/>
      <c r="BZ15" s="650"/>
      <c r="CA15" s="650"/>
      <c r="CB15" s="650"/>
      <c r="CC15" s="650"/>
      <c r="CD15" s="650"/>
      <c r="CE15" s="650"/>
      <c r="CF15" s="650"/>
      <c r="CG15" s="650"/>
      <c r="CH15" s="650"/>
      <c r="CI15" s="650"/>
      <c r="CJ15" s="650"/>
      <c r="CK15" s="650"/>
      <c r="CL15" s="650"/>
      <c r="CM15" s="650"/>
      <c r="CN15" s="650"/>
      <c r="CO15" s="650"/>
      <c r="CP15" s="650"/>
      <c r="CQ15" s="650"/>
      <c r="CR15" s="650"/>
      <c r="CS15" s="650"/>
      <c r="CT15" s="650"/>
      <c r="CU15" s="650"/>
      <c r="CV15" s="650"/>
      <c r="CW15" s="650"/>
      <c r="CX15" s="650"/>
      <c r="CY15" s="650"/>
      <c r="CZ15" s="650"/>
      <c r="DA15" s="650"/>
      <c r="DB15" s="650"/>
      <c r="DC15" s="650"/>
      <c r="DD15" s="650"/>
      <c r="DE15" s="650"/>
      <c r="DF15" s="650"/>
      <c r="DG15" s="650"/>
      <c r="DH15" s="650"/>
      <c r="DI15" s="650"/>
      <c r="DJ15" s="650"/>
      <c r="DK15" s="650"/>
      <c r="DL15" s="650"/>
      <c r="DM15" s="650"/>
      <c r="DN15" s="650"/>
      <c r="DO15" s="650"/>
      <c r="DP15" s="650"/>
      <c r="DQ15" s="650"/>
      <c r="DR15" s="650"/>
      <c r="DS15" s="650"/>
      <c r="DT15" s="650"/>
      <c r="DU15" s="650"/>
      <c r="DV15" s="650"/>
      <c r="DW15" s="650"/>
      <c r="DX15" s="650"/>
      <c r="DY15" s="650"/>
      <c r="DZ15" s="650"/>
      <c r="EA15" s="650"/>
      <c r="EB15" s="650"/>
      <c r="EC15" s="650"/>
      <c r="ED15" s="650"/>
      <c r="EE15" s="650"/>
      <c r="EF15" s="650"/>
      <c r="EG15" s="650"/>
      <c r="EH15" s="650"/>
      <c r="EI15" s="650"/>
      <c r="EJ15" s="650"/>
      <c r="EK15" s="650"/>
      <c r="EL15" s="650"/>
      <c r="EM15" s="650"/>
      <c r="EN15" s="650"/>
      <c r="EO15" s="650"/>
      <c r="EP15" s="650"/>
      <c r="EQ15" s="650"/>
      <c r="ER15" s="650"/>
      <c r="ES15" s="650"/>
      <c r="ET15" s="650"/>
      <c r="EU15" s="650"/>
      <c r="EV15" s="650"/>
      <c r="EW15" s="650"/>
      <c r="EX15" s="650"/>
      <c r="EY15" s="650"/>
      <c r="EZ15" s="650"/>
      <c r="FA15" s="650"/>
      <c r="FB15" s="650"/>
      <c r="FC15" s="650"/>
      <c r="FD15" s="650"/>
      <c r="FE15" s="650"/>
      <c r="FF15" s="650"/>
      <c r="FG15" s="650"/>
      <c r="FH15" s="650"/>
      <c r="FI15" s="650"/>
      <c r="FJ15" s="650"/>
      <c r="FK15" s="650"/>
      <c r="FL15" s="650"/>
      <c r="FM15" s="650"/>
      <c r="FN15" s="650"/>
      <c r="FO15" s="650"/>
      <c r="FP15" s="650"/>
      <c r="FQ15" s="650"/>
      <c r="FR15" s="650"/>
      <c r="FS15" s="650"/>
      <c r="FT15" s="650"/>
      <c r="FU15" s="650"/>
      <c r="FV15" s="650"/>
      <c r="FW15" s="650"/>
      <c r="FX15" s="650"/>
      <c r="FY15" s="650"/>
      <c r="FZ15" s="650"/>
      <c r="GA15" s="650"/>
      <c r="GB15" s="650"/>
      <c r="GC15" s="650"/>
      <c r="GD15" s="650"/>
      <c r="GE15" s="650"/>
      <c r="GF15" s="650"/>
      <c r="GG15" s="650"/>
      <c r="GH15" s="650"/>
      <c r="GI15" s="650"/>
      <c r="GJ15" s="650"/>
      <c r="GK15" s="650"/>
      <c r="GL15" s="650"/>
      <c r="GM15" s="650"/>
      <c r="GN15" s="650"/>
      <c r="GO15" s="650"/>
      <c r="GP15" s="650"/>
      <c r="GQ15" s="650"/>
      <c r="GR15" s="650"/>
      <c r="GS15" s="650"/>
      <c r="GT15" s="650"/>
      <c r="GU15" s="650"/>
      <c r="GV15" s="650"/>
      <c r="GW15" s="650"/>
      <c r="GX15" s="650"/>
      <c r="GY15" s="650"/>
      <c r="GZ15" s="650"/>
      <c r="HA15" s="650"/>
      <c r="HB15" s="650"/>
      <c r="HC15" s="650"/>
      <c r="HD15" s="650"/>
      <c r="HE15" s="650"/>
      <c r="HF15" s="650"/>
      <c r="HG15" s="650"/>
      <c r="HH15" s="650"/>
      <c r="HI15" s="650"/>
      <c r="HJ15" s="650"/>
      <c r="HK15" s="650"/>
      <c r="HL15" s="650"/>
      <c r="HM15" s="650"/>
      <c r="HN15" s="650"/>
      <c r="HO15" s="650"/>
      <c r="HP15" s="650"/>
      <c r="HQ15" s="650"/>
      <c r="HR15" s="650"/>
      <c r="HS15" s="650"/>
      <c r="HT15" s="650"/>
      <c r="HU15" s="650"/>
      <c r="HV15" s="650"/>
      <c r="HW15" s="650"/>
      <c r="HX15" s="650"/>
      <c r="HY15" s="650"/>
      <c r="HZ15" s="650"/>
      <c r="IA15" s="650"/>
      <c r="IB15" s="650"/>
      <c r="IC15" s="650"/>
      <c r="ID15" s="650"/>
      <c r="IE15" s="650"/>
      <c r="IF15" s="650"/>
      <c r="IG15" s="650"/>
      <c r="IH15" s="650"/>
      <c r="II15" s="650"/>
      <c r="IJ15" s="650"/>
      <c r="IK15" s="650"/>
      <c r="IL15" s="650"/>
      <c r="IM15" s="650"/>
      <c r="IN15" s="650"/>
      <c r="IO15" s="650"/>
      <c r="IP15" s="650"/>
      <c r="IQ15" s="650"/>
      <c r="IR15" s="650"/>
      <c r="IS15" s="650"/>
      <c r="IT15" s="650"/>
      <c r="IU15" s="650"/>
      <c r="IV15" s="650"/>
    </row>
    <row r="16" spans="1:256" ht="12.95" customHeight="1">
      <c r="A16" s="650" t="s">
        <v>618</v>
      </c>
      <c r="B16" s="650"/>
      <c r="C16" s="696"/>
      <c r="D16" s="680"/>
      <c r="E16" s="680"/>
      <c r="F16" s="683"/>
      <c r="G16" s="684"/>
      <c r="H16" s="650"/>
      <c r="I16" s="650"/>
      <c r="J16" s="650"/>
      <c r="K16" s="650"/>
      <c r="L16" s="650"/>
      <c r="M16" s="650"/>
      <c r="N16" s="650"/>
      <c r="O16" s="650"/>
      <c r="P16" s="650"/>
      <c r="Q16" s="650"/>
      <c r="R16" s="650"/>
      <c r="S16" s="650"/>
      <c r="T16" s="660"/>
      <c r="U16" s="695" t="s">
        <v>427</v>
      </c>
      <c r="V16" s="697">
        <v>1.6</v>
      </c>
      <c r="W16" s="1905">
        <v>1</v>
      </c>
      <c r="X16" s="1905"/>
      <c r="Y16" s="1906">
        <v>0.65</v>
      </c>
      <c r="Z16" s="1906"/>
      <c r="AA16" s="1906">
        <v>0.54</v>
      </c>
      <c r="AB16" s="1906"/>
      <c r="AC16" s="1906"/>
      <c r="AD16" s="1906"/>
      <c r="AE16" s="660"/>
      <c r="AF16" s="660"/>
      <c r="AG16" s="660"/>
      <c r="AH16" s="650"/>
      <c r="AI16" s="650"/>
      <c r="AJ16" s="650"/>
      <c r="AK16" s="650"/>
      <c r="AL16" s="650"/>
      <c r="AM16" s="650"/>
      <c r="AN16" s="650"/>
      <c r="AO16" s="650"/>
      <c r="AP16" s="650"/>
      <c r="AQ16" s="650"/>
      <c r="AR16" s="650"/>
      <c r="AS16" s="650"/>
      <c r="AT16" s="650"/>
      <c r="AU16" s="650"/>
      <c r="AV16" s="650"/>
      <c r="AW16" s="650"/>
      <c r="AX16" s="650"/>
      <c r="AY16" s="650"/>
      <c r="AZ16" s="650"/>
      <c r="BA16" s="650"/>
      <c r="BB16" s="650"/>
      <c r="BC16" s="650"/>
      <c r="BD16" s="650"/>
      <c r="BE16" s="650"/>
      <c r="BF16" s="650"/>
      <c r="BG16" s="650"/>
      <c r="BH16" s="650"/>
      <c r="BI16" s="650"/>
      <c r="BJ16" s="650"/>
      <c r="BK16" s="650"/>
      <c r="BL16" s="650"/>
      <c r="BM16" s="650"/>
      <c r="BN16" s="650"/>
      <c r="BO16" s="650"/>
      <c r="BP16" s="650"/>
      <c r="BQ16" s="650"/>
      <c r="BR16" s="650"/>
      <c r="BS16" s="650"/>
      <c r="BT16" s="650"/>
      <c r="BU16" s="650"/>
      <c r="BV16" s="650"/>
      <c r="BW16" s="650"/>
      <c r="BX16" s="650"/>
      <c r="BY16" s="650"/>
      <c r="BZ16" s="650"/>
      <c r="CA16" s="650"/>
      <c r="CB16" s="650"/>
      <c r="CC16" s="650"/>
      <c r="CD16" s="650"/>
      <c r="CE16" s="650"/>
      <c r="CF16" s="650"/>
      <c r="CG16" s="650"/>
      <c r="CH16" s="650"/>
      <c r="CI16" s="650"/>
      <c r="CJ16" s="650"/>
      <c r="CK16" s="650"/>
      <c r="CL16" s="650"/>
      <c r="CM16" s="650"/>
      <c r="CN16" s="650"/>
      <c r="CO16" s="650"/>
      <c r="CP16" s="650"/>
      <c r="CQ16" s="650"/>
      <c r="CR16" s="650"/>
      <c r="CS16" s="650"/>
      <c r="CT16" s="650"/>
      <c r="CU16" s="650"/>
      <c r="CV16" s="650"/>
      <c r="CW16" s="650"/>
      <c r="CX16" s="650"/>
      <c r="CY16" s="650"/>
      <c r="CZ16" s="650"/>
      <c r="DA16" s="650"/>
      <c r="DB16" s="650"/>
      <c r="DC16" s="650"/>
      <c r="DD16" s="650"/>
      <c r="DE16" s="650"/>
      <c r="DF16" s="650"/>
      <c r="DG16" s="650"/>
      <c r="DH16" s="650"/>
      <c r="DI16" s="650"/>
      <c r="DJ16" s="650"/>
      <c r="DK16" s="650"/>
      <c r="DL16" s="650"/>
      <c r="DM16" s="650"/>
      <c r="DN16" s="650"/>
      <c r="DO16" s="650"/>
      <c r="DP16" s="650"/>
      <c r="DQ16" s="650"/>
      <c r="DR16" s="650"/>
      <c r="DS16" s="650"/>
      <c r="DT16" s="650"/>
      <c r="DU16" s="650"/>
      <c r="DV16" s="650"/>
      <c r="DW16" s="650"/>
      <c r="DX16" s="650"/>
      <c r="DY16" s="650"/>
      <c r="DZ16" s="650"/>
      <c r="EA16" s="650"/>
      <c r="EB16" s="650"/>
      <c r="EC16" s="650"/>
      <c r="ED16" s="650"/>
      <c r="EE16" s="650"/>
      <c r="EF16" s="650"/>
      <c r="EG16" s="650"/>
      <c r="EH16" s="650"/>
      <c r="EI16" s="650"/>
      <c r="EJ16" s="650"/>
      <c r="EK16" s="650"/>
      <c r="EL16" s="650"/>
      <c r="EM16" s="650"/>
      <c r="EN16" s="650"/>
      <c r="EO16" s="650"/>
      <c r="EP16" s="650"/>
      <c r="EQ16" s="650"/>
      <c r="ER16" s="650"/>
      <c r="ES16" s="650"/>
      <c r="ET16" s="650"/>
      <c r="EU16" s="650"/>
      <c r="EV16" s="650"/>
      <c r="EW16" s="650"/>
      <c r="EX16" s="650"/>
      <c r="EY16" s="650"/>
      <c r="EZ16" s="650"/>
      <c r="FA16" s="650"/>
      <c r="FB16" s="650"/>
      <c r="FC16" s="650"/>
      <c r="FD16" s="650"/>
      <c r="FE16" s="650"/>
      <c r="FF16" s="650"/>
      <c r="FG16" s="650"/>
      <c r="FH16" s="650"/>
      <c r="FI16" s="650"/>
      <c r="FJ16" s="650"/>
      <c r="FK16" s="650"/>
      <c r="FL16" s="650"/>
      <c r="FM16" s="650"/>
      <c r="FN16" s="650"/>
      <c r="FO16" s="650"/>
      <c r="FP16" s="650"/>
      <c r="FQ16" s="650"/>
      <c r="FR16" s="650"/>
      <c r="FS16" s="650"/>
      <c r="FT16" s="650"/>
      <c r="FU16" s="650"/>
      <c r="FV16" s="650"/>
      <c r="FW16" s="650"/>
      <c r="FX16" s="650"/>
      <c r="FY16" s="650"/>
      <c r="FZ16" s="650"/>
      <c r="GA16" s="650"/>
      <c r="GB16" s="650"/>
      <c r="GC16" s="650"/>
      <c r="GD16" s="650"/>
      <c r="GE16" s="650"/>
      <c r="GF16" s="650"/>
      <c r="GG16" s="650"/>
      <c r="GH16" s="650"/>
      <c r="GI16" s="650"/>
      <c r="GJ16" s="650"/>
      <c r="GK16" s="650"/>
      <c r="GL16" s="650"/>
      <c r="GM16" s="650"/>
      <c r="GN16" s="650"/>
      <c r="GO16" s="650"/>
      <c r="GP16" s="650"/>
      <c r="GQ16" s="650"/>
      <c r="GR16" s="650"/>
      <c r="GS16" s="650"/>
      <c r="GT16" s="650"/>
      <c r="GU16" s="650"/>
      <c r="GV16" s="650"/>
      <c r="GW16" s="650"/>
      <c r="GX16" s="650"/>
      <c r="GY16" s="650"/>
      <c r="GZ16" s="650"/>
      <c r="HA16" s="650"/>
      <c r="HB16" s="650"/>
      <c r="HC16" s="650"/>
      <c r="HD16" s="650"/>
      <c r="HE16" s="650"/>
      <c r="HF16" s="650"/>
      <c r="HG16" s="650"/>
      <c r="HH16" s="650"/>
      <c r="HI16" s="650"/>
      <c r="HJ16" s="650"/>
      <c r="HK16" s="650"/>
      <c r="HL16" s="650"/>
      <c r="HM16" s="650"/>
      <c r="HN16" s="650"/>
      <c r="HO16" s="650"/>
      <c r="HP16" s="650"/>
      <c r="HQ16" s="650"/>
      <c r="HR16" s="650"/>
      <c r="HS16" s="650"/>
      <c r="HT16" s="650"/>
      <c r="HU16" s="650"/>
      <c r="HV16" s="650"/>
      <c r="HW16" s="650"/>
      <c r="HX16" s="650"/>
      <c r="HY16" s="650"/>
      <c r="HZ16" s="650"/>
      <c r="IA16" s="650"/>
      <c r="IB16" s="650"/>
      <c r="IC16" s="650"/>
      <c r="ID16" s="650"/>
      <c r="IE16" s="650"/>
      <c r="IF16" s="650"/>
      <c r="IG16" s="650"/>
      <c r="IH16" s="650"/>
      <c r="II16" s="650"/>
      <c r="IJ16" s="650"/>
      <c r="IK16" s="650"/>
      <c r="IL16" s="650"/>
      <c r="IM16" s="650"/>
      <c r="IN16" s="650"/>
      <c r="IO16" s="650"/>
      <c r="IP16" s="650"/>
      <c r="IQ16" s="650"/>
      <c r="IR16" s="650"/>
      <c r="IS16" s="650"/>
      <c r="IT16" s="650"/>
      <c r="IU16" s="650"/>
      <c r="IV16" s="650"/>
    </row>
    <row r="17" spans="1:256" ht="12.95" customHeight="1">
      <c r="A17" s="680" t="s">
        <v>619</v>
      </c>
      <c r="B17" s="650"/>
      <c r="C17" s="696" t="e">
        <f>ROUND(D39/10000,2)</f>
        <v>#REF!</v>
      </c>
      <c r="D17" s="682">
        <f>VLOOKUP(C2,$U$7:$V$11,2,0)</f>
        <v>1.25</v>
      </c>
      <c r="E17" s="682">
        <f>HLOOKUP(C3,$V$15:$AB$16,2,0)</f>
        <v>1</v>
      </c>
      <c r="F17" s="683" t="e">
        <f>X18</f>
        <v>#REF!</v>
      </c>
      <c r="G17" s="684" t="e">
        <f>ROUND(C17/10*D17*E17*F17,2)</f>
        <v>#REF!</v>
      </c>
      <c r="H17" s="241" t="s">
        <v>620</v>
      </c>
      <c r="I17" s="650"/>
      <c r="J17" s="650"/>
      <c r="K17" s="650"/>
      <c r="L17" s="650" t="s">
        <v>621</v>
      </c>
      <c r="M17" s="650"/>
      <c r="N17" s="650"/>
      <c r="O17" s="650"/>
      <c r="P17" s="650"/>
      <c r="Q17" s="650"/>
      <c r="R17" s="650"/>
      <c r="S17" s="650"/>
      <c r="T17" s="660"/>
      <c r="U17" s="660"/>
      <c r="V17" s="660"/>
      <c r="W17" s="660"/>
      <c r="X17" s="660"/>
      <c r="Y17" s="698"/>
      <c r="Z17" s="698"/>
      <c r="AA17" s="698"/>
      <c r="AB17" s="698"/>
      <c r="AC17" s="698"/>
      <c r="AD17" s="698"/>
      <c r="AE17" s="660"/>
      <c r="AF17" s="660"/>
      <c r="AG17" s="660"/>
      <c r="AH17" s="650"/>
      <c r="AI17" s="650"/>
      <c r="AJ17" s="650"/>
      <c r="AK17" s="650"/>
      <c r="AL17" s="650"/>
      <c r="AM17" s="650"/>
      <c r="AN17" s="650"/>
      <c r="AO17" s="650"/>
      <c r="AP17" s="650"/>
      <c r="AQ17" s="650"/>
      <c r="AR17" s="650"/>
      <c r="AS17" s="650"/>
      <c r="AT17" s="650"/>
      <c r="AU17" s="650"/>
      <c r="AV17" s="650"/>
      <c r="AW17" s="650"/>
      <c r="AX17" s="650"/>
      <c r="AY17" s="650"/>
      <c r="AZ17" s="650"/>
      <c r="BA17" s="650"/>
      <c r="BB17" s="650"/>
      <c r="BC17" s="650"/>
      <c r="BD17" s="650"/>
      <c r="BE17" s="650"/>
      <c r="BF17" s="650"/>
      <c r="BG17" s="650"/>
      <c r="BH17" s="650"/>
      <c r="BI17" s="650"/>
      <c r="BJ17" s="650"/>
      <c r="BK17" s="650"/>
      <c r="BL17" s="650"/>
      <c r="BM17" s="650"/>
      <c r="BN17" s="650"/>
      <c r="BO17" s="650"/>
      <c r="BP17" s="650"/>
      <c r="BQ17" s="650"/>
      <c r="BR17" s="650"/>
      <c r="BS17" s="650"/>
      <c r="BT17" s="650"/>
      <c r="BU17" s="650"/>
      <c r="BV17" s="650"/>
      <c r="BW17" s="650"/>
      <c r="BX17" s="650"/>
      <c r="BY17" s="650"/>
      <c r="BZ17" s="650"/>
      <c r="CA17" s="650"/>
      <c r="CB17" s="650"/>
      <c r="CC17" s="650"/>
      <c r="CD17" s="650"/>
      <c r="CE17" s="650"/>
      <c r="CF17" s="650"/>
      <c r="CG17" s="650"/>
      <c r="CH17" s="650"/>
      <c r="CI17" s="650"/>
      <c r="CJ17" s="650"/>
      <c r="CK17" s="650"/>
      <c r="CL17" s="650"/>
      <c r="CM17" s="650"/>
      <c r="CN17" s="650"/>
      <c r="CO17" s="650"/>
      <c r="CP17" s="650"/>
      <c r="CQ17" s="650"/>
      <c r="CR17" s="650"/>
      <c r="CS17" s="650"/>
      <c r="CT17" s="650"/>
      <c r="CU17" s="650"/>
      <c r="CV17" s="650"/>
      <c r="CW17" s="650"/>
      <c r="CX17" s="650"/>
      <c r="CY17" s="650"/>
      <c r="CZ17" s="650"/>
      <c r="DA17" s="650"/>
      <c r="DB17" s="650"/>
      <c r="DC17" s="650"/>
      <c r="DD17" s="650"/>
      <c r="DE17" s="650"/>
      <c r="DF17" s="650"/>
      <c r="DG17" s="650"/>
      <c r="DH17" s="650"/>
      <c r="DI17" s="650"/>
      <c r="DJ17" s="650"/>
      <c r="DK17" s="650"/>
      <c r="DL17" s="650"/>
      <c r="DM17" s="650"/>
      <c r="DN17" s="650"/>
      <c r="DO17" s="650"/>
      <c r="DP17" s="650"/>
      <c r="DQ17" s="650"/>
      <c r="DR17" s="650"/>
      <c r="DS17" s="650"/>
      <c r="DT17" s="650"/>
      <c r="DU17" s="650"/>
      <c r="DV17" s="650"/>
      <c r="DW17" s="650"/>
      <c r="DX17" s="650"/>
      <c r="DY17" s="650"/>
      <c r="DZ17" s="650"/>
      <c r="EA17" s="650"/>
      <c r="EB17" s="650"/>
      <c r="EC17" s="650"/>
      <c r="ED17" s="650"/>
      <c r="EE17" s="650"/>
      <c r="EF17" s="650"/>
      <c r="EG17" s="650"/>
      <c r="EH17" s="650"/>
      <c r="EI17" s="650"/>
      <c r="EJ17" s="650"/>
      <c r="EK17" s="650"/>
      <c r="EL17" s="650"/>
      <c r="EM17" s="650"/>
      <c r="EN17" s="650"/>
      <c r="EO17" s="650"/>
      <c r="EP17" s="650"/>
      <c r="EQ17" s="650"/>
      <c r="ER17" s="650"/>
      <c r="ES17" s="650"/>
      <c r="ET17" s="650"/>
      <c r="EU17" s="650"/>
      <c r="EV17" s="650"/>
      <c r="EW17" s="650"/>
      <c r="EX17" s="650"/>
      <c r="EY17" s="650"/>
      <c r="EZ17" s="650"/>
      <c r="FA17" s="650"/>
      <c r="FB17" s="650"/>
      <c r="FC17" s="650"/>
      <c r="FD17" s="650"/>
      <c r="FE17" s="650"/>
      <c r="FF17" s="650"/>
      <c r="FG17" s="650"/>
      <c r="FH17" s="650"/>
      <c r="FI17" s="650"/>
      <c r="FJ17" s="650"/>
      <c r="FK17" s="650"/>
      <c r="FL17" s="650"/>
      <c r="FM17" s="650"/>
      <c r="FN17" s="650"/>
      <c r="FO17" s="650"/>
      <c r="FP17" s="650"/>
      <c r="FQ17" s="650"/>
      <c r="FR17" s="650"/>
      <c r="FS17" s="650"/>
      <c r="FT17" s="650"/>
      <c r="FU17" s="650"/>
      <c r="FV17" s="650"/>
      <c r="FW17" s="650"/>
      <c r="FX17" s="650"/>
      <c r="FY17" s="650"/>
      <c r="FZ17" s="650"/>
      <c r="GA17" s="650"/>
      <c r="GB17" s="650"/>
      <c r="GC17" s="650"/>
      <c r="GD17" s="650"/>
      <c r="GE17" s="650"/>
      <c r="GF17" s="650"/>
      <c r="GG17" s="650"/>
      <c r="GH17" s="650"/>
      <c r="GI17" s="650"/>
      <c r="GJ17" s="650"/>
      <c r="GK17" s="650"/>
      <c r="GL17" s="650"/>
      <c r="GM17" s="650"/>
      <c r="GN17" s="650"/>
      <c r="GO17" s="650"/>
      <c r="GP17" s="650"/>
      <c r="GQ17" s="650"/>
      <c r="GR17" s="650"/>
      <c r="GS17" s="650"/>
      <c r="GT17" s="650"/>
      <c r="GU17" s="650"/>
      <c r="GV17" s="650"/>
      <c r="GW17" s="650"/>
      <c r="GX17" s="650"/>
      <c r="GY17" s="650"/>
      <c r="GZ17" s="650"/>
      <c r="HA17" s="650"/>
      <c r="HB17" s="650"/>
      <c r="HC17" s="650"/>
      <c r="HD17" s="650"/>
      <c r="HE17" s="650"/>
      <c r="HF17" s="650"/>
      <c r="HG17" s="650"/>
      <c r="HH17" s="650"/>
      <c r="HI17" s="650"/>
      <c r="HJ17" s="650"/>
      <c r="HK17" s="650"/>
      <c r="HL17" s="650"/>
      <c r="HM17" s="650"/>
      <c r="HN17" s="650"/>
      <c r="HO17" s="650"/>
      <c r="HP17" s="650"/>
      <c r="HQ17" s="650"/>
      <c r="HR17" s="650"/>
      <c r="HS17" s="650"/>
      <c r="HT17" s="650"/>
      <c r="HU17" s="650"/>
      <c r="HV17" s="650"/>
      <c r="HW17" s="650"/>
      <c r="HX17" s="650"/>
      <c r="HY17" s="650"/>
      <c r="HZ17" s="650"/>
      <c r="IA17" s="650"/>
      <c r="IB17" s="650"/>
      <c r="IC17" s="650"/>
      <c r="ID17" s="650"/>
      <c r="IE17" s="650"/>
      <c r="IF17" s="650"/>
      <c r="IG17" s="650"/>
      <c r="IH17" s="650"/>
      <c r="II17" s="650"/>
      <c r="IJ17" s="650"/>
      <c r="IK17" s="650"/>
      <c r="IL17" s="650"/>
      <c r="IM17" s="650"/>
      <c r="IN17" s="650"/>
      <c r="IO17" s="650"/>
      <c r="IP17" s="650"/>
      <c r="IQ17" s="650"/>
      <c r="IR17" s="650"/>
      <c r="IS17" s="650"/>
      <c r="IT17" s="650"/>
      <c r="IU17" s="650"/>
      <c r="IV17" s="650"/>
    </row>
    <row r="18" spans="1:256" ht="12.95" customHeight="1">
      <c r="A18" s="650"/>
      <c r="B18" s="650"/>
      <c r="C18" s="650"/>
      <c r="D18" s="650"/>
      <c r="E18" s="650"/>
      <c r="F18" s="650"/>
      <c r="G18" s="650"/>
      <c r="H18" s="650"/>
      <c r="I18" s="650"/>
      <c r="J18" s="650"/>
      <c r="K18" s="650"/>
      <c r="L18" s="650"/>
      <c r="M18" s="650"/>
      <c r="N18" s="650"/>
      <c r="O18" s="650"/>
      <c r="P18" s="650"/>
      <c r="Q18" s="650"/>
      <c r="R18" s="650"/>
      <c r="S18" s="650"/>
      <c r="T18" s="1907" t="s">
        <v>428</v>
      </c>
      <c r="U18" s="1907"/>
      <c r="V18" s="1907"/>
      <c r="W18" s="1907"/>
      <c r="X18" s="699" t="e">
        <f>ROUND(0.8+20000/D39,2)</f>
        <v>#REF!</v>
      </c>
      <c r="Y18" s="700"/>
      <c r="Z18" s="700"/>
      <c r="AA18" s="700"/>
      <c r="AB18" s="700"/>
      <c r="AC18" s="700"/>
      <c r="AD18" s="700"/>
      <c r="AE18" s="660"/>
      <c r="AF18" s="701"/>
      <c r="AG18" s="660" t="s">
        <v>429</v>
      </c>
      <c r="AH18" s="650"/>
      <c r="AI18" s="650"/>
      <c r="AJ18" s="650"/>
      <c r="AK18" s="650"/>
      <c r="AL18" s="650"/>
      <c r="AM18" s="650"/>
      <c r="AN18" s="650"/>
      <c r="AO18" s="650"/>
      <c r="AP18" s="650"/>
      <c r="AQ18" s="650"/>
      <c r="AR18" s="650"/>
      <c r="AS18" s="650"/>
      <c r="AT18" s="650"/>
      <c r="AU18" s="650"/>
      <c r="AV18" s="650"/>
      <c r="AW18" s="650"/>
      <c r="AX18" s="650"/>
      <c r="AY18" s="650"/>
      <c r="AZ18" s="650"/>
      <c r="BA18" s="650"/>
      <c r="BB18" s="650"/>
      <c r="BC18" s="650"/>
      <c r="BD18" s="650"/>
      <c r="BE18" s="650"/>
      <c r="BF18" s="650"/>
      <c r="BG18" s="650"/>
      <c r="BH18" s="650"/>
      <c r="BI18" s="650"/>
      <c r="BJ18" s="650"/>
      <c r="BK18" s="650"/>
      <c r="BL18" s="650"/>
      <c r="BM18" s="650"/>
      <c r="BN18" s="650"/>
      <c r="BO18" s="650"/>
      <c r="BP18" s="650"/>
      <c r="BQ18" s="650"/>
      <c r="BR18" s="650"/>
      <c r="BS18" s="650"/>
      <c r="BT18" s="650"/>
      <c r="BU18" s="650"/>
      <c r="BV18" s="650"/>
      <c r="BW18" s="650"/>
      <c r="BX18" s="650"/>
      <c r="BY18" s="650"/>
      <c r="BZ18" s="650"/>
      <c r="CA18" s="650"/>
      <c r="CB18" s="650"/>
      <c r="CC18" s="650"/>
      <c r="CD18" s="650"/>
      <c r="CE18" s="650"/>
      <c r="CF18" s="650"/>
      <c r="CG18" s="650"/>
      <c r="CH18" s="650"/>
      <c r="CI18" s="650"/>
      <c r="CJ18" s="650"/>
      <c r="CK18" s="650"/>
      <c r="CL18" s="650"/>
      <c r="CM18" s="650"/>
      <c r="CN18" s="650"/>
      <c r="CO18" s="650"/>
      <c r="CP18" s="650"/>
      <c r="CQ18" s="650"/>
      <c r="CR18" s="650"/>
      <c r="CS18" s="650"/>
      <c r="CT18" s="650"/>
      <c r="CU18" s="650"/>
      <c r="CV18" s="650"/>
      <c r="CW18" s="650"/>
      <c r="CX18" s="650"/>
      <c r="CY18" s="650"/>
      <c r="CZ18" s="650"/>
      <c r="DA18" s="650"/>
      <c r="DB18" s="650"/>
      <c r="DC18" s="650"/>
      <c r="DD18" s="650"/>
      <c r="DE18" s="650"/>
      <c r="DF18" s="650"/>
      <c r="DG18" s="650"/>
      <c r="DH18" s="650"/>
      <c r="DI18" s="650"/>
      <c r="DJ18" s="650"/>
      <c r="DK18" s="650"/>
      <c r="DL18" s="650"/>
      <c r="DM18" s="650"/>
      <c r="DN18" s="650"/>
      <c r="DO18" s="650"/>
      <c r="DP18" s="650"/>
      <c r="DQ18" s="650"/>
      <c r="DR18" s="650"/>
      <c r="DS18" s="650"/>
      <c r="DT18" s="650"/>
      <c r="DU18" s="650"/>
      <c r="DV18" s="650"/>
      <c r="DW18" s="650"/>
      <c r="DX18" s="650"/>
      <c r="DY18" s="650"/>
      <c r="DZ18" s="650"/>
      <c r="EA18" s="650"/>
      <c r="EB18" s="650"/>
      <c r="EC18" s="650"/>
      <c r="ED18" s="650"/>
      <c r="EE18" s="650"/>
      <c r="EF18" s="650"/>
      <c r="EG18" s="650"/>
      <c r="EH18" s="650"/>
      <c r="EI18" s="650"/>
      <c r="EJ18" s="650"/>
      <c r="EK18" s="650"/>
      <c r="EL18" s="650"/>
      <c r="EM18" s="650"/>
      <c r="EN18" s="650"/>
      <c r="EO18" s="650"/>
      <c r="EP18" s="650"/>
      <c r="EQ18" s="650"/>
      <c r="ER18" s="650"/>
      <c r="ES18" s="650"/>
      <c r="ET18" s="650"/>
      <c r="EU18" s="650"/>
      <c r="EV18" s="650"/>
      <c r="EW18" s="650"/>
      <c r="EX18" s="650"/>
      <c r="EY18" s="650"/>
      <c r="EZ18" s="650"/>
      <c r="FA18" s="650"/>
      <c r="FB18" s="650"/>
      <c r="FC18" s="650"/>
      <c r="FD18" s="650"/>
      <c r="FE18" s="650"/>
      <c r="FF18" s="650"/>
      <c r="FG18" s="650"/>
      <c r="FH18" s="650"/>
      <c r="FI18" s="650"/>
      <c r="FJ18" s="650"/>
      <c r="FK18" s="650"/>
      <c r="FL18" s="650"/>
      <c r="FM18" s="650"/>
      <c r="FN18" s="650"/>
      <c r="FO18" s="650"/>
      <c r="FP18" s="650"/>
      <c r="FQ18" s="650"/>
      <c r="FR18" s="650"/>
      <c r="FS18" s="650"/>
      <c r="FT18" s="650"/>
      <c r="FU18" s="650"/>
      <c r="FV18" s="650"/>
      <c r="FW18" s="650"/>
      <c r="FX18" s="650"/>
      <c r="FY18" s="650"/>
      <c r="FZ18" s="650"/>
      <c r="GA18" s="650"/>
      <c r="GB18" s="650"/>
      <c r="GC18" s="650"/>
      <c r="GD18" s="650"/>
      <c r="GE18" s="650"/>
      <c r="GF18" s="650"/>
      <c r="GG18" s="650"/>
      <c r="GH18" s="650"/>
      <c r="GI18" s="650"/>
      <c r="GJ18" s="650"/>
      <c r="GK18" s="650"/>
      <c r="GL18" s="650"/>
      <c r="GM18" s="650"/>
      <c r="GN18" s="650"/>
      <c r="GO18" s="650"/>
      <c r="GP18" s="650"/>
      <c r="GQ18" s="650"/>
      <c r="GR18" s="650"/>
      <c r="GS18" s="650"/>
      <c r="GT18" s="650"/>
      <c r="GU18" s="650"/>
      <c r="GV18" s="650"/>
      <c r="GW18" s="650"/>
      <c r="GX18" s="650"/>
      <c r="GY18" s="650"/>
      <c r="GZ18" s="650"/>
      <c r="HA18" s="650"/>
      <c r="HB18" s="650"/>
      <c r="HC18" s="650"/>
      <c r="HD18" s="650"/>
      <c r="HE18" s="650"/>
      <c r="HF18" s="650"/>
      <c r="HG18" s="650"/>
      <c r="HH18" s="650"/>
      <c r="HI18" s="650"/>
      <c r="HJ18" s="650"/>
      <c r="HK18" s="650"/>
      <c r="HL18" s="650"/>
      <c r="HM18" s="650"/>
      <c r="HN18" s="650"/>
      <c r="HO18" s="650"/>
      <c r="HP18" s="650"/>
      <c r="HQ18" s="650"/>
      <c r="HR18" s="650"/>
      <c r="HS18" s="650"/>
      <c r="HT18" s="650"/>
      <c r="HU18" s="650"/>
      <c r="HV18" s="650"/>
      <c r="HW18" s="650"/>
      <c r="HX18" s="650"/>
      <c r="HY18" s="650"/>
      <c r="HZ18" s="650"/>
      <c r="IA18" s="650"/>
      <c r="IB18" s="650"/>
      <c r="IC18" s="650"/>
      <c r="ID18" s="650"/>
      <c r="IE18" s="650"/>
      <c r="IF18" s="650"/>
      <c r="IG18" s="650"/>
      <c r="IH18" s="650"/>
      <c r="II18" s="650"/>
      <c r="IJ18" s="650"/>
      <c r="IK18" s="650"/>
      <c r="IL18" s="650"/>
      <c r="IM18" s="650"/>
      <c r="IN18" s="650"/>
      <c r="IO18" s="650"/>
      <c r="IP18" s="650"/>
      <c r="IQ18" s="650"/>
      <c r="IR18" s="650"/>
      <c r="IS18" s="650"/>
      <c r="IT18" s="650"/>
      <c r="IU18" s="650"/>
      <c r="IV18" s="650"/>
    </row>
    <row r="19" spans="1:256" ht="12.95" customHeight="1">
      <c r="A19" s="650" t="s">
        <v>622</v>
      </c>
      <c r="B19" s="650"/>
      <c r="C19" s="650"/>
      <c r="D19" s="650"/>
      <c r="E19" s="650"/>
      <c r="F19" s="650"/>
      <c r="G19" s="650"/>
      <c r="H19" s="650"/>
      <c r="I19" s="650"/>
      <c r="J19" s="650"/>
      <c r="K19" s="650"/>
      <c r="L19" s="650"/>
      <c r="M19" s="650"/>
      <c r="N19" s="650"/>
      <c r="O19" s="650"/>
      <c r="P19" s="650"/>
      <c r="Q19" s="650"/>
      <c r="R19" s="650"/>
      <c r="S19" s="650"/>
      <c r="T19" s="660" t="s">
        <v>430</v>
      </c>
      <c r="U19" s="660"/>
      <c r="V19" s="660"/>
      <c r="W19" s="660"/>
      <c r="X19" s="660"/>
      <c r="Y19" s="698"/>
      <c r="Z19" s="698"/>
      <c r="AA19" s="698"/>
      <c r="AB19" s="698"/>
      <c r="AC19" s="698"/>
      <c r="AD19" s="698"/>
      <c r="AE19" s="660"/>
      <c r="AF19" s="660"/>
      <c r="AG19" s="660"/>
      <c r="AH19" s="650"/>
      <c r="AI19" s="650"/>
      <c r="AJ19" s="650"/>
      <c r="AK19" s="650"/>
      <c r="AL19" s="650"/>
      <c r="AM19" s="650"/>
      <c r="AN19" s="650"/>
      <c r="AO19" s="650"/>
      <c r="AP19" s="650"/>
      <c r="AQ19" s="650"/>
      <c r="AR19" s="650"/>
      <c r="AS19" s="650"/>
      <c r="AT19" s="650"/>
      <c r="AU19" s="650"/>
      <c r="AV19" s="650"/>
      <c r="AW19" s="650"/>
      <c r="AX19" s="650"/>
      <c r="AY19" s="650"/>
      <c r="AZ19" s="650"/>
      <c r="BA19" s="650"/>
      <c r="BB19" s="650"/>
      <c r="BC19" s="650"/>
      <c r="BD19" s="650"/>
      <c r="BE19" s="650"/>
      <c r="BF19" s="650"/>
      <c r="BG19" s="650"/>
      <c r="BH19" s="650"/>
      <c r="BI19" s="650"/>
      <c r="BJ19" s="650"/>
      <c r="BK19" s="650"/>
      <c r="BL19" s="650"/>
      <c r="BM19" s="650"/>
      <c r="BN19" s="650"/>
      <c r="BO19" s="650"/>
      <c r="BP19" s="650"/>
      <c r="BQ19" s="650"/>
      <c r="BR19" s="650"/>
      <c r="BS19" s="650"/>
      <c r="BT19" s="650"/>
      <c r="BU19" s="650"/>
      <c r="BV19" s="650"/>
      <c r="BW19" s="650"/>
      <c r="BX19" s="650"/>
      <c r="BY19" s="650"/>
      <c r="BZ19" s="650"/>
      <c r="CA19" s="650"/>
      <c r="CB19" s="650"/>
      <c r="CC19" s="650"/>
      <c r="CD19" s="650"/>
      <c r="CE19" s="650"/>
      <c r="CF19" s="650"/>
      <c r="CG19" s="650"/>
      <c r="CH19" s="650"/>
      <c r="CI19" s="650"/>
      <c r="CJ19" s="650"/>
      <c r="CK19" s="650"/>
      <c r="CL19" s="650"/>
      <c r="CM19" s="650"/>
      <c r="CN19" s="650"/>
      <c r="CO19" s="650"/>
      <c r="CP19" s="650"/>
      <c r="CQ19" s="650"/>
      <c r="CR19" s="650"/>
      <c r="CS19" s="650"/>
      <c r="CT19" s="650"/>
      <c r="CU19" s="650"/>
      <c r="CV19" s="650"/>
      <c r="CW19" s="650"/>
      <c r="CX19" s="650"/>
      <c r="CY19" s="650"/>
      <c r="CZ19" s="650"/>
      <c r="DA19" s="650"/>
      <c r="DB19" s="650"/>
      <c r="DC19" s="650"/>
      <c r="DD19" s="650"/>
      <c r="DE19" s="650"/>
      <c r="DF19" s="650"/>
      <c r="DG19" s="650"/>
      <c r="DH19" s="650"/>
      <c r="DI19" s="650"/>
      <c r="DJ19" s="650"/>
      <c r="DK19" s="650"/>
      <c r="DL19" s="650"/>
      <c r="DM19" s="650"/>
      <c r="DN19" s="650"/>
      <c r="DO19" s="650"/>
      <c r="DP19" s="650"/>
      <c r="DQ19" s="650"/>
      <c r="DR19" s="650"/>
      <c r="DS19" s="650"/>
      <c r="DT19" s="650"/>
      <c r="DU19" s="650"/>
      <c r="DV19" s="650"/>
      <c r="DW19" s="650"/>
      <c r="DX19" s="650"/>
      <c r="DY19" s="650"/>
      <c r="DZ19" s="650"/>
      <c r="EA19" s="650"/>
      <c r="EB19" s="650"/>
      <c r="EC19" s="650"/>
      <c r="ED19" s="650"/>
      <c r="EE19" s="650"/>
      <c r="EF19" s="650"/>
      <c r="EG19" s="650"/>
      <c r="EH19" s="650"/>
      <c r="EI19" s="650"/>
      <c r="EJ19" s="650"/>
      <c r="EK19" s="650"/>
      <c r="EL19" s="650"/>
      <c r="EM19" s="650"/>
      <c r="EN19" s="650"/>
      <c r="EO19" s="650"/>
      <c r="EP19" s="650"/>
      <c r="EQ19" s="650"/>
      <c r="ER19" s="650"/>
      <c r="ES19" s="650"/>
      <c r="ET19" s="650"/>
      <c r="EU19" s="650"/>
      <c r="EV19" s="650"/>
      <c r="EW19" s="650"/>
      <c r="EX19" s="650"/>
      <c r="EY19" s="650"/>
      <c r="EZ19" s="650"/>
      <c r="FA19" s="650"/>
      <c r="FB19" s="650"/>
      <c r="FC19" s="650"/>
      <c r="FD19" s="650"/>
      <c r="FE19" s="650"/>
      <c r="FF19" s="650"/>
      <c r="FG19" s="650"/>
      <c r="FH19" s="650"/>
      <c r="FI19" s="650"/>
      <c r="FJ19" s="650"/>
      <c r="FK19" s="650"/>
      <c r="FL19" s="650"/>
      <c r="FM19" s="650"/>
      <c r="FN19" s="650"/>
      <c r="FO19" s="650"/>
      <c r="FP19" s="650"/>
      <c r="FQ19" s="650"/>
      <c r="FR19" s="650"/>
      <c r="FS19" s="650"/>
      <c r="FT19" s="650"/>
      <c r="FU19" s="650"/>
      <c r="FV19" s="650"/>
      <c r="FW19" s="650"/>
      <c r="FX19" s="650"/>
      <c r="FY19" s="650"/>
      <c r="FZ19" s="650"/>
      <c r="GA19" s="650"/>
      <c r="GB19" s="650"/>
      <c r="GC19" s="650"/>
      <c r="GD19" s="650"/>
      <c r="GE19" s="650"/>
      <c r="GF19" s="650"/>
      <c r="GG19" s="650"/>
      <c r="GH19" s="650"/>
      <c r="GI19" s="650"/>
      <c r="GJ19" s="650"/>
      <c r="GK19" s="650"/>
      <c r="GL19" s="650"/>
      <c r="GM19" s="650"/>
      <c r="GN19" s="650"/>
      <c r="GO19" s="650"/>
      <c r="GP19" s="650"/>
      <c r="GQ19" s="650"/>
      <c r="GR19" s="650"/>
      <c r="GS19" s="650"/>
      <c r="GT19" s="650"/>
      <c r="GU19" s="650"/>
      <c r="GV19" s="650"/>
      <c r="GW19" s="650"/>
      <c r="GX19" s="650"/>
      <c r="GY19" s="650"/>
      <c r="GZ19" s="650"/>
      <c r="HA19" s="650"/>
      <c r="HB19" s="650"/>
      <c r="HC19" s="650"/>
      <c r="HD19" s="650"/>
      <c r="HE19" s="650"/>
      <c r="HF19" s="650"/>
      <c r="HG19" s="650"/>
      <c r="HH19" s="650"/>
      <c r="HI19" s="650"/>
      <c r="HJ19" s="650"/>
      <c r="HK19" s="650"/>
      <c r="HL19" s="650"/>
      <c r="HM19" s="650"/>
      <c r="HN19" s="650"/>
      <c r="HO19" s="650"/>
      <c r="HP19" s="650"/>
      <c r="HQ19" s="650"/>
      <c r="HR19" s="650"/>
      <c r="HS19" s="650"/>
      <c r="HT19" s="650"/>
      <c r="HU19" s="650"/>
      <c r="HV19" s="650"/>
      <c r="HW19" s="650"/>
      <c r="HX19" s="650"/>
      <c r="HY19" s="650"/>
      <c r="HZ19" s="650"/>
      <c r="IA19" s="650"/>
      <c r="IB19" s="650"/>
      <c r="IC19" s="650"/>
      <c r="ID19" s="650"/>
      <c r="IE19" s="650"/>
      <c r="IF19" s="650"/>
      <c r="IG19" s="650"/>
      <c r="IH19" s="650"/>
      <c r="II19" s="650"/>
      <c r="IJ19" s="650"/>
      <c r="IK19" s="650"/>
      <c r="IL19" s="650"/>
      <c r="IM19" s="650"/>
      <c r="IN19" s="650"/>
      <c r="IO19" s="650"/>
      <c r="IP19" s="650"/>
      <c r="IQ19" s="650"/>
      <c r="IR19" s="650"/>
      <c r="IS19" s="650"/>
      <c r="IT19" s="650"/>
      <c r="IU19" s="650"/>
      <c r="IV19" s="650"/>
    </row>
    <row r="20" spans="1:256" ht="12.95" customHeight="1">
      <c r="A20" s="1916" t="s">
        <v>623</v>
      </c>
      <c r="B20" s="1917"/>
      <c r="C20" s="1920" t="s">
        <v>624</v>
      </c>
      <c r="D20" s="1911" t="s">
        <v>625</v>
      </c>
      <c r="E20" s="1912"/>
      <c r="F20" s="1911" t="s">
        <v>626</v>
      </c>
      <c r="G20" s="1912"/>
      <c r="H20" s="1912" t="s">
        <v>627</v>
      </c>
      <c r="I20" s="1912"/>
      <c r="J20" s="1912" t="s">
        <v>628</v>
      </c>
      <c r="K20" s="1912"/>
      <c r="L20" s="1910" t="s">
        <v>629</v>
      </c>
      <c r="M20" s="1911"/>
      <c r="N20" s="1912" t="s">
        <v>532</v>
      </c>
      <c r="O20" s="1910"/>
      <c r="P20" s="1913" t="s">
        <v>403</v>
      </c>
      <c r="Q20" s="650"/>
      <c r="R20" s="650"/>
      <c r="S20" s="650"/>
      <c r="T20" s="660"/>
      <c r="U20" s="1904" t="s">
        <v>431</v>
      </c>
      <c r="V20" s="1904"/>
      <c r="W20" s="1904" t="s">
        <v>432</v>
      </c>
      <c r="X20" s="1904"/>
      <c r="Y20" s="1915" t="s">
        <v>433</v>
      </c>
      <c r="Z20" s="1915"/>
      <c r="AA20" s="1915" t="s">
        <v>434</v>
      </c>
      <c r="AB20" s="1915"/>
      <c r="AC20" s="1915" t="s">
        <v>435</v>
      </c>
      <c r="AD20" s="1915"/>
      <c r="AE20" s="1904" t="s">
        <v>436</v>
      </c>
      <c r="AF20" s="1904"/>
      <c r="AG20" s="660"/>
      <c r="AH20" s="650"/>
      <c r="AI20" s="650"/>
      <c r="AJ20" s="650"/>
      <c r="AK20" s="650"/>
      <c r="AL20" s="650"/>
      <c r="AM20" s="650"/>
      <c r="AN20" s="650"/>
      <c r="AO20" s="650"/>
      <c r="AP20" s="650"/>
      <c r="AQ20" s="650"/>
      <c r="AR20" s="650"/>
      <c r="AS20" s="650"/>
      <c r="AT20" s="650"/>
      <c r="AU20" s="650"/>
      <c r="AV20" s="650"/>
      <c r="AW20" s="650"/>
      <c r="AX20" s="650"/>
      <c r="AY20" s="650"/>
      <c r="AZ20" s="650"/>
      <c r="BA20" s="650"/>
      <c r="BB20" s="650"/>
      <c r="BC20" s="650"/>
      <c r="BD20" s="650"/>
      <c r="BE20" s="650"/>
      <c r="BF20" s="650"/>
      <c r="BG20" s="650"/>
      <c r="BH20" s="650"/>
      <c r="BI20" s="650"/>
      <c r="BJ20" s="650"/>
      <c r="BK20" s="650"/>
      <c r="BL20" s="650"/>
      <c r="BM20" s="650"/>
      <c r="BN20" s="650"/>
      <c r="BO20" s="650"/>
      <c r="BP20" s="650"/>
      <c r="BQ20" s="650"/>
      <c r="BR20" s="650"/>
      <c r="BS20" s="650"/>
      <c r="BT20" s="650"/>
      <c r="BU20" s="650"/>
      <c r="BV20" s="650"/>
      <c r="BW20" s="650"/>
      <c r="BX20" s="650"/>
      <c r="BY20" s="650"/>
      <c r="BZ20" s="650"/>
      <c r="CA20" s="650"/>
      <c r="CB20" s="650"/>
      <c r="CC20" s="650"/>
      <c r="CD20" s="650"/>
      <c r="CE20" s="650"/>
      <c r="CF20" s="650"/>
      <c r="CG20" s="650"/>
      <c r="CH20" s="650"/>
      <c r="CI20" s="650"/>
      <c r="CJ20" s="650"/>
      <c r="CK20" s="650"/>
      <c r="CL20" s="650"/>
      <c r="CM20" s="650"/>
      <c r="CN20" s="650"/>
      <c r="CO20" s="650"/>
      <c r="CP20" s="650"/>
      <c r="CQ20" s="650"/>
      <c r="CR20" s="650"/>
      <c r="CS20" s="650"/>
      <c r="CT20" s="650"/>
      <c r="CU20" s="650"/>
      <c r="CV20" s="650"/>
      <c r="CW20" s="650"/>
      <c r="CX20" s="650"/>
      <c r="CY20" s="650"/>
      <c r="CZ20" s="650"/>
      <c r="DA20" s="650"/>
      <c r="DB20" s="650"/>
      <c r="DC20" s="650"/>
      <c r="DD20" s="650"/>
      <c r="DE20" s="650"/>
      <c r="DF20" s="650"/>
      <c r="DG20" s="650"/>
      <c r="DH20" s="650"/>
      <c r="DI20" s="650"/>
      <c r="DJ20" s="650"/>
      <c r="DK20" s="650"/>
      <c r="DL20" s="650"/>
      <c r="DM20" s="650"/>
      <c r="DN20" s="650"/>
      <c r="DO20" s="650"/>
      <c r="DP20" s="650"/>
      <c r="DQ20" s="650"/>
      <c r="DR20" s="650"/>
      <c r="DS20" s="650"/>
      <c r="DT20" s="650"/>
      <c r="DU20" s="650"/>
      <c r="DV20" s="650"/>
      <c r="DW20" s="650"/>
      <c r="DX20" s="650"/>
      <c r="DY20" s="650"/>
      <c r="DZ20" s="650"/>
      <c r="EA20" s="650"/>
      <c r="EB20" s="650"/>
      <c r="EC20" s="650"/>
      <c r="ED20" s="650"/>
      <c r="EE20" s="650"/>
      <c r="EF20" s="650"/>
      <c r="EG20" s="650"/>
      <c r="EH20" s="650"/>
      <c r="EI20" s="650"/>
      <c r="EJ20" s="650"/>
      <c r="EK20" s="650"/>
      <c r="EL20" s="650"/>
      <c r="EM20" s="650"/>
      <c r="EN20" s="650"/>
      <c r="EO20" s="650"/>
      <c r="EP20" s="650"/>
      <c r="EQ20" s="650"/>
      <c r="ER20" s="650"/>
      <c r="ES20" s="650"/>
      <c r="ET20" s="650"/>
      <c r="EU20" s="650"/>
      <c r="EV20" s="650"/>
      <c r="EW20" s="650"/>
      <c r="EX20" s="650"/>
      <c r="EY20" s="650"/>
      <c r="EZ20" s="650"/>
      <c r="FA20" s="650"/>
      <c r="FB20" s="650"/>
      <c r="FC20" s="650"/>
      <c r="FD20" s="650"/>
      <c r="FE20" s="650"/>
      <c r="FF20" s="650"/>
      <c r="FG20" s="650"/>
      <c r="FH20" s="650"/>
      <c r="FI20" s="650"/>
      <c r="FJ20" s="650"/>
      <c r="FK20" s="650"/>
      <c r="FL20" s="650"/>
      <c r="FM20" s="650"/>
      <c r="FN20" s="650"/>
      <c r="FO20" s="650"/>
      <c r="FP20" s="650"/>
      <c r="FQ20" s="650"/>
      <c r="FR20" s="650"/>
      <c r="FS20" s="650"/>
      <c r="FT20" s="650"/>
      <c r="FU20" s="650"/>
      <c r="FV20" s="650"/>
      <c r="FW20" s="650"/>
      <c r="FX20" s="650"/>
      <c r="FY20" s="650"/>
      <c r="FZ20" s="650"/>
      <c r="GA20" s="650"/>
      <c r="GB20" s="650"/>
      <c r="GC20" s="650"/>
      <c r="GD20" s="650"/>
      <c r="GE20" s="650"/>
      <c r="GF20" s="650"/>
      <c r="GG20" s="650"/>
      <c r="GH20" s="650"/>
      <c r="GI20" s="650"/>
      <c r="GJ20" s="650"/>
      <c r="GK20" s="650"/>
      <c r="GL20" s="650"/>
      <c r="GM20" s="650"/>
      <c r="GN20" s="650"/>
      <c r="GO20" s="650"/>
      <c r="GP20" s="650"/>
      <c r="GQ20" s="650"/>
      <c r="GR20" s="650"/>
      <c r="GS20" s="650"/>
      <c r="GT20" s="650"/>
      <c r="GU20" s="650"/>
      <c r="GV20" s="650"/>
      <c r="GW20" s="650"/>
      <c r="GX20" s="650"/>
      <c r="GY20" s="650"/>
      <c r="GZ20" s="650"/>
      <c r="HA20" s="650"/>
      <c r="HB20" s="650"/>
      <c r="HC20" s="650"/>
      <c r="HD20" s="650"/>
      <c r="HE20" s="650"/>
      <c r="HF20" s="650"/>
      <c r="HG20" s="650"/>
      <c r="HH20" s="650"/>
      <c r="HI20" s="650"/>
      <c r="HJ20" s="650"/>
      <c r="HK20" s="650"/>
      <c r="HL20" s="650"/>
      <c r="HM20" s="650"/>
      <c r="HN20" s="650"/>
      <c r="HO20" s="650"/>
      <c r="HP20" s="650"/>
      <c r="HQ20" s="650"/>
      <c r="HR20" s="650"/>
      <c r="HS20" s="650"/>
      <c r="HT20" s="650"/>
      <c r="HU20" s="650"/>
      <c r="HV20" s="650"/>
      <c r="HW20" s="650"/>
      <c r="HX20" s="650"/>
      <c r="HY20" s="650"/>
      <c r="HZ20" s="650"/>
      <c r="IA20" s="650"/>
      <c r="IB20" s="650"/>
      <c r="IC20" s="650"/>
      <c r="ID20" s="650"/>
      <c r="IE20" s="650"/>
      <c r="IF20" s="650"/>
      <c r="IG20" s="650"/>
      <c r="IH20" s="650"/>
      <c r="II20" s="650"/>
      <c r="IJ20" s="650"/>
      <c r="IK20" s="650"/>
      <c r="IL20" s="650"/>
      <c r="IM20" s="650"/>
      <c r="IN20" s="650"/>
      <c r="IO20" s="650"/>
      <c r="IP20" s="650"/>
      <c r="IQ20" s="650"/>
      <c r="IR20" s="650"/>
      <c r="IS20" s="650"/>
      <c r="IT20" s="650"/>
      <c r="IU20" s="650"/>
      <c r="IV20" s="650"/>
    </row>
    <row r="21" spans="1:256" ht="12.95" customHeight="1">
      <c r="A21" s="1918"/>
      <c r="B21" s="1919"/>
      <c r="C21" s="1921"/>
      <c r="D21" s="702" t="s">
        <v>630</v>
      </c>
      <c r="E21" s="703" t="s">
        <v>631</v>
      </c>
      <c r="F21" s="702" t="s">
        <v>630</v>
      </c>
      <c r="G21" s="703" t="s">
        <v>631</v>
      </c>
      <c r="H21" s="703" t="s">
        <v>630</v>
      </c>
      <c r="I21" s="703" t="s">
        <v>631</v>
      </c>
      <c r="J21" s="703" t="s">
        <v>630</v>
      </c>
      <c r="K21" s="703" t="s">
        <v>631</v>
      </c>
      <c r="L21" s="703" t="s">
        <v>630</v>
      </c>
      <c r="M21" s="703" t="s">
        <v>631</v>
      </c>
      <c r="N21" s="703" t="s">
        <v>630</v>
      </c>
      <c r="O21" s="704" t="s">
        <v>631</v>
      </c>
      <c r="P21" s="1914"/>
      <c r="Q21" s="650"/>
      <c r="R21" s="650"/>
      <c r="S21" s="650"/>
      <c r="T21" s="660"/>
      <c r="U21" s="1904" t="s">
        <v>427</v>
      </c>
      <c r="V21" s="1904"/>
      <c r="W21" s="1905">
        <v>1.8</v>
      </c>
      <c r="X21" s="1905"/>
      <c r="Y21" s="1906">
        <v>1.2</v>
      </c>
      <c r="Z21" s="1906"/>
      <c r="AA21" s="1906">
        <v>1</v>
      </c>
      <c r="AB21" s="1906"/>
      <c r="AC21" s="1906">
        <v>0.93</v>
      </c>
      <c r="AD21" s="1906"/>
      <c r="AE21" s="1906">
        <v>0.9</v>
      </c>
      <c r="AF21" s="1906"/>
      <c r="AG21" s="660"/>
      <c r="AH21" s="650"/>
      <c r="AI21" s="650"/>
      <c r="AJ21" s="650"/>
      <c r="AK21" s="650"/>
      <c r="AL21" s="650"/>
      <c r="AM21" s="650"/>
      <c r="AN21" s="650"/>
      <c r="AO21" s="650"/>
      <c r="AP21" s="650"/>
      <c r="AQ21" s="650"/>
      <c r="AR21" s="650"/>
      <c r="AS21" s="650"/>
      <c r="AT21" s="650"/>
      <c r="AU21" s="650"/>
      <c r="AV21" s="650"/>
      <c r="AW21" s="650"/>
      <c r="AX21" s="650"/>
      <c r="AY21" s="650"/>
      <c r="AZ21" s="650"/>
      <c r="BA21" s="650"/>
      <c r="BB21" s="650"/>
      <c r="BC21" s="650"/>
      <c r="BD21" s="650"/>
      <c r="BE21" s="650"/>
      <c r="BF21" s="650"/>
      <c r="BG21" s="650"/>
      <c r="BH21" s="650"/>
      <c r="BI21" s="650"/>
      <c r="BJ21" s="650"/>
      <c r="BK21" s="650"/>
      <c r="BL21" s="650"/>
      <c r="BM21" s="650"/>
      <c r="BN21" s="650"/>
      <c r="BO21" s="650"/>
      <c r="BP21" s="650"/>
      <c r="BQ21" s="650"/>
      <c r="BR21" s="650"/>
      <c r="BS21" s="650"/>
      <c r="BT21" s="650"/>
      <c r="BU21" s="650"/>
      <c r="BV21" s="650"/>
      <c r="BW21" s="650"/>
      <c r="BX21" s="650"/>
      <c r="BY21" s="650"/>
      <c r="BZ21" s="650"/>
      <c r="CA21" s="650"/>
      <c r="CB21" s="650"/>
      <c r="CC21" s="650"/>
      <c r="CD21" s="650"/>
      <c r="CE21" s="650"/>
      <c r="CF21" s="650"/>
      <c r="CG21" s="650"/>
      <c r="CH21" s="650"/>
      <c r="CI21" s="650"/>
      <c r="CJ21" s="650"/>
      <c r="CK21" s="650"/>
      <c r="CL21" s="650"/>
      <c r="CM21" s="650"/>
      <c r="CN21" s="650"/>
      <c r="CO21" s="650"/>
      <c r="CP21" s="650"/>
      <c r="CQ21" s="650"/>
      <c r="CR21" s="650"/>
      <c r="CS21" s="650"/>
      <c r="CT21" s="650"/>
      <c r="CU21" s="650"/>
      <c r="CV21" s="650"/>
      <c r="CW21" s="650"/>
      <c r="CX21" s="650"/>
      <c r="CY21" s="650"/>
      <c r="CZ21" s="650"/>
      <c r="DA21" s="650"/>
      <c r="DB21" s="650"/>
      <c r="DC21" s="650"/>
      <c r="DD21" s="650"/>
      <c r="DE21" s="650"/>
      <c r="DF21" s="650"/>
      <c r="DG21" s="650"/>
      <c r="DH21" s="650"/>
      <c r="DI21" s="650"/>
      <c r="DJ21" s="650"/>
      <c r="DK21" s="650"/>
      <c r="DL21" s="650"/>
      <c r="DM21" s="650"/>
      <c r="DN21" s="650"/>
      <c r="DO21" s="650"/>
      <c r="DP21" s="650"/>
      <c r="DQ21" s="650"/>
      <c r="DR21" s="650"/>
      <c r="DS21" s="650"/>
      <c r="DT21" s="650"/>
      <c r="DU21" s="650"/>
      <c r="DV21" s="650"/>
      <c r="DW21" s="650"/>
      <c r="DX21" s="650"/>
      <c r="DY21" s="650"/>
      <c r="DZ21" s="650"/>
      <c r="EA21" s="650"/>
      <c r="EB21" s="650"/>
      <c r="EC21" s="650"/>
      <c r="ED21" s="650"/>
      <c r="EE21" s="650"/>
      <c r="EF21" s="650"/>
      <c r="EG21" s="650"/>
      <c r="EH21" s="650"/>
      <c r="EI21" s="650"/>
      <c r="EJ21" s="650"/>
      <c r="EK21" s="650"/>
      <c r="EL21" s="650"/>
      <c r="EM21" s="650"/>
      <c r="EN21" s="650"/>
      <c r="EO21" s="650"/>
      <c r="EP21" s="650"/>
      <c r="EQ21" s="650"/>
      <c r="ER21" s="650"/>
      <c r="ES21" s="650"/>
      <c r="ET21" s="650"/>
      <c r="EU21" s="650"/>
      <c r="EV21" s="650"/>
      <c r="EW21" s="650"/>
      <c r="EX21" s="650"/>
      <c r="EY21" s="650"/>
      <c r="EZ21" s="650"/>
      <c r="FA21" s="650"/>
      <c r="FB21" s="650"/>
      <c r="FC21" s="650"/>
      <c r="FD21" s="650"/>
      <c r="FE21" s="650"/>
      <c r="FF21" s="650"/>
      <c r="FG21" s="650"/>
      <c r="FH21" s="650"/>
      <c r="FI21" s="650"/>
      <c r="FJ21" s="650"/>
      <c r="FK21" s="650"/>
      <c r="FL21" s="650"/>
      <c r="FM21" s="650"/>
      <c r="FN21" s="650"/>
      <c r="FO21" s="650"/>
      <c r="FP21" s="650"/>
      <c r="FQ21" s="650"/>
      <c r="FR21" s="650"/>
      <c r="FS21" s="650"/>
      <c r="FT21" s="650"/>
      <c r="FU21" s="650"/>
      <c r="FV21" s="650"/>
      <c r="FW21" s="650"/>
      <c r="FX21" s="650"/>
      <c r="FY21" s="650"/>
      <c r="FZ21" s="650"/>
      <c r="GA21" s="650"/>
      <c r="GB21" s="650"/>
      <c r="GC21" s="650"/>
      <c r="GD21" s="650"/>
      <c r="GE21" s="650"/>
      <c r="GF21" s="650"/>
      <c r="GG21" s="650"/>
      <c r="GH21" s="650"/>
      <c r="GI21" s="650"/>
      <c r="GJ21" s="650"/>
      <c r="GK21" s="650"/>
      <c r="GL21" s="650"/>
      <c r="GM21" s="650"/>
      <c r="GN21" s="650"/>
      <c r="GO21" s="650"/>
      <c r="GP21" s="650"/>
      <c r="GQ21" s="650"/>
      <c r="GR21" s="650"/>
      <c r="GS21" s="650"/>
      <c r="GT21" s="650"/>
      <c r="GU21" s="650"/>
      <c r="GV21" s="650"/>
      <c r="GW21" s="650"/>
      <c r="GX21" s="650"/>
      <c r="GY21" s="650"/>
      <c r="GZ21" s="650"/>
      <c r="HA21" s="650"/>
      <c r="HB21" s="650"/>
      <c r="HC21" s="650"/>
      <c r="HD21" s="650"/>
      <c r="HE21" s="650"/>
      <c r="HF21" s="650"/>
      <c r="HG21" s="650"/>
      <c r="HH21" s="650"/>
      <c r="HI21" s="650"/>
      <c r="HJ21" s="650"/>
      <c r="HK21" s="650"/>
      <c r="HL21" s="650"/>
      <c r="HM21" s="650"/>
      <c r="HN21" s="650"/>
      <c r="HO21" s="650"/>
      <c r="HP21" s="650"/>
      <c r="HQ21" s="650"/>
      <c r="HR21" s="650"/>
      <c r="HS21" s="650"/>
      <c r="HT21" s="650"/>
      <c r="HU21" s="650"/>
      <c r="HV21" s="650"/>
      <c r="HW21" s="650"/>
      <c r="HX21" s="650"/>
      <c r="HY21" s="650"/>
      <c r="HZ21" s="650"/>
      <c r="IA21" s="650"/>
      <c r="IB21" s="650"/>
      <c r="IC21" s="650"/>
      <c r="ID21" s="650"/>
      <c r="IE21" s="650"/>
      <c r="IF21" s="650"/>
      <c r="IG21" s="650"/>
      <c r="IH21" s="650"/>
      <c r="II21" s="650"/>
      <c r="IJ21" s="650"/>
      <c r="IK21" s="650"/>
      <c r="IL21" s="650"/>
      <c r="IM21" s="650"/>
      <c r="IN21" s="650"/>
      <c r="IO21" s="650"/>
      <c r="IP21" s="650"/>
      <c r="IQ21" s="650"/>
      <c r="IR21" s="650"/>
      <c r="IS21" s="650"/>
      <c r="IT21" s="650"/>
      <c r="IU21" s="650"/>
      <c r="IV21" s="650"/>
    </row>
    <row r="22" spans="1:256" ht="12.95" customHeight="1">
      <c r="A22" s="1931" t="s">
        <v>632</v>
      </c>
      <c r="B22" s="1920" t="s">
        <v>633</v>
      </c>
      <c r="C22" s="705" t="e">
        <f>G9</f>
        <v>#REF!</v>
      </c>
      <c r="D22" s="706">
        <v>0</v>
      </c>
      <c r="E22" s="706" t="e">
        <f>ROUND($C$22*D22,2)</f>
        <v>#REF!</v>
      </c>
      <c r="F22" s="706">
        <v>14</v>
      </c>
      <c r="G22" s="706" t="e">
        <f>ROUND($C$22*F22,2)</f>
        <v>#REF!</v>
      </c>
      <c r="H22" s="706">
        <v>25</v>
      </c>
      <c r="I22" s="706" t="e">
        <f>ROUND($C$22*H22,2)</f>
        <v>#REF!</v>
      </c>
      <c r="J22" s="706">
        <v>22</v>
      </c>
      <c r="K22" s="706" t="e">
        <f>ROUND($C$22*J22,2)</f>
        <v>#REF!</v>
      </c>
      <c r="L22" s="706">
        <v>34</v>
      </c>
      <c r="M22" s="706" t="e">
        <f>ROUND($C$22*L22,2)</f>
        <v>#REF!</v>
      </c>
      <c r="N22" s="706">
        <v>10</v>
      </c>
      <c r="O22" s="706" t="e">
        <f>ROUND($C$22*N22,2)</f>
        <v>#REF!</v>
      </c>
      <c r="P22" s="1925" t="s">
        <v>634</v>
      </c>
      <c r="Q22" s="650"/>
      <c r="R22" s="650"/>
      <c r="S22" s="650"/>
      <c r="T22" s="660"/>
      <c r="U22" s="707"/>
      <c r="V22" s="707"/>
      <c r="W22" s="708"/>
      <c r="X22" s="708"/>
      <c r="Y22" s="709"/>
      <c r="Z22" s="709"/>
      <c r="AA22" s="709"/>
      <c r="AB22" s="709"/>
      <c r="AC22" s="709"/>
      <c r="AD22" s="709"/>
      <c r="AE22" s="709"/>
      <c r="AF22" s="709"/>
      <c r="AG22" s="660"/>
      <c r="AH22" s="650"/>
      <c r="AI22" s="650"/>
      <c r="AJ22" s="650"/>
      <c r="AK22" s="650"/>
      <c r="AL22" s="650"/>
      <c r="AM22" s="650"/>
      <c r="AN22" s="650"/>
      <c r="AO22" s="650"/>
      <c r="AP22" s="650"/>
      <c r="AQ22" s="650"/>
      <c r="AR22" s="650"/>
      <c r="AS22" s="650"/>
      <c r="AT22" s="650"/>
      <c r="AU22" s="650"/>
      <c r="AV22" s="650"/>
      <c r="AW22" s="650"/>
      <c r="AX22" s="650"/>
      <c r="AY22" s="650"/>
      <c r="AZ22" s="650"/>
      <c r="BA22" s="650"/>
      <c r="BB22" s="650"/>
      <c r="BC22" s="650"/>
      <c r="BD22" s="650"/>
      <c r="BE22" s="650"/>
      <c r="BF22" s="650"/>
      <c r="BG22" s="650"/>
      <c r="BH22" s="650"/>
      <c r="BI22" s="650"/>
      <c r="BJ22" s="650"/>
      <c r="BK22" s="650"/>
      <c r="BL22" s="650"/>
      <c r="BM22" s="650"/>
      <c r="BN22" s="650"/>
      <c r="BO22" s="650"/>
      <c r="BP22" s="650"/>
      <c r="BQ22" s="650"/>
      <c r="BR22" s="650"/>
      <c r="BS22" s="650"/>
      <c r="BT22" s="650"/>
      <c r="BU22" s="650"/>
      <c r="BV22" s="650"/>
      <c r="BW22" s="650"/>
      <c r="BX22" s="650"/>
      <c r="BY22" s="650"/>
      <c r="BZ22" s="650"/>
      <c r="CA22" s="650"/>
      <c r="CB22" s="650"/>
      <c r="CC22" s="650"/>
      <c r="CD22" s="650"/>
      <c r="CE22" s="650"/>
      <c r="CF22" s="650"/>
      <c r="CG22" s="650"/>
      <c r="CH22" s="650"/>
      <c r="CI22" s="650"/>
      <c r="CJ22" s="650"/>
      <c r="CK22" s="650"/>
      <c r="CL22" s="650"/>
      <c r="CM22" s="650"/>
      <c r="CN22" s="650"/>
      <c r="CO22" s="650"/>
      <c r="CP22" s="650"/>
      <c r="CQ22" s="650"/>
      <c r="CR22" s="650"/>
      <c r="CS22" s="650"/>
      <c r="CT22" s="650"/>
      <c r="CU22" s="650"/>
      <c r="CV22" s="650"/>
      <c r="CW22" s="650"/>
      <c r="CX22" s="650"/>
      <c r="CY22" s="650"/>
      <c r="CZ22" s="650"/>
      <c r="DA22" s="650"/>
      <c r="DB22" s="650"/>
      <c r="DC22" s="650"/>
      <c r="DD22" s="650"/>
      <c r="DE22" s="650"/>
      <c r="DF22" s="650"/>
      <c r="DG22" s="650"/>
      <c r="DH22" s="650"/>
      <c r="DI22" s="650"/>
      <c r="DJ22" s="650"/>
      <c r="DK22" s="650"/>
      <c r="DL22" s="650"/>
      <c r="DM22" s="650"/>
      <c r="DN22" s="650"/>
      <c r="DO22" s="650"/>
      <c r="DP22" s="650"/>
      <c r="DQ22" s="650"/>
      <c r="DR22" s="650"/>
      <c r="DS22" s="650"/>
      <c r="DT22" s="650"/>
      <c r="DU22" s="650"/>
      <c r="DV22" s="650"/>
      <c r="DW22" s="650"/>
      <c r="DX22" s="650"/>
      <c r="DY22" s="650"/>
      <c r="DZ22" s="650"/>
      <c r="EA22" s="650"/>
      <c r="EB22" s="650"/>
      <c r="EC22" s="650"/>
      <c r="ED22" s="650"/>
      <c r="EE22" s="650"/>
      <c r="EF22" s="650"/>
      <c r="EG22" s="650"/>
      <c r="EH22" s="650"/>
      <c r="EI22" s="650"/>
      <c r="EJ22" s="650"/>
      <c r="EK22" s="650"/>
      <c r="EL22" s="650"/>
      <c r="EM22" s="650"/>
      <c r="EN22" s="650"/>
      <c r="EO22" s="650"/>
      <c r="EP22" s="650"/>
      <c r="EQ22" s="650"/>
      <c r="ER22" s="650"/>
      <c r="ES22" s="650"/>
      <c r="ET22" s="650"/>
      <c r="EU22" s="650"/>
      <c r="EV22" s="650"/>
      <c r="EW22" s="650"/>
      <c r="EX22" s="650"/>
      <c r="EY22" s="650"/>
      <c r="EZ22" s="650"/>
      <c r="FA22" s="650"/>
      <c r="FB22" s="650"/>
      <c r="FC22" s="650"/>
      <c r="FD22" s="650"/>
      <c r="FE22" s="650"/>
      <c r="FF22" s="650"/>
      <c r="FG22" s="650"/>
      <c r="FH22" s="650"/>
      <c r="FI22" s="650"/>
      <c r="FJ22" s="650"/>
      <c r="FK22" s="650"/>
      <c r="FL22" s="650"/>
      <c r="FM22" s="650"/>
      <c r="FN22" s="650"/>
      <c r="FO22" s="650"/>
      <c r="FP22" s="650"/>
      <c r="FQ22" s="650"/>
      <c r="FR22" s="650"/>
      <c r="FS22" s="650"/>
      <c r="FT22" s="650"/>
      <c r="FU22" s="650"/>
      <c r="FV22" s="650"/>
      <c r="FW22" s="650"/>
      <c r="FX22" s="650"/>
      <c r="FY22" s="650"/>
      <c r="FZ22" s="650"/>
      <c r="GA22" s="650"/>
      <c r="GB22" s="650"/>
      <c r="GC22" s="650"/>
      <c r="GD22" s="650"/>
      <c r="GE22" s="650"/>
      <c r="GF22" s="650"/>
      <c r="GG22" s="650"/>
      <c r="GH22" s="650"/>
      <c r="GI22" s="650"/>
      <c r="GJ22" s="650"/>
      <c r="GK22" s="650"/>
      <c r="GL22" s="650"/>
      <c r="GM22" s="650"/>
      <c r="GN22" s="650"/>
      <c r="GO22" s="650"/>
      <c r="GP22" s="650"/>
      <c r="GQ22" s="650"/>
      <c r="GR22" s="650"/>
      <c r="GS22" s="650"/>
      <c r="GT22" s="650"/>
      <c r="GU22" s="650"/>
      <c r="GV22" s="650"/>
      <c r="GW22" s="650"/>
      <c r="GX22" s="650"/>
      <c r="GY22" s="650"/>
      <c r="GZ22" s="650"/>
      <c r="HA22" s="650"/>
      <c r="HB22" s="650"/>
      <c r="HC22" s="650"/>
      <c r="HD22" s="650"/>
      <c r="HE22" s="650"/>
      <c r="HF22" s="650"/>
      <c r="HG22" s="650"/>
      <c r="HH22" s="650"/>
      <c r="HI22" s="650"/>
      <c r="HJ22" s="650"/>
      <c r="HK22" s="650"/>
      <c r="HL22" s="650"/>
      <c r="HM22" s="650"/>
      <c r="HN22" s="650"/>
      <c r="HO22" s="650"/>
      <c r="HP22" s="650"/>
      <c r="HQ22" s="650"/>
      <c r="HR22" s="650"/>
      <c r="HS22" s="650"/>
      <c r="HT22" s="650"/>
      <c r="HU22" s="650"/>
      <c r="HV22" s="650"/>
      <c r="HW22" s="650"/>
      <c r="HX22" s="650"/>
      <c r="HY22" s="650"/>
      <c r="HZ22" s="650"/>
      <c r="IA22" s="650"/>
      <c r="IB22" s="650"/>
      <c r="IC22" s="650"/>
      <c r="ID22" s="650"/>
      <c r="IE22" s="650"/>
      <c r="IF22" s="650"/>
      <c r="IG22" s="650"/>
      <c r="IH22" s="650"/>
      <c r="II22" s="650"/>
      <c r="IJ22" s="650"/>
      <c r="IK22" s="650"/>
      <c r="IL22" s="650"/>
      <c r="IM22" s="650"/>
      <c r="IN22" s="650"/>
      <c r="IO22" s="650"/>
      <c r="IP22" s="650"/>
      <c r="IQ22" s="650"/>
      <c r="IR22" s="650"/>
      <c r="IS22" s="650"/>
      <c r="IT22" s="650"/>
      <c r="IU22" s="650"/>
      <c r="IV22" s="650"/>
    </row>
    <row r="23" spans="1:256" ht="12.95" customHeight="1">
      <c r="A23" s="1932"/>
      <c r="B23" s="1924"/>
      <c r="C23" s="710" t="e">
        <f>G9</f>
        <v>#REF!</v>
      </c>
      <c r="D23" s="711">
        <v>3</v>
      </c>
      <c r="E23" s="711" t="e">
        <f>ROUND($C$23*D23,2)</f>
        <v>#REF!</v>
      </c>
      <c r="F23" s="711">
        <v>10.5</v>
      </c>
      <c r="G23" s="711" t="e">
        <f>ROUND($C$23*F23,2)</f>
        <v>#REF!</v>
      </c>
      <c r="H23" s="711">
        <v>15</v>
      </c>
      <c r="I23" s="711" t="e">
        <f>ROUND($C$23*H23,2)</f>
        <v>#REF!</v>
      </c>
      <c r="J23" s="711">
        <v>12</v>
      </c>
      <c r="K23" s="711" t="e">
        <f>ROUND($C$23*J23,2)</f>
        <v>#REF!</v>
      </c>
      <c r="L23" s="711">
        <v>0</v>
      </c>
      <c r="M23" s="711" t="e">
        <f>ROUND($C$23*L23,2)</f>
        <v>#REF!</v>
      </c>
      <c r="N23" s="711">
        <v>0</v>
      </c>
      <c r="O23" s="711" t="e">
        <f>ROUND($C$23*N23,2)</f>
        <v>#REF!</v>
      </c>
      <c r="P23" s="1926"/>
      <c r="Q23" s="650"/>
      <c r="R23" s="650"/>
      <c r="S23" s="650"/>
      <c r="T23" s="660"/>
      <c r="U23" s="707"/>
      <c r="V23" s="707"/>
      <c r="W23" s="708"/>
      <c r="X23" s="708"/>
      <c r="Y23" s="709"/>
      <c r="Z23" s="709"/>
      <c r="AA23" s="709"/>
      <c r="AB23" s="709"/>
      <c r="AC23" s="709"/>
      <c r="AD23" s="709"/>
      <c r="AE23" s="709"/>
      <c r="AF23" s="709"/>
      <c r="AG23" s="660"/>
      <c r="AH23" s="650"/>
      <c r="AI23" s="650"/>
      <c r="AJ23" s="650"/>
      <c r="AK23" s="650"/>
      <c r="AL23" s="650"/>
      <c r="AM23" s="650"/>
      <c r="AN23" s="650"/>
      <c r="AO23" s="650"/>
      <c r="AP23" s="650"/>
      <c r="AQ23" s="650"/>
      <c r="AR23" s="650"/>
      <c r="AS23" s="650"/>
      <c r="AT23" s="650"/>
      <c r="AU23" s="650"/>
      <c r="AV23" s="650"/>
      <c r="AW23" s="650"/>
      <c r="AX23" s="650"/>
      <c r="AY23" s="650"/>
      <c r="AZ23" s="650"/>
      <c r="BA23" s="650"/>
      <c r="BB23" s="650"/>
      <c r="BC23" s="650"/>
      <c r="BD23" s="650"/>
      <c r="BE23" s="650"/>
      <c r="BF23" s="650"/>
      <c r="BG23" s="650"/>
      <c r="BH23" s="650"/>
      <c r="BI23" s="650"/>
      <c r="BJ23" s="650"/>
      <c r="BK23" s="650"/>
      <c r="BL23" s="650"/>
      <c r="BM23" s="650"/>
      <c r="BN23" s="650"/>
      <c r="BO23" s="650"/>
      <c r="BP23" s="650"/>
      <c r="BQ23" s="650"/>
      <c r="BR23" s="650"/>
      <c r="BS23" s="650"/>
      <c r="BT23" s="650"/>
      <c r="BU23" s="650"/>
      <c r="BV23" s="650"/>
      <c r="BW23" s="650"/>
      <c r="BX23" s="650"/>
      <c r="BY23" s="650"/>
      <c r="BZ23" s="650"/>
      <c r="CA23" s="650"/>
      <c r="CB23" s="650"/>
      <c r="CC23" s="650"/>
      <c r="CD23" s="650"/>
      <c r="CE23" s="650"/>
      <c r="CF23" s="650"/>
      <c r="CG23" s="650"/>
      <c r="CH23" s="650"/>
      <c r="CI23" s="650"/>
      <c r="CJ23" s="650"/>
      <c r="CK23" s="650"/>
      <c r="CL23" s="650"/>
      <c r="CM23" s="650"/>
      <c r="CN23" s="650"/>
      <c r="CO23" s="650"/>
      <c r="CP23" s="650"/>
      <c r="CQ23" s="650"/>
      <c r="CR23" s="650"/>
      <c r="CS23" s="650"/>
      <c r="CT23" s="650"/>
      <c r="CU23" s="650"/>
      <c r="CV23" s="650"/>
      <c r="CW23" s="650"/>
      <c r="CX23" s="650"/>
      <c r="CY23" s="650"/>
      <c r="CZ23" s="650"/>
      <c r="DA23" s="650"/>
      <c r="DB23" s="650"/>
      <c r="DC23" s="650"/>
      <c r="DD23" s="650"/>
      <c r="DE23" s="650"/>
      <c r="DF23" s="650"/>
      <c r="DG23" s="650"/>
      <c r="DH23" s="650"/>
      <c r="DI23" s="650"/>
      <c r="DJ23" s="650"/>
      <c r="DK23" s="650"/>
      <c r="DL23" s="650"/>
      <c r="DM23" s="650"/>
      <c r="DN23" s="650"/>
      <c r="DO23" s="650"/>
      <c r="DP23" s="650"/>
      <c r="DQ23" s="650"/>
      <c r="DR23" s="650"/>
      <c r="DS23" s="650"/>
      <c r="DT23" s="650"/>
      <c r="DU23" s="650"/>
      <c r="DV23" s="650"/>
      <c r="DW23" s="650"/>
      <c r="DX23" s="650"/>
      <c r="DY23" s="650"/>
      <c r="DZ23" s="650"/>
      <c r="EA23" s="650"/>
      <c r="EB23" s="650"/>
      <c r="EC23" s="650"/>
      <c r="ED23" s="650"/>
      <c r="EE23" s="650"/>
      <c r="EF23" s="650"/>
      <c r="EG23" s="650"/>
      <c r="EH23" s="650"/>
      <c r="EI23" s="650"/>
      <c r="EJ23" s="650"/>
      <c r="EK23" s="650"/>
      <c r="EL23" s="650"/>
      <c r="EM23" s="650"/>
      <c r="EN23" s="650"/>
      <c r="EO23" s="650"/>
      <c r="EP23" s="650"/>
      <c r="EQ23" s="650"/>
      <c r="ER23" s="650"/>
      <c r="ES23" s="650"/>
      <c r="ET23" s="650"/>
      <c r="EU23" s="650"/>
      <c r="EV23" s="650"/>
      <c r="EW23" s="650"/>
      <c r="EX23" s="650"/>
      <c r="EY23" s="650"/>
      <c r="EZ23" s="650"/>
      <c r="FA23" s="650"/>
      <c r="FB23" s="650"/>
      <c r="FC23" s="650"/>
      <c r="FD23" s="650"/>
      <c r="FE23" s="650"/>
      <c r="FF23" s="650"/>
      <c r="FG23" s="650"/>
      <c r="FH23" s="650"/>
      <c r="FI23" s="650"/>
      <c r="FJ23" s="650"/>
      <c r="FK23" s="650"/>
      <c r="FL23" s="650"/>
      <c r="FM23" s="650"/>
      <c r="FN23" s="650"/>
      <c r="FO23" s="650"/>
      <c r="FP23" s="650"/>
      <c r="FQ23" s="650"/>
      <c r="FR23" s="650"/>
      <c r="FS23" s="650"/>
      <c r="FT23" s="650"/>
      <c r="FU23" s="650"/>
      <c r="FV23" s="650"/>
      <c r="FW23" s="650"/>
      <c r="FX23" s="650"/>
      <c r="FY23" s="650"/>
      <c r="FZ23" s="650"/>
      <c r="GA23" s="650"/>
      <c r="GB23" s="650"/>
      <c r="GC23" s="650"/>
      <c r="GD23" s="650"/>
      <c r="GE23" s="650"/>
      <c r="GF23" s="650"/>
      <c r="GG23" s="650"/>
      <c r="GH23" s="650"/>
      <c r="GI23" s="650"/>
      <c r="GJ23" s="650"/>
      <c r="GK23" s="650"/>
      <c r="GL23" s="650"/>
      <c r="GM23" s="650"/>
      <c r="GN23" s="650"/>
      <c r="GO23" s="650"/>
      <c r="GP23" s="650"/>
      <c r="GQ23" s="650"/>
      <c r="GR23" s="650"/>
      <c r="GS23" s="650"/>
      <c r="GT23" s="650"/>
      <c r="GU23" s="650"/>
      <c r="GV23" s="650"/>
      <c r="GW23" s="650"/>
      <c r="GX23" s="650"/>
      <c r="GY23" s="650"/>
      <c r="GZ23" s="650"/>
      <c r="HA23" s="650"/>
      <c r="HB23" s="650"/>
      <c r="HC23" s="650"/>
      <c r="HD23" s="650"/>
      <c r="HE23" s="650"/>
      <c r="HF23" s="650"/>
      <c r="HG23" s="650"/>
      <c r="HH23" s="650"/>
      <c r="HI23" s="650"/>
      <c r="HJ23" s="650"/>
      <c r="HK23" s="650"/>
      <c r="HL23" s="650"/>
      <c r="HM23" s="650"/>
      <c r="HN23" s="650"/>
      <c r="HO23" s="650"/>
      <c r="HP23" s="650"/>
      <c r="HQ23" s="650"/>
      <c r="HR23" s="650"/>
      <c r="HS23" s="650"/>
      <c r="HT23" s="650"/>
      <c r="HU23" s="650"/>
      <c r="HV23" s="650"/>
      <c r="HW23" s="650"/>
      <c r="HX23" s="650"/>
      <c r="HY23" s="650"/>
      <c r="HZ23" s="650"/>
      <c r="IA23" s="650"/>
      <c r="IB23" s="650"/>
      <c r="IC23" s="650"/>
      <c r="ID23" s="650"/>
      <c r="IE23" s="650"/>
      <c r="IF23" s="650"/>
      <c r="IG23" s="650"/>
      <c r="IH23" s="650"/>
      <c r="II23" s="650"/>
      <c r="IJ23" s="650"/>
      <c r="IK23" s="650"/>
      <c r="IL23" s="650"/>
      <c r="IM23" s="650"/>
      <c r="IN23" s="650"/>
      <c r="IO23" s="650"/>
      <c r="IP23" s="650"/>
      <c r="IQ23" s="650"/>
      <c r="IR23" s="650"/>
      <c r="IS23" s="650"/>
      <c r="IT23" s="650"/>
      <c r="IU23" s="650"/>
      <c r="IV23" s="650"/>
    </row>
    <row r="24" spans="1:256" ht="12.95" customHeight="1">
      <c r="A24" s="1932"/>
      <c r="B24" s="1923" t="s">
        <v>635</v>
      </c>
      <c r="C24" s="712" t="e">
        <f>G10</f>
        <v>#REF!</v>
      </c>
      <c r="D24" s="706">
        <v>0</v>
      </c>
      <c r="E24" s="706" t="e">
        <f t="shared" ref="E24:G33" si="0">ROUND($C24*D24,2)</f>
        <v>#REF!</v>
      </c>
      <c r="F24" s="706">
        <v>12</v>
      </c>
      <c r="G24" s="706" t="e">
        <f t="shared" si="0"/>
        <v>#REF!</v>
      </c>
      <c r="H24" s="706">
        <v>18</v>
      </c>
      <c r="I24" s="706" t="e">
        <f t="shared" ref="I24:I33" si="1">ROUND($C24*H24,2)</f>
        <v>#REF!</v>
      </c>
      <c r="J24" s="706">
        <v>18</v>
      </c>
      <c r="K24" s="706" t="e">
        <f t="shared" ref="K24:K33" si="2">ROUND($C24*J24,2)</f>
        <v>#REF!</v>
      </c>
      <c r="L24" s="706">
        <v>28</v>
      </c>
      <c r="M24" s="706" t="e">
        <f t="shared" ref="M24:M33" si="3">ROUND($C24*L24,2)</f>
        <v>#REF!</v>
      </c>
      <c r="N24" s="706">
        <v>8</v>
      </c>
      <c r="O24" s="706" t="e">
        <f t="shared" ref="O24:O33" si="4">ROUND($C24*N24,2)</f>
        <v>#REF!</v>
      </c>
      <c r="P24" s="1925" t="s">
        <v>634</v>
      </c>
      <c r="Q24" s="650"/>
      <c r="R24" s="650"/>
      <c r="S24" s="650"/>
      <c r="T24" s="650"/>
      <c r="U24" s="650"/>
      <c r="V24" s="650"/>
      <c r="W24" s="650"/>
      <c r="X24" s="650"/>
      <c r="Y24" s="650"/>
      <c r="Z24" s="650"/>
      <c r="AA24" s="650"/>
      <c r="AB24" s="650"/>
      <c r="AC24" s="650"/>
      <c r="AD24" s="650"/>
      <c r="AE24" s="650"/>
      <c r="AF24" s="650"/>
      <c r="AG24" s="650"/>
      <c r="AH24" s="650"/>
      <c r="AI24" s="650"/>
      <c r="AJ24" s="650"/>
      <c r="AK24" s="650"/>
      <c r="AL24" s="650"/>
      <c r="AM24" s="650"/>
      <c r="AN24" s="650"/>
      <c r="AO24" s="650"/>
      <c r="AP24" s="650"/>
      <c r="AQ24" s="650"/>
      <c r="AR24" s="650"/>
      <c r="AS24" s="650"/>
      <c r="AT24" s="650"/>
      <c r="AU24" s="650"/>
      <c r="AV24" s="650"/>
      <c r="AW24" s="650"/>
      <c r="AX24" s="650"/>
      <c r="AY24" s="650"/>
      <c r="AZ24" s="650"/>
      <c r="BA24" s="650"/>
      <c r="BB24" s="650"/>
      <c r="BC24" s="650"/>
      <c r="BD24" s="650"/>
      <c r="BE24" s="650"/>
      <c r="BF24" s="650"/>
      <c r="BG24" s="650"/>
      <c r="BH24" s="650"/>
      <c r="BI24" s="650"/>
      <c r="BJ24" s="650"/>
      <c r="BK24" s="650"/>
      <c r="BL24" s="650"/>
      <c r="BM24" s="650"/>
      <c r="BN24" s="650"/>
      <c r="BO24" s="650"/>
      <c r="BP24" s="650"/>
      <c r="BQ24" s="650"/>
      <c r="BR24" s="650"/>
      <c r="BS24" s="650"/>
      <c r="BT24" s="650"/>
      <c r="BU24" s="650"/>
      <c r="BV24" s="650"/>
      <c r="BW24" s="650"/>
      <c r="BX24" s="650"/>
      <c r="BY24" s="650"/>
      <c r="BZ24" s="650"/>
      <c r="CA24" s="650"/>
      <c r="CB24" s="650"/>
      <c r="CC24" s="650"/>
      <c r="CD24" s="650"/>
      <c r="CE24" s="650"/>
      <c r="CF24" s="650"/>
      <c r="CG24" s="650"/>
      <c r="CH24" s="650"/>
      <c r="CI24" s="650"/>
      <c r="CJ24" s="650"/>
      <c r="CK24" s="650"/>
      <c r="CL24" s="650"/>
      <c r="CM24" s="650"/>
      <c r="CN24" s="650"/>
      <c r="CO24" s="650"/>
      <c r="CP24" s="650"/>
      <c r="CQ24" s="650"/>
      <c r="CR24" s="650"/>
      <c r="CS24" s="650"/>
      <c r="CT24" s="650"/>
      <c r="CU24" s="650"/>
      <c r="CV24" s="650"/>
      <c r="CW24" s="650"/>
      <c r="CX24" s="650"/>
      <c r="CY24" s="650"/>
      <c r="CZ24" s="650"/>
      <c r="DA24" s="650"/>
      <c r="DB24" s="650"/>
      <c r="DC24" s="650"/>
      <c r="DD24" s="650"/>
      <c r="DE24" s="650"/>
      <c r="DF24" s="650"/>
      <c r="DG24" s="650"/>
      <c r="DH24" s="650"/>
      <c r="DI24" s="650"/>
      <c r="DJ24" s="650"/>
      <c r="DK24" s="650"/>
      <c r="DL24" s="650"/>
      <c r="DM24" s="650"/>
      <c r="DN24" s="650"/>
      <c r="DO24" s="650"/>
      <c r="DP24" s="650"/>
      <c r="DQ24" s="650"/>
      <c r="DR24" s="650"/>
      <c r="DS24" s="650"/>
      <c r="DT24" s="650"/>
      <c r="DU24" s="650"/>
      <c r="DV24" s="650"/>
      <c r="DW24" s="650"/>
      <c r="DX24" s="650"/>
      <c r="DY24" s="650"/>
      <c r="DZ24" s="650"/>
      <c r="EA24" s="650"/>
      <c r="EB24" s="650"/>
      <c r="EC24" s="650"/>
      <c r="ED24" s="650"/>
      <c r="EE24" s="650"/>
      <c r="EF24" s="650"/>
      <c r="EG24" s="650"/>
      <c r="EH24" s="650"/>
      <c r="EI24" s="650"/>
      <c r="EJ24" s="650"/>
      <c r="EK24" s="650"/>
      <c r="EL24" s="650"/>
      <c r="EM24" s="650"/>
      <c r="EN24" s="650"/>
      <c r="EO24" s="650"/>
      <c r="EP24" s="650"/>
      <c r="EQ24" s="650"/>
      <c r="ER24" s="650"/>
      <c r="ES24" s="650"/>
      <c r="ET24" s="650"/>
      <c r="EU24" s="650"/>
      <c r="EV24" s="650"/>
      <c r="EW24" s="650"/>
      <c r="EX24" s="650"/>
      <c r="EY24" s="650"/>
      <c r="EZ24" s="650"/>
      <c r="FA24" s="650"/>
      <c r="FB24" s="650"/>
      <c r="FC24" s="650"/>
      <c r="FD24" s="650"/>
      <c r="FE24" s="650"/>
      <c r="FF24" s="650"/>
      <c r="FG24" s="650"/>
      <c r="FH24" s="650"/>
      <c r="FI24" s="650"/>
      <c r="FJ24" s="650"/>
      <c r="FK24" s="650"/>
      <c r="FL24" s="650"/>
      <c r="FM24" s="650"/>
      <c r="FN24" s="650"/>
      <c r="FO24" s="650"/>
      <c r="FP24" s="650"/>
      <c r="FQ24" s="650"/>
      <c r="FR24" s="650"/>
      <c r="FS24" s="650"/>
      <c r="FT24" s="650"/>
      <c r="FU24" s="650"/>
      <c r="FV24" s="650"/>
      <c r="FW24" s="650"/>
      <c r="FX24" s="650"/>
      <c r="FY24" s="650"/>
      <c r="FZ24" s="650"/>
      <c r="GA24" s="650"/>
      <c r="GB24" s="650"/>
      <c r="GC24" s="650"/>
      <c r="GD24" s="650"/>
      <c r="GE24" s="650"/>
      <c r="GF24" s="650"/>
      <c r="GG24" s="650"/>
      <c r="GH24" s="650"/>
      <c r="GI24" s="650"/>
      <c r="GJ24" s="650"/>
      <c r="GK24" s="650"/>
      <c r="GL24" s="650"/>
      <c r="GM24" s="650"/>
      <c r="GN24" s="650"/>
      <c r="GO24" s="650"/>
      <c r="GP24" s="650"/>
      <c r="GQ24" s="650"/>
      <c r="GR24" s="650"/>
      <c r="GS24" s="650"/>
      <c r="GT24" s="650"/>
      <c r="GU24" s="650"/>
      <c r="GV24" s="650"/>
      <c r="GW24" s="650"/>
      <c r="GX24" s="650"/>
      <c r="GY24" s="650"/>
      <c r="GZ24" s="650"/>
      <c r="HA24" s="650"/>
      <c r="HB24" s="650"/>
      <c r="HC24" s="650"/>
      <c r="HD24" s="650"/>
      <c r="HE24" s="650"/>
      <c r="HF24" s="650"/>
      <c r="HG24" s="650"/>
      <c r="HH24" s="650"/>
      <c r="HI24" s="650"/>
      <c r="HJ24" s="650"/>
      <c r="HK24" s="650"/>
      <c r="HL24" s="650"/>
      <c r="HM24" s="650"/>
      <c r="HN24" s="650"/>
      <c r="HO24" s="650"/>
      <c r="HP24" s="650"/>
      <c r="HQ24" s="650"/>
      <c r="HR24" s="650"/>
      <c r="HS24" s="650"/>
      <c r="HT24" s="650"/>
      <c r="HU24" s="650"/>
      <c r="HV24" s="650"/>
      <c r="HW24" s="650"/>
      <c r="HX24" s="650"/>
      <c r="HY24" s="650"/>
      <c r="HZ24" s="650"/>
      <c r="IA24" s="650"/>
      <c r="IB24" s="650"/>
      <c r="IC24" s="650"/>
      <c r="ID24" s="650"/>
      <c r="IE24" s="650"/>
      <c r="IF24" s="650"/>
      <c r="IG24" s="650"/>
      <c r="IH24" s="650"/>
      <c r="II24" s="650"/>
      <c r="IJ24" s="650"/>
      <c r="IK24" s="650"/>
      <c r="IL24" s="650"/>
      <c r="IM24" s="650"/>
      <c r="IN24" s="650"/>
      <c r="IO24" s="650"/>
      <c r="IP24" s="650"/>
      <c r="IQ24" s="650"/>
      <c r="IR24" s="650"/>
      <c r="IS24" s="650"/>
      <c r="IT24" s="650"/>
      <c r="IU24" s="650"/>
      <c r="IV24" s="650"/>
    </row>
    <row r="25" spans="1:256" ht="12.95" customHeight="1">
      <c r="A25" s="1932"/>
      <c r="B25" s="1924"/>
      <c r="C25" s="710" t="e">
        <f>G10</f>
        <v>#REF!</v>
      </c>
      <c r="D25" s="711">
        <v>2</v>
      </c>
      <c r="E25" s="711" t="e">
        <f t="shared" si="0"/>
        <v>#REF!</v>
      </c>
      <c r="F25" s="711">
        <v>5</v>
      </c>
      <c r="G25" s="711" t="e">
        <f t="shared" si="0"/>
        <v>#REF!</v>
      </c>
      <c r="H25" s="711">
        <v>7</v>
      </c>
      <c r="I25" s="711" t="e">
        <f t="shared" si="1"/>
        <v>#REF!</v>
      </c>
      <c r="J25" s="711">
        <v>8</v>
      </c>
      <c r="K25" s="711" t="e">
        <f t="shared" si="2"/>
        <v>#REF!</v>
      </c>
      <c r="L25" s="711">
        <v>0</v>
      </c>
      <c r="M25" s="711" t="e">
        <f t="shared" si="3"/>
        <v>#REF!</v>
      </c>
      <c r="N25" s="711">
        <v>0</v>
      </c>
      <c r="O25" s="711" t="e">
        <f t="shared" si="4"/>
        <v>#REF!</v>
      </c>
      <c r="P25" s="1926"/>
      <c r="Q25" s="650"/>
      <c r="R25" s="650"/>
      <c r="S25" s="650"/>
      <c r="T25" s="1907" t="s">
        <v>636</v>
      </c>
      <c r="U25" s="1907"/>
      <c r="V25" s="1907"/>
      <c r="W25" s="1907"/>
      <c r="X25" s="650"/>
      <c r="Y25" s="650"/>
      <c r="Z25" s="650"/>
      <c r="AA25" s="650"/>
      <c r="AB25" s="650"/>
      <c r="AC25" s="650"/>
      <c r="AD25" s="650"/>
      <c r="AE25" s="650"/>
      <c r="AF25" s="650"/>
      <c r="AG25" s="650"/>
      <c r="AH25" s="650"/>
      <c r="AI25" s="650"/>
      <c r="AJ25" s="650"/>
      <c r="AK25" s="650"/>
      <c r="AL25" s="650"/>
      <c r="AM25" s="650"/>
      <c r="AN25" s="650"/>
      <c r="AO25" s="650"/>
      <c r="AP25" s="650"/>
      <c r="AQ25" s="650"/>
      <c r="AR25" s="650"/>
      <c r="AS25" s="650"/>
      <c r="AT25" s="650"/>
      <c r="AU25" s="650"/>
      <c r="AV25" s="650"/>
      <c r="AW25" s="650"/>
      <c r="AX25" s="650"/>
      <c r="AY25" s="650"/>
      <c r="AZ25" s="650"/>
      <c r="BA25" s="650"/>
      <c r="BB25" s="650"/>
      <c r="BC25" s="650"/>
      <c r="BD25" s="650"/>
      <c r="BE25" s="650"/>
      <c r="BF25" s="650"/>
      <c r="BG25" s="650"/>
      <c r="BH25" s="650"/>
      <c r="BI25" s="650"/>
      <c r="BJ25" s="650"/>
      <c r="BK25" s="650"/>
      <c r="BL25" s="650"/>
      <c r="BM25" s="650"/>
      <c r="BN25" s="650"/>
      <c r="BO25" s="650"/>
      <c r="BP25" s="650"/>
      <c r="BQ25" s="650"/>
      <c r="BR25" s="650"/>
      <c r="BS25" s="650"/>
      <c r="BT25" s="650"/>
      <c r="BU25" s="650"/>
      <c r="BV25" s="650"/>
      <c r="BW25" s="650"/>
      <c r="BX25" s="650"/>
      <c r="BY25" s="650"/>
      <c r="BZ25" s="650"/>
      <c r="CA25" s="650"/>
      <c r="CB25" s="650"/>
      <c r="CC25" s="650"/>
      <c r="CD25" s="650"/>
      <c r="CE25" s="650"/>
      <c r="CF25" s="650"/>
      <c r="CG25" s="650"/>
      <c r="CH25" s="650"/>
      <c r="CI25" s="650"/>
      <c r="CJ25" s="650"/>
      <c r="CK25" s="650"/>
      <c r="CL25" s="650"/>
      <c r="CM25" s="650"/>
      <c r="CN25" s="650"/>
      <c r="CO25" s="650"/>
      <c r="CP25" s="650"/>
      <c r="CQ25" s="650"/>
      <c r="CR25" s="650"/>
      <c r="CS25" s="650"/>
      <c r="CT25" s="650"/>
      <c r="CU25" s="650"/>
      <c r="CV25" s="650"/>
      <c r="CW25" s="650"/>
      <c r="CX25" s="650"/>
      <c r="CY25" s="650"/>
      <c r="CZ25" s="650"/>
      <c r="DA25" s="650"/>
      <c r="DB25" s="650"/>
      <c r="DC25" s="650"/>
      <c r="DD25" s="650"/>
      <c r="DE25" s="650"/>
      <c r="DF25" s="650"/>
      <c r="DG25" s="650"/>
      <c r="DH25" s="650"/>
      <c r="DI25" s="650"/>
      <c r="DJ25" s="650"/>
      <c r="DK25" s="650"/>
      <c r="DL25" s="650"/>
      <c r="DM25" s="650"/>
      <c r="DN25" s="650"/>
      <c r="DO25" s="650"/>
      <c r="DP25" s="650"/>
      <c r="DQ25" s="650"/>
      <c r="DR25" s="650"/>
      <c r="DS25" s="650"/>
      <c r="DT25" s="650"/>
      <c r="DU25" s="650"/>
      <c r="DV25" s="650"/>
      <c r="DW25" s="650"/>
      <c r="DX25" s="650"/>
      <c r="DY25" s="650"/>
      <c r="DZ25" s="650"/>
      <c r="EA25" s="650"/>
      <c r="EB25" s="650"/>
      <c r="EC25" s="650"/>
      <c r="ED25" s="650"/>
      <c r="EE25" s="650"/>
      <c r="EF25" s="650"/>
      <c r="EG25" s="650"/>
      <c r="EH25" s="650"/>
      <c r="EI25" s="650"/>
      <c r="EJ25" s="650"/>
      <c r="EK25" s="650"/>
      <c r="EL25" s="650"/>
      <c r="EM25" s="650"/>
      <c r="EN25" s="650"/>
      <c r="EO25" s="650"/>
      <c r="EP25" s="650"/>
      <c r="EQ25" s="650"/>
      <c r="ER25" s="650"/>
      <c r="ES25" s="650"/>
      <c r="ET25" s="650"/>
      <c r="EU25" s="650"/>
      <c r="EV25" s="650"/>
      <c r="EW25" s="650"/>
      <c r="EX25" s="650"/>
      <c r="EY25" s="650"/>
      <c r="EZ25" s="650"/>
      <c r="FA25" s="650"/>
      <c r="FB25" s="650"/>
      <c r="FC25" s="650"/>
      <c r="FD25" s="650"/>
      <c r="FE25" s="650"/>
      <c r="FF25" s="650"/>
      <c r="FG25" s="650"/>
      <c r="FH25" s="650"/>
      <c r="FI25" s="650"/>
      <c r="FJ25" s="650"/>
      <c r="FK25" s="650"/>
      <c r="FL25" s="650"/>
      <c r="FM25" s="650"/>
      <c r="FN25" s="650"/>
      <c r="FO25" s="650"/>
      <c r="FP25" s="650"/>
      <c r="FQ25" s="650"/>
      <c r="FR25" s="650"/>
      <c r="FS25" s="650"/>
      <c r="FT25" s="650"/>
      <c r="FU25" s="650"/>
      <c r="FV25" s="650"/>
      <c r="FW25" s="650"/>
      <c r="FX25" s="650"/>
      <c r="FY25" s="650"/>
      <c r="FZ25" s="650"/>
      <c r="GA25" s="650"/>
      <c r="GB25" s="650"/>
      <c r="GC25" s="650"/>
      <c r="GD25" s="650"/>
      <c r="GE25" s="650"/>
      <c r="GF25" s="650"/>
      <c r="GG25" s="650"/>
      <c r="GH25" s="650"/>
      <c r="GI25" s="650"/>
      <c r="GJ25" s="650"/>
      <c r="GK25" s="650"/>
      <c r="GL25" s="650"/>
      <c r="GM25" s="650"/>
      <c r="GN25" s="650"/>
      <c r="GO25" s="650"/>
      <c r="GP25" s="650"/>
      <c r="GQ25" s="650"/>
      <c r="GR25" s="650"/>
      <c r="GS25" s="650"/>
      <c r="GT25" s="650"/>
      <c r="GU25" s="650"/>
      <c r="GV25" s="650"/>
      <c r="GW25" s="650"/>
      <c r="GX25" s="650"/>
      <c r="GY25" s="650"/>
      <c r="GZ25" s="650"/>
      <c r="HA25" s="650"/>
      <c r="HB25" s="650"/>
      <c r="HC25" s="650"/>
      <c r="HD25" s="650"/>
      <c r="HE25" s="650"/>
      <c r="HF25" s="650"/>
      <c r="HG25" s="650"/>
      <c r="HH25" s="650"/>
      <c r="HI25" s="650"/>
      <c r="HJ25" s="650"/>
      <c r="HK25" s="650"/>
      <c r="HL25" s="650"/>
      <c r="HM25" s="650"/>
      <c r="HN25" s="650"/>
      <c r="HO25" s="650"/>
      <c r="HP25" s="650"/>
      <c r="HQ25" s="650"/>
      <c r="HR25" s="650"/>
      <c r="HS25" s="650"/>
      <c r="HT25" s="650"/>
      <c r="HU25" s="650"/>
      <c r="HV25" s="650"/>
      <c r="HW25" s="650"/>
      <c r="HX25" s="650"/>
      <c r="HY25" s="650"/>
      <c r="HZ25" s="650"/>
      <c r="IA25" s="650"/>
      <c r="IB25" s="650"/>
      <c r="IC25" s="650"/>
      <c r="ID25" s="650"/>
      <c r="IE25" s="650"/>
      <c r="IF25" s="650"/>
      <c r="IG25" s="650"/>
      <c r="IH25" s="650"/>
      <c r="II25" s="650"/>
      <c r="IJ25" s="650"/>
      <c r="IK25" s="650"/>
      <c r="IL25" s="650"/>
      <c r="IM25" s="650"/>
      <c r="IN25" s="650"/>
      <c r="IO25" s="650"/>
      <c r="IP25" s="650"/>
      <c r="IQ25" s="650"/>
      <c r="IR25" s="650"/>
      <c r="IS25" s="650"/>
      <c r="IT25" s="650"/>
      <c r="IU25" s="650"/>
      <c r="IV25" s="650"/>
    </row>
    <row r="26" spans="1:256" ht="12.95" customHeight="1">
      <c r="A26" s="1932"/>
      <c r="B26" s="1923" t="s">
        <v>637</v>
      </c>
      <c r="C26" s="712" t="e">
        <f>+G11</f>
        <v>#REF!</v>
      </c>
      <c r="D26" s="706">
        <v>0</v>
      </c>
      <c r="E26" s="706" t="e">
        <f t="shared" si="0"/>
        <v>#REF!</v>
      </c>
      <c r="F26" s="706">
        <v>15.5</v>
      </c>
      <c r="G26" s="706" t="e">
        <f t="shared" si="0"/>
        <v>#REF!</v>
      </c>
      <c r="H26" s="706">
        <v>18</v>
      </c>
      <c r="I26" s="706" t="e">
        <f t="shared" si="1"/>
        <v>#REF!</v>
      </c>
      <c r="J26" s="706">
        <v>18</v>
      </c>
      <c r="K26" s="706" t="e">
        <f t="shared" si="2"/>
        <v>#REF!</v>
      </c>
      <c r="L26" s="706">
        <v>32</v>
      </c>
      <c r="M26" s="706" t="e">
        <f t="shared" si="3"/>
        <v>#REF!</v>
      </c>
      <c r="N26" s="706">
        <v>4</v>
      </c>
      <c r="O26" s="706" t="e">
        <f t="shared" si="4"/>
        <v>#REF!</v>
      </c>
      <c r="P26" s="1925" t="s">
        <v>634</v>
      </c>
      <c r="Q26" s="650"/>
      <c r="R26" s="650"/>
      <c r="S26" s="650"/>
      <c r="T26" s="650"/>
      <c r="U26" s="713"/>
      <c r="V26" s="714" t="s">
        <v>638</v>
      </c>
      <c r="W26" s="1922">
        <v>10</v>
      </c>
      <c r="X26" s="1922">
        <v>30</v>
      </c>
      <c r="Y26" s="1922">
        <v>60</v>
      </c>
      <c r="Z26" s="1922">
        <v>150</v>
      </c>
      <c r="AA26" s="650"/>
      <c r="AB26" s="650"/>
      <c r="AC26" s="650"/>
      <c r="AD26" s="650"/>
      <c r="AE26" s="650"/>
      <c r="AF26" s="650"/>
      <c r="AG26" s="650"/>
      <c r="AH26" s="650"/>
      <c r="AI26" s="650"/>
      <c r="AJ26" s="650"/>
      <c r="AK26" s="650"/>
      <c r="AL26" s="650"/>
      <c r="AM26" s="650"/>
      <c r="AN26" s="650"/>
      <c r="AO26" s="650"/>
      <c r="AP26" s="650"/>
      <c r="AQ26" s="650"/>
      <c r="AR26" s="650"/>
      <c r="AS26" s="650"/>
      <c r="AT26" s="650"/>
      <c r="AU26" s="650"/>
      <c r="AV26" s="650"/>
      <c r="AW26" s="650"/>
      <c r="AX26" s="650"/>
      <c r="AY26" s="650"/>
      <c r="AZ26" s="650"/>
      <c r="BA26" s="650"/>
      <c r="BB26" s="650"/>
      <c r="BC26" s="650"/>
      <c r="BD26" s="650"/>
      <c r="BE26" s="650"/>
      <c r="BF26" s="650"/>
      <c r="BG26" s="650"/>
      <c r="BH26" s="650"/>
      <c r="BI26" s="650"/>
      <c r="BJ26" s="650"/>
      <c r="BK26" s="650"/>
      <c r="BL26" s="650"/>
      <c r="BM26" s="650"/>
      <c r="BN26" s="650"/>
      <c r="BO26" s="650"/>
      <c r="BP26" s="650"/>
      <c r="BQ26" s="650"/>
      <c r="BR26" s="650"/>
      <c r="BS26" s="650"/>
      <c r="BT26" s="650"/>
      <c r="BU26" s="650"/>
      <c r="BV26" s="650"/>
      <c r="BW26" s="650"/>
      <c r="BX26" s="650"/>
      <c r="BY26" s="650"/>
      <c r="BZ26" s="650"/>
      <c r="CA26" s="650"/>
      <c r="CB26" s="650"/>
      <c r="CC26" s="650"/>
      <c r="CD26" s="650"/>
      <c r="CE26" s="650"/>
      <c r="CF26" s="650"/>
      <c r="CG26" s="650"/>
      <c r="CH26" s="650"/>
      <c r="CI26" s="650"/>
      <c r="CJ26" s="650"/>
      <c r="CK26" s="650"/>
      <c r="CL26" s="650"/>
      <c r="CM26" s="650"/>
      <c r="CN26" s="650"/>
      <c r="CO26" s="650"/>
      <c r="CP26" s="650"/>
      <c r="CQ26" s="650"/>
      <c r="CR26" s="650"/>
      <c r="CS26" s="650"/>
      <c r="CT26" s="650"/>
      <c r="CU26" s="650"/>
      <c r="CV26" s="650"/>
      <c r="CW26" s="650"/>
      <c r="CX26" s="650"/>
      <c r="CY26" s="650"/>
      <c r="CZ26" s="650"/>
      <c r="DA26" s="650"/>
      <c r="DB26" s="650"/>
      <c r="DC26" s="650"/>
      <c r="DD26" s="650"/>
      <c r="DE26" s="650"/>
      <c r="DF26" s="650"/>
      <c r="DG26" s="650"/>
      <c r="DH26" s="650"/>
      <c r="DI26" s="650"/>
      <c r="DJ26" s="650"/>
      <c r="DK26" s="650"/>
      <c r="DL26" s="650"/>
      <c r="DM26" s="650"/>
      <c r="DN26" s="650"/>
      <c r="DO26" s="650"/>
      <c r="DP26" s="650"/>
      <c r="DQ26" s="650"/>
      <c r="DR26" s="650"/>
      <c r="DS26" s="650"/>
      <c r="DT26" s="650"/>
      <c r="DU26" s="650"/>
      <c r="DV26" s="650"/>
      <c r="DW26" s="650"/>
      <c r="DX26" s="650"/>
      <c r="DY26" s="650"/>
      <c r="DZ26" s="650"/>
      <c r="EA26" s="650"/>
      <c r="EB26" s="650"/>
      <c r="EC26" s="650"/>
      <c r="ED26" s="650"/>
      <c r="EE26" s="650"/>
      <c r="EF26" s="650"/>
      <c r="EG26" s="650"/>
      <c r="EH26" s="650"/>
      <c r="EI26" s="650"/>
      <c r="EJ26" s="650"/>
      <c r="EK26" s="650"/>
      <c r="EL26" s="650"/>
      <c r="EM26" s="650"/>
      <c r="EN26" s="650"/>
      <c r="EO26" s="650"/>
      <c r="EP26" s="650"/>
      <c r="EQ26" s="650"/>
      <c r="ER26" s="650"/>
      <c r="ES26" s="650"/>
      <c r="ET26" s="650"/>
      <c r="EU26" s="650"/>
      <c r="EV26" s="650"/>
      <c r="EW26" s="650"/>
      <c r="EX26" s="650"/>
      <c r="EY26" s="650"/>
      <c r="EZ26" s="650"/>
      <c r="FA26" s="650"/>
      <c r="FB26" s="650"/>
      <c r="FC26" s="650"/>
      <c r="FD26" s="650"/>
      <c r="FE26" s="650"/>
      <c r="FF26" s="650"/>
      <c r="FG26" s="650"/>
      <c r="FH26" s="650"/>
      <c r="FI26" s="650"/>
      <c r="FJ26" s="650"/>
      <c r="FK26" s="650"/>
      <c r="FL26" s="650"/>
      <c r="FM26" s="650"/>
      <c r="FN26" s="650"/>
      <c r="FO26" s="650"/>
      <c r="FP26" s="650"/>
      <c r="FQ26" s="650"/>
      <c r="FR26" s="650"/>
      <c r="FS26" s="650"/>
      <c r="FT26" s="650"/>
      <c r="FU26" s="650"/>
      <c r="FV26" s="650"/>
      <c r="FW26" s="650"/>
      <c r="FX26" s="650"/>
      <c r="FY26" s="650"/>
      <c r="FZ26" s="650"/>
      <c r="GA26" s="650"/>
      <c r="GB26" s="650"/>
      <c r="GC26" s="650"/>
      <c r="GD26" s="650"/>
      <c r="GE26" s="650"/>
      <c r="GF26" s="650"/>
      <c r="GG26" s="650"/>
      <c r="GH26" s="650"/>
      <c r="GI26" s="650"/>
      <c r="GJ26" s="650"/>
      <c r="GK26" s="650"/>
      <c r="GL26" s="650"/>
      <c r="GM26" s="650"/>
      <c r="GN26" s="650"/>
      <c r="GO26" s="650"/>
      <c r="GP26" s="650"/>
      <c r="GQ26" s="650"/>
      <c r="GR26" s="650"/>
      <c r="GS26" s="650"/>
      <c r="GT26" s="650"/>
      <c r="GU26" s="650"/>
      <c r="GV26" s="650"/>
      <c r="GW26" s="650"/>
      <c r="GX26" s="650"/>
      <c r="GY26" s="650"/>
      <c r="GZ26" s="650"/>
      <c r="HA26" s="650"/>
      <c r="HB26" s="650"/>
      <c r="HC26" s="650"/>
      <c r="HD26" s="650"/>
      <c r="HE26" s="650"/>
      <c r="HF26" s="650"/>
      <c r="HG26" s="650"/>
      <c r="HH26" s="650"/>
      <c r="HI26" s="650"/>
      <c r="HJ26" s="650"/>
      <c r="HK26" s="650"/>
      <c r="HL26" s="650"/>
      <c r="HM26" s="650"/>
      <c r="HN26" s="650"/>
      <c r="HO26" s="650"/>
      <c r="HP26" s="650"/>
      <c r="HQ26" s="650"/>
      <c r="HR26" s="650"/>
      <c r="HS26" s="650"/>
      <c r="HT26" s="650"/>
      <c r="HU26" s="650"/>
      <c r="HV26" s="650"/>
      <c r="HW26" s="650"/>
      <c r="HX26" s="650"/>
      <c r="HY26" s="650"/>
      <c r="HZ26" s="650"/>
      <c r="IA26" s="650"/>
      <c r="IB26" s="650"/>
      <c r="IC26" s="650"/>
      <c r="ID26" s="650"/>
      <c r="IE26" s="650"/>
      <c r="IF26" s="650"/>
      <c r="IG26" s="650"/>
      <c r="IH26" s="650"/>
      <c r="II26" s="650"/>
      <c r="IJ26" s="650"/>
      <c r="IK26" s="650"/>
      <c r="IL26" s="650"/>
      <c r="IM26" s="650"/>
      <c r="IN26" s="650"/>
      <c r="IO26" s="650"/>
      <c r="IP26" s="650"/>
      <c r="IQ26" s="650"/>
      <c r="IR26" s="650"/>
      <c r="IS26" s="650"/>
      <c r="IT26" s="650"/>
      <c r="IU26" s="650"/>
      <c r="IV26" s="650"/>
    </row>
    <row r="27" spans="1:256" ht="12.95" customHeight="1">
      <c r="A27" s="1932"/>
      <c r="B27" s="1924"/>
      <c r="C27" s="710" t="e">
        <f>+G11</f>
        <v>#REF!</v>
      </c>
      <c r="D27" s="711">
        <v>0</v>
      </c>
      <c r="E27" s="711" t="e">
        <f t="shared" si="0"/>
        <v>#REF!</v>
      </c>
      <c r="F27" s="711">
        <v>6.5</v>
      </c>
      <c r="G27" s="711" t="e">
        <f t="shared" si="0"/>
        <v>#REF!</v>
      </c>
      <c r="H27" s="711">
        <v>9</v>
      </c>
      <c r="I27" s="711" t="e">
        <f t="shared" si="1"/>
        <v>#REF!</v>
      </c>
      <c r="J27" s="711">
        <v>10</v>
      </c>
      <c r="K27" s="711" t="e">
        <f t="shared" si="2"/>
        <v>#REF!</v>
      </c>
      <c r="L27" s="711">
        <v>0</v>
      </c>
      <c r="M27" s="711" t="e">
        <f t="shared" si="3"/>
        <v>#REF!</v>
      </c>
      <c r="N27" s="711">
        <v>0</v>
      </c>
      <c r="O27" s="711" t="e">
        <f t="shared" si="4"/>
        <v>#REF!</v>
      </c>
      <c r="P27" s="1926"/>
      <c r="Q27" s="650"/>
      <c r="R27" s="650"/>
      <c r="S27" s="650"/>
      <c r="T27" s="650"/>
      <c r="U27" s="715" t="s">
        <v>639</v>
      </c>
      <c r="V27" s="716"/>
      <c r="W27" s="1922"/>
      <c r="X27" s="1922"/>
      <c r="Y27" s="1922"/>
      <c r="Z27" s="1922"/>
      <c r="AA27" s="650"/>
      <c r="AB27" s="650"/>
      <c r="AC27" s="650"/>
      <c r="AD27" s="650"/>
      <c r="AE27" s="650"/>
      <c r="AF27" s="650"/>
      <c r="AG27" s="650"/>
      <c r="AH27" s="650"/>
      <c r="AI27" s="650"/>
      <c r="AJ27" s="650"/>
      <c r="AK27" s="650"/>
      <c r="AL27" s="650"/>
      <c r="AM27" s="650"/>
      <c r="AN27" s="650"/>
      <c r="AO27" s="650"/>
      <c r="AP27" s="650"/>
      <c r="AQ27" s="650"/>
      <c r="AR27" s="650"/>
      <c r="AS27" s="650"/>
      <c r="AT27" s="650"/>
      <c r="AU27" s="650"/>
      <c r="AV27" s="650"/>
      <c r="AW27" s="650"/>
      <c r="AX27" s="650"/>
      <c r="AY27" s="650"/>
      <c r="AZ27" s="650"/>
      <c r="BA27" s="650"/>
      <c r="BB27" s="650"/>
      <c r="BC27" s="650"/>
      <c r="BD27" s="650"/>
      <c r="BE27" s="650"/>
      <c r="BF27" s="650"/>
      <c r="BG27" s="650"/>
      <c r="BH27" s="650"/>
      <c r="BI27" s="650"/>
      <c r="BJ27" s="650"/>
      <c r="BK27" s="650"/>
      <c r="BL27" s="650"/>
      <c r="BM27" s="650"/>
      <c r="BN27" s="650"/>
      <c r="BO27" s="650"/>
      <c r="BP27" s="650"/>
      <c r="BQ27" s="650"/>
      <c r="BR27" s="650"/>
      <c r="BS27" s="650"/>
      <c r="BT27" s="650"/>
      <c r="BU27" s="650"/>
      <c r="BV27" s="650"/>
      <c r="BW27" s="650"/>
      <c r="BX27" s="650"/>
      <c r="BY27" s="650"/>
      <c r="BZ27" s="650"/>
      <c r="CA27" s="650"/>
      <c r="CB27" s="650"/>
      <c r="CC27" s="650"/>
      <c r="CD27" s="650"/>
      <c r="CE27" s="650"/>
      <c r="CF27" s="650"/>
      <c r="CG27" s="650"/>
      <c r="CH27" s="650"/>
      <c r="CI27" s="650"/>
      <c r="CJ27" s="650"/>
      <c r="CK27" s="650"/>
      <c r="CL27" s="650"/>
      <c r="CM27" s="650"/>
      <c r="CN27" s="650"/>
      <c r="CO27" s="650"/>
      <c r="CP27" s="650"/>
      <c r="CQ27" s="650"/>
      <c r="CR27" s="650"/>
      <c r="CS27" s="650"/>
      <c r="CT27" s="650"/>
      <c r="CU27" s="650"/>
      <c r="CV27" s="650"/>
      <c r="CW27" s="650"/>
      <c r="CX27" s="650"/>
      <c r="CY27" s="650"/>
      <c r="CZ27" s="650"/>
      <c r="DA27" s="650"/>
      <c r="DB27" s="650"/>
      <c r="DC27" s="650"/>
      <c r="DD27" s="650"/>
      <c r="DE27" s="650"/>
      <c r="DF27" s="650"/>
      <c r="DG27" s="650"/>
      <c r="DH27" s="650"/>
      <c r="DI27" s="650"/>
      <c r="DJ27" s="650"/>
      <c r="DK27" s="650"/>
      <c r="DL27" s="650"/>
      <c r="DM27" s="650"/>
      <c r="DN27" s="650"/>
      <c r="DO27" s="650"/>
      <c r="DP27" s="650"/>
      <c r="DQ27" s="650"/>
      <c r="DR27" s="650"/>
      <c r="DS27" s="650"/>
      <c r="DT27" s="650"/>
      <c r="DU27" s="650"/>
      <c r="DV27" s="650"/>
      <c r="DW27" s="650"/>
      <c r="DX27" s="650"/>
      <c r="DY27" s="650"/>
      <c r="DZ27" s="650"/>
      <c r="EA27" s="650"/>
      <c r="EB27" s="650"/>
      <c r="EC27" s="650"/>
      <c r="ED27" s="650"/>
      <c r="EE27" s="650"/>
      <c r="EF27" s="650"/>
      <c r="EG27" s="650"/>
      <c r="EH27" s="650"/>
      <c r="EI27" s="650"/>
      <c r="EJ27" s="650"/>
      <c r="EK27" s="650"/>
      <c r="EL27" s="650"/>
      <c r="EM27" s="650"/>
      <c r="EN27" s="650"/>
      <c r="EO27" s="650"/>
      <c r="EP27" s="650"/>
      <c r="EQ27" s="650"/>
      <c r="ER27" s="650"/>
      <c r="ES27" s="650"/>
      <c r="ET27" s="650"/>
      <c r="EU27" s="650"/>
      <c r="EV27" s="650"/>
      <c r="EW27" s="650"/>
      <c r="EX27" s="650"/>
      <c r="EY27" s="650"/>
      <c r="EZ27" s="650"/>
      <c r="FA27" s="650"/>
      <c r="FB27" s="650"/>
      <c r="FC27" s="650"/>
      <c r="FD27" s="650"/>
      <c r="FE27" s="650"/>
      <c r="FF27" s="650"/>
      <c r="FG27" s="650"/>
      <c r="FH27" s="650"/>
      <c r="FI27" s="650"/>
      <c r="FJ27" s="650"/>
      <c r="FK27" s="650"/>
      <c r="FL27" s="650"/>
      <c r="FM27" s="650"/>
      <c r="FN27" s="650"/>
      <c r="FO27" s="650"/>
      <c r="FP27" s="650"/>
      <c r="FQ27" s="650"/>
      <c r="FR27" s="650"/>
      <c r="FS27" s="650"/>
      <c r="FT27" s="650"/>
      <c r="FU27" s="650"/>
      <c r="FV27" s="650"/>
      <c r="FW27" s="650"/>
      <c r="FX27" s="650"/>
      <c r="FY27" s="650"/>
      <c r="FZ27" s="650"/>
      <c r="GA27" s="650"/>
      <c r="GB27" s="650"/>
      <c r="GC27" s="650"/>
      <c r="GD27" s="650"/>
      <c r="GE27" s="650"/>
      <c r="GF27" s="650"/>
      <c r="GG27" s="650"/>
      <c r="GH27" s="650"/>
      <c r="GI27" s="650"/>
      <c r="GJ27" s="650"/>
      <c r="GK27" s="650"/>
      <c r="GL27" s="650"/>
      <c r="GM27" s="650"/>
      <c r="GN27" s="650"/>
      <c r="GO27" s="650"/>
      <c r="GP27" s="650"/>
      <c r="GQ27" s="650"/>
      <c r="GR27" s="650"/>
      <c r="GS27" s="650"/>
      <c r="GT27" s="650"/>
      <c r="GU27" s="650"/>
      <c r="GV27" s="650"/>
      <c r="GW27" s="650"/>
      <c r="GX27" s="650"/>
      <c r="GY27" s="650"/>
      <c r="GZ27" s="650"/>
      <c r="HA27" s="650"/>
      <c r="HB27" s="650"/>
      <c r="HC27" s="650"/>
      <c r="HD27" s="650"/>
      <c r="HE27" s="650"/>
      <c r="HF27" s="650"/>
      <c r="HG27" s="650"/>
      <c r="HH27" s="650"/>
      <c r="HI27" s="650"/>
      <c r="HJ27" s="650"/>
      <c r="HK27" s="650"/>
      <c r="HL27" s="650"/>
      <c r="HM27" s="650"/>
      <c r="HN27" s="650"/>
      <c r="HO27" s="650"/>
      <c r="HP27" s="650"/>
      <c r="HQ27" s="650"/>
      <c r="HR27" s="650"/>
      <c r="HS27" s="650"/>
      <c r="HT27" s="650"/>
      <c r="HU27" s="650"/>
      <c r="HV27" s="650"/>
      <c r="HW27" s="650"/>
      <c r="HX27" s="650"/>
      <c r="HY27" s="650"/>
      <c r="HZ27" s="650"/>
      <c r="IA27" s="650"/>
      <c r="IB27" s="650"/>
      <c r="IC27" s="650"/>
      <c r="ID27" s="650"/>
      <c r="IE27" s="650"/>
      <c r="IF27" s="650"/>
      <c r="IG27" s="650"/>
      <c r="IH27" s="650"/>
      <c r="II27" s="650"/>
      <c r="IJ27" s="650"/>
      <c r="IK27" s="650"/>
      <c r="IL27" s="650"/>
      <c r="IM27" s="650"/>
      <c r="IN27" s="650"/>
      <c r="IO27" s="650"/>
      <c r="IP27" s="650"/>
      <c r="IQ27" s="650"/>
      <c r="IR27" s="650"/>
      <c r="IS27" s="650"/>
      <c r="IT27" s="650"/>
      <c r="IU27" s="650"/>
      <c r="IV27" s="650"/>
    </row>
    <row r="28" spans="1:256" ht="12.95" customHeight="1">
      <c r="A28" s="1932"/>
      <c r="B28" s="1923" t="s">
        <v>640</v>
      </c>
      <c r="C28" s="712" t="e">
        <f>+G12</f>
        <v>#REF!</v>
      </c>
      <c r="D28" s="706">
        <v>0</v>
      </c>
      <c r="E28" s="706" t="e">
        <f t="shared" si="0"/>
        <v>#REF!</v>
      </c>
      <c r="F28" s="706">
        <v>21.5</v>
      </c>
      <c r="G28" s="706" t="e">
        <f t="shared" si="0"/>
        <v>#REF!</v>
      </c>
      <c r="H28" s="706">
        <v>23</v>
      </c>
      <c r="I28" s="706" t="e">
        <f t="shared" si="1"/>
        <v>#REF!</v>
      </c>
      <c r="J28" s="706">
        <v>23</v>
      </c>
      <c r="K28" s="706" t="e">
        <f t="shared" si="2"/>
        <v>#REF!</v>
      </c>
      <c r="L28" s="706">
        <v>40</v>
      </c>
      <c r="M28" s="706" t="e">
        <f t="shared" si="3"/>
        <v>#REF!</v>
      </c>
      <c r="N28" s="706">
        <v>6</v>
      </c>
      <c r="O28" s="706" t="e">
        <f t="shared" si="4"/>
        <v>#REF!</v>
      </c>
      <c r="P28" s="1925" t="s">
        <v>634</v>
      </c>
      <c r="Q28" s="650"/>
      <c r="R28" s="650"/>
      <c r="S28" s="650"/>
      <c r="T28" s="650"/>
      <c r="U28" s="717" t="s">
        <v>641</v>
      </c>
      <c r="V28" s="717" t="s">
        <v>642</v>
      </c>
      <c r="W28" s="718">
        <v>1000</v>
      </c>
      <c r="X28" s="718">
        <v>1000</v>
      </c>
      <c r="Y28" s="718">
        <v>1000</v>
      </c>
      <c r="Z28" s="718">
        <v>1000</v>
      </c>
      <c r="AA28" s="650"/>
      <c r="AB28" s="650"/>
      <c r="AC28" s="650"/>
      <c r="AD28" s="650"/>
      <c r="AE28" s="650"/>
      <c r="AF28" s="650"/>
      <c r="AG28" s="650"/>
      <c r="AH28" s="650"/>
      <c r="AI28" s="650"/>
      <c r="AJ28" s="650"/>
      <c r="AK28" s="650"/>
      <c r="AL28" s="650"/>
      <c r="AM28" s="650"/>
      <c r="AN28" s="650"/>
      <c r="AO28" s="650"/>
      <c r="AP28" s="650"/>
      <c r="AQ28" s="650"/>
      <c r="AR28" s="650"/>
      <c r="AS28" s="650"/>
      <c r="AT28" s="650"/>
      <c r="AU28" s="650"/>
      <c r="AV28" s="650"/>
      <c r="AW28" s="650"/>
      <c r="AX28" s="650"/>
      <c r="AY28" s="650"/>
      <c r="AZ28" s="650"/>
      <c r="BA28" s="650"/>
      <c r="BB28" s="650"/>
      <c r="BC28" s="650"/>
      <c r="BD28" s="650"/>
      <c r="BE28" s="650"/>
      <c r="BF28" s="650"/>
      <c r="BG28" s="650"/>
      <c r="BH28" s="650"/>
      <c r="BI28" s="650"/>
      <c r="BJ28" s="650"/>
      <c r="BK28" s="650"/>
      <c r="BL28" s="650"/>
      <c r="BM28" s="650"/>
      <c r="BN28" s="650"/>
      <c r="BO28" s="650"/>
      <c r="BP28" s="650"/>
      <c r="BQ28" s="650"/>
      <c r="BR28" s="650"/>
      <c r="BS28" s="650"/>
      <c r="BT28" s="650"/>
      <c r="BU28" s="650"/>
      <c r="BV28" s="650"/>
      <c r="BW28" s="650"/>
      <c r="BX28" s="650"/>
      <c r="BY28" s="650"/>
      <c r="BZ28" s="650"/>
      <c r="CA28" s="650"/>
      <c r="CB28" s="650"/>
      <c r="CC28" s="650"/>
      <c r="CD28" s="650"/>
      <c r="CE28" s="650"/>
      <c r="CF28" s="650"/>
      <c r="CG28" s="650"/>
      <c r="CH28" s="650"/>
      <c r="CI28" s="650"/>
      <c r="CJ28" s="650"/>
      <c r="CK28" s="650"/>
      <c r="CL28" s="650"/>
      <c r="CM28" s="650"/>
      <c r="CN28" s="650"/>
      <c r="CO28" s="650"/>
      <c r="CP28" s="650"/>
      <c r="CQ28" s="650"/>
      <c r="CR28" s="650"/>
      <c r="CS28" s="650"/>
      <c r="CT28" s="650"/>
      <c r="CU28" s="650"/>
      <c r="CV28" s="650"/>
      <c r="CW28" s="650"/>
      <c r="CX28" s="650"/>
      <c r="CY28" s="650"/>
      <c r="CZ28" s="650"/>
      <c r="DA28" s="650"/>
      <c r="DB28" s="650"/>
      <c r="DC28" s="650"/>
      <c r="DD28" s="650"/>
      <c r="DE28" s="650"/>
      <c r="DF28" s="650"/>
      <c r="DG28" s="650"/>
      <c r="DH28" s="650"/>
      <c r="DI28" s="650"/>
      <c r="DJ28" s="650"/>
      <c r="DK28" s="650"/>
      <c r="DL28" s="650"/>
      <c r="DM28" s="650"/>
      <c r="DN28" s="650"/>
      <c r="DO28" s="650"/>
      <c r="DP28" s="650"/>
      <c r="DQ28" s="650"/>
      <c r="DR28" s="650"/>
      <c r="DS28" s="650"/>
      <c r="DT28" s="650"/>
      <c r="DU28" s="650"/>
      <c r="DV28" s="650"/>
      <c r="DW28" s="650"/>
      <c r="DX28" s="650"/>
      <c r="DY28" s="650"/>
      <c r="DZ28" s="650"/>
      <c r="EA28" s="650"/>
      <c r="EB28" s="650"/>
      <c r="EC28" s="650"/>
      <c r="ED28" s="650"/>
      <c r="EE28" s="650"/>
      <c r="EF28" s="650"/>
      <c r="EG28" s="650"/>
      <c r="EH28" s="650"/>
      <c r="EI28" s="650"/>
      <c r="EJ28" s="650"/>
      <c r="EK28" s="650"/>
      <c r="EL28" s="650"/>
      <c r="EM28" s="650"/>
      <c r="EN28" s="650"/>
      <c r="EO28" s="650"/>
      <c r="EP28" s="650"/>
      <c r="EQ28" s="650"/>
      <c r="ER28" s="650"/>
      <c r="ES28" s="650"/>
      <c r="ET28" s="650"/>
      <c r="EU28" s="650"/>
      <c r="EV28" s="650"/>
      <c r="EW28" s="650"/>
      <c r="EX28" s="650"/>
      <c r="EY28" s="650"/>
      <c r="EZ28" s="650"/>
      <c r="FA28" s="650"/>
      <c r="FB28" s="650"/>
      <c r="FC28" s="650"/>
      <c r="FD28" s="650"/>
      <c r="FE28" s="650"/>
      <c r="FF28" s="650"/>
      <c r="FG28" s="650"/>
      <c r="FH28" s="650"/>
      <c r="FI28" s="650"/>
      <c r="FJ28" s="650"/>
      <c r="FK28" s="650"/>
      <c r="FL28" s="650"/>
      <c r="FM28" s="650"/>
      <c r="FN28" s="650"/>
      <c r="FO28" s="650"/>
      <c r="FP28" s="650"/>
      <c r="FQ28" s="650"/>
      <c r="FR28" s="650"/>
      <c r="FS28" s="650"/>
      <c r="FT28" s="650"/>
      <c r="FU28" s="650"/>
      <c r="FV28" s="650"/>
      <c r="FW28" s="650"/>
      <c r="FX28" s="650"/>
      <c r="FY28" s="650"/>
      <c r="FZ28" s="650"/>
      <c r="GA28" s="650"/>
      <c r="GB28" s="650"/>
      <c r="GC28" s="650"/>
      <c r="GD28" s="650"/>
      <c r="GE28" s="650"/>
      <c r="GF28" s="650"/>
      <c r="GG28" s="650"/>
      <c r="GH28" s="650"/>
      <c r="GI28" s="650"/>
      <c r="GJ28" s="650"/>
      <c r="GK28" s="650"/>
      <c r="GL28" s="650"/>
      <c r="GM28" s="650"/>
      <c r="GN28" s="650"/>
      <c r="GO28" s="650"/>
      <c r="GP28" s="650"/>
      <c r="GQ28" s="650"/>
      <c r="GR28" s="650"/>
      <c r="GS28" s="650"/>
      <c r="GT28" s="650"/>
      <c r="GU28" s="650"/>
      <c r="GV28" s="650"/>
      <c r="GW28" s="650"/>
      <c r="GX28" s="650"/>
      <c r="GY28" s="650"/>
      <c r="GZ28" s="650"/>
      <c r="HA28" s="650"/>
      <c r="HB28" s="650"/>
      <c r="HC28" s="650"/>
      <c r="HD28" s="650"/>
      <c r="HE28" s="650"/>
      <c r="HF28" s="650"/>
      <c r="HG28" s="650"/>
      <c r="HH28" s="650"/>
      <c r="HI28" s="650"/>
      <c r="HJ28" s="650"/>
      <c r="HK28" s="650"/>
      <c r="HL28" s="650"/>
      <c r="HM28" s="650"/>
      <c r="HN28" s="650"/>
      <c r="HO28" s="650"/>
      <c r="HP28" s="650"/>
      <c r="HQ28" s="650"/>
      <c r="HR28" s="650"/>
      <c r="HS28" s="650"/>
      <c r="HT28" s="650"/>
      <c r="HU28" s="650"/>
      <c r="HV28" s="650"/>
      <c r="HW28" s="650"/>
      <c r="HX28" s="650"/>
      <c r="HY28" s="650"/>
      <c r="HZ28" s="650"/>
      <c r="IA28" s="650"/>
      <c r="IB28" s="650"/>
      <c r="IC28" s="650"/>
      <c r="ID28" s="650"/>
      <c r="IE28" s="650"/>
      <c r="IF28" s="650"/>
      <c r="IG28" s="650"/>
      <c r="IH28" s="650"/>
      <c r="II28" s="650"/>
      <c r="IJ28" s="650"/>
      <c r="IK28" s="650"/>
      <c r="IL28" s="650"/>
      <c r="IM28" s="650"/>
      <c r="IN28" s="650"/>
      <c r="IO28" s="650"/>
      <c r="IP28" s="650"/>
      <c r="IQ28" s="650"/>
      <c r="IR28" s="650"/>
      <c r="IS28" s="650"/>
      <c r="IT28" s="650"/>
      <c r="IU28" s="650"/>
      <c r="IV28" s="650"/>
    </row>
    <row r="29" spans="1:256" ht="12.95" customHeight="1">
      <c r="A29" s="1933"/>
      <c r="B29" s="1924"/>
      <c r="C29" s="710" t="e">
        <f>+G12</f>
        <v>#REF!</v>
      </c>
      <c r="D29" s="711">
        <v>0</v>
      </c>
      <c r="E29" s="711" t="e">
        <f>ROUND($C29*D29,2)</f>
        <v>#REF!</v>
      </c>
      <c r="F29" s="711">
        <v>10</v>
      </c>
      <c r="G29" s="711" t="e">
        <f>ROUND($C29*F29,2)</f>
        <v>#REF!</v>
      </c>
      <c r="H29" s="711">
        <v>12</v>
      </c>
      <c r="I29" s="711" t="e">
        <f t="shared" si="1"/>
        <v>#REF!</v>
      </c>
      <c r="J29" s="711">
        <v>14</v>
      </c>
      <c r="K29" s="711" t="e">
        <f t="shared" si="2"/>
        <v>#REF!</v>
      </c>
      <c r="L29" s="711">
        <v>0</v>
      </c>
      <c r="M29" s="711" t="e">
        <f t="shared" si="3"/>
        <v>#REF!</v>
      </c>
      <c r="N29" s="711">
        <v>0</v>
      </c>
      <c r="O29" s="711" t="e">
        <f t="shared" si="4"/>
        <v>#REF!</v>
      </c>
      <c r="P29" s="1926"/>
      <c r="Q29" s="650"/>
      <c r="R29" s="650"/>
      <c r="S29" s="650"/>
      <c r="T29" s="650"/>
      <c r="U29" s="719" t="s">
        <v>643</v>
      </c>
      <c r="V29" s="719" t="s">
        <v>644</v>
      </c>
      <c r="W29" s="720">
        <v>0</v>
      </c>
      <c r="X29" s="720">
        <v>0</v>
      </c>
      <c r="Y29" s="720">
        <v>0</v>
      </c>
      <c r="Z29" s="720">
        <v>0</v>
      </c>
      <c r="AA29" s="650"/>
      <c r="AB29" s="650"/>
      <c r="AC29" s="650"/>
      <c r="AD29" s="650"/>
      <c r="AE29" s="650"/>
      <c r="AF29" s="650"/>
      <c r="AG29" s="650"/>
      <c r="AH29" s="650"/>
      <c r="AI29" s="650"/>
      <c r="AJ29" s="650"/>
      <c r="AK29" s="650"/>
      <c r="AL29" s="650"/>
      <c r="AM29" s="650"/>
      <c r="AN29" s="650"/>
      <c r="AO29" s="650"/>
      <c r="AP29" s="650"/>
      <c r="AQ29" s="650"/>
      <c r="AR29" s="650"/>
      <c r="AS29" s="650"/>
      <c r="AT29" s="650"/>
      <c r="AU29" s="650"/>
      <c r="AV29" s="650"/>
      <c r="AW29" s="650"/>
      <c r="AX29" s="650"/>
      <c r="AY29" s="650"/>
      <c r="AZ29" s="650"/>
      <c r="BA29" s="650"/>
      <c r="BB29" s="650"/>
      <c r="BC29" s="650"/>
      <c r="BD29" s="650"/>
      <c r="BE29" s="650"/>
      <c r="BF29" s="650"/>
      <c r="BG29" s="650"/>
      <c r="BH29" s="650"/>
      <c r="BI29" s="650"/>
      <c r="BJ29" s="650"/>
      <c r="BK29" s="650"/>
      <c r="BL29" s="650"/>
      <c r="BM29" s="650"/>
      <c r="BN29" s="650"/>
      <c r="BO29" s="650"/>
      <c r="BP29" s="650"/>
      <c r="BQ29" s="650"/>
      <c r="BR29" s="650"/>
      <c r="BS29" s="650"/>
      <c r="BT29" s="650"/>
      <c r="BU29" s="650"/>
      <c r="BV29" s="650"/>
      <c r="BW29" s="650"/>
      <c r="BX29" s="650"/>
      <c r="BY29" s="650"/>
      <c r="BZ29" s="650"/>
      <c r="CA29" s="650"/>
      <c r="CB29" s="650"/>
      <c r="CC29" s="650"/>
      <c r="CD29" s="650"/>
      <c r="CE29" s="650"/>
      <c r="CF29" s="650"/>
      <c r="CG29" s="650"/>
      <c r="CH29" s="650"/>
      <c r="CI29" s="650"/>
      <c r="CJ29" s="650"/>
      <c r="CK29" s="650"/>
      <c r="CL29" s="650"/>
      <c r="CM29" s="650"/>
      <c r="CN29" s="650"/>
      <c r="CO29" s="650"/>
      <c r="CP29" s="650"/>
      <c r="CQ29" s="650"/>
      <c r="CR29" s="650"/>
      <c r="CS29" s="650"/>
      <c r="CT29" s="650"/>
      <c r="CU29" s="650"/>
      <c r="CV29" s="650"/>
      <c r="CW29" s="650"/>
      <c r="CX29" s="650"/>
      <c r="CY29" s="650"/>
      <c r="CZ29" s="650"/>
      <c r="DA29" s="650"/>
      <c r="DB29" s="650"/>
      <c r="DC29" s="650"/>
      <c r="DD29" s="650"/>
      <c r="DE29" s="650"/>
      <c r="DF29" s="650"/>
      <c r="DG29" s="650"/>
      <c r="DH29" s="650"/>
      <c r="DI29" s="650"/>
      <c r="DJ29" s="650"/>
      <c r="DK29" s="650"/>
      <c r="DL29" s="650"/>
      <c r="DM29" s="650"/>
      <c r="DN29" s="650"/>
      <c r="DO29" s="650"/>
      <c r="DP29" s="650"/>
      <c r="DQ29" s="650"/>
      <c r="DR29" s="650"/>
      <c r="DS29" s="650"/>
      <c r="DT29" s="650"/>
      <c r="DU29" s="650"/>
      <c r="DV29" s="650"/>
      <c r="DW29" s="650"/>
      <c r="DX29" s="650"/>
      <c r="DY29" s="650"/>
      <c r="DZ29" s="650"/>
      <c r="EA29" s="650"/>
      <c r="EB29" s="650"/>
      <c r="EC29" s="650"/>
      <c r="ED29" s="650"/>
      <c r="EE29" s="650"/>
      <c r="EF29" s="650"/>
      <c r="EG29" s="650"/>
      <c r="EH29" s="650"/>
      <c r="EI29" s="650"/>
      <c r="EJ29" s="650"/>
      <c r="EK29" s="650"/>
      <c r="EL29" s="650"/>
      <c r="EM29" s="650"/>
      <c r="EN29" s="650"/>
      <c r="EO29" s="650"/>
      <c r="EP29" s="650"/>
      <c r="EQ29" s="650"/>
      <c r="ER29" s="650"/>
      <c r="ES29" s="650"/>
      <c r="ET29" s="650"/>
      <c r="EU29" s="650"/>
      <c r="EV29" s="650"/>
      <c r="EW29" s="650"/>
      <c r="EX29" s="650"/>
      <c r="EY29" s="650"/>
      <c r="EZ29" s="650"/>
      <c r="FA29" s="650"/>
      <c r="FB29" s="650"/>
      <c r="FC29" s="650"/>
      <c r="FD29" s="650"/>
      <c r="FE29" s="650"/>
      <c r="FF29" s="650"/>
      <c r="FG29" s="650"/>
      <c r="FH29" s="650"/>
      <c r="FI29" s="650"/>
      <c r="FJ29" s="650"/>
      <c r="FK29" s="650"/>
      <c r="FL29" s="650"/>
      <c r="FM29" s="650"/>
      <c r="FN29" s="650"/>
      <c r="FO29" s="650"/>
      <c r="FP29" s="650"/>
      <c r="FQ29" s="650"/>
      <c r="FR29" s="650"/>
      <c r="FS29" s="650"/>
      <c r="FT29" s="650"/>
      <c r="FU29" s="650"/>
      <c r="FV29" s="650"/>
      <c r="FW29" s="650"/>
      <c r="FX29" s="650"/>
      <c r="FY29" s="650"/>
      <c r="FZ29" s="650"/>
      <c r="GA29" s="650"/>
      <c r="GB29" s="650"/>
      <c r="GC29" s="650"/>
      <c r="GD29" s="650"/>
      <c r="GE29" s="650"/>
      <c r="GF29" s="650"/>
      <c r="GG29" s="650"/>
      <c r="GH29" s="650"/>
      <c r="GI29" s="650"/>
      <c r="GJ29" s="650"/>
      <c r="GK29" s="650"/>
      <c r="GL29" s="650"/>
      <c r="GM29" s="650"/>
      <c r="GN29" s="650"/>
      <c r="GO29" s="650"/>
      <c r="GP29" s="650"/>
      <c r="GQ29" s="650"/>
      <c r="GR29" s="650"/>
      <c r="GS29" s="650"/>
      <c r="GT29" s="650"/>
      <c r="GU29" s="650"/>
      <c r="GV29" s="650"/>
      <c r="GW29" s="650"/>
      <c r="GX29" s="650"/>
      <c r="GY29" s="650"/>
      <c r="GZ29" s="650"/>
      <c r="HA29" s="650"/>
      <c r="HB29" s="650"/>
      <c r="HC29" s="650"/>
      <c r="HD29" s="650"/>
      <c r="HE29" s="650"/>
      <c r="HF29" s="650"/>
      <c r="HG29" s="650"/>
      <c r="HH29" s="650"/>
      <c r="HI29" s="650"/>
      <c r="HJ29" s="650"/>
      <c r="HK29" s="650"/>
      <c r="HL29" s="650"/>
      <c r="HM29" s="650"/>
      <c r="HN29" s="650"/>
      <c r="HO29" s="650"/>
      <c r="HP29" s="650"/>
      <c r="HQ29" s="650"/>
      <c r="HR29" s="650"/>
      <c r="HS29" s="650"/>
      <c r="HT29" s="650"/>
      <c r="HU29" s="650"/>
      <c r="HV29" s="650"/>
      <c r="HW29" s="650"/>
      <c r="HX29" s="650"/>
      <c r="HY29" s="650"/>
      <c r="HZ29" s="650"/>
      <c r="IA29" s="650"/>
      <c r="IB29" s="650"/>
      <c r="IC29" s="650"/>
      <c r="ID29" s="650"/>
      <c r="IE29" s="650"/>
      <c r="IF29" s="650"/>
      <c r="IG29" s="650"/>
      <c r="IH29" s="650"/>
      <c r="II29" s="650"/>
      <c r="IJ29" s="650"/>
      <c r="IK29" s="650"/>
      <c r="IL29" s="650"/>
      <c r="IM29" s="650"/>
      <c r="IN29" s="650"/>
      <c r="IO29" s="650"/>
      <c r="IP29" s="650"/>
      <c r="IQ29" s="650"/>
      <c r="IR29" s="650"/>
      <c r="IS29" s="650"/>
      <c r="IT29" s="650"/>
      <c r="IU29" s="650"/>
      <c r="IV29" s="650"/>
    </row>
    <row r="30" spans="1:256" ht="12.95" customHeight="1">
      <c r="A30" s="1927" t="s">
        <v>645</v>
      </c>
      <c r="B30" s="1928"/>
      <c r="C30" s="712" t="e">
        <f>G14</f>
        <v>#REF!</v>
      </c>
      <c r="D30" s="706">
        <v>0</v>
      </c>
      <c r="E30" s="706" t="e">
        <f t="shared" si="0"/>
        <v>#REF!</v>
      </c>
      <c r="F30" s="706">
        <v>2</v>
      </c>
      <c r="G30" s="706" t="e">
        <f t="shared" si="0"/>
        <v>#REF!</v>
      </c>
      <c r="H30" s="706">
        <v>9</v>
      </c>
      <c r="I30" s="706" t="e">
        <f t="shared" si="1"/>
        <v>#REF!</v>
      </c>
      <c r="J30" s="706">
        <v>8</v>
      </c>
      <c r="K30" s="706" t="e">
        <f t="shared" si="2"/>
        <v>#REF!</v>
      </c>
      <c r="L30" s="706">
        <v>8</v>
      </c>
      <c r="M30" s="706" t="e">
        <f t="shared" si="3"/>
        <v>#REF!</v>
      </c>
      <c r="N30" s="706">
        <v>8</v>
      </c>
      <c r="O30" s="706" t="e">
        <f t="shared" si="4"/>
        <v>#REF!</v>
      </c>
      <c r="P30" s="1925" t="s">
        <v>634</v>
      </c>
      <c r="Q30" s="650"/>
      <c r="R30" s="650"/>
      <c r="S30" s="650"/>
      <c r="T30" s="650"/>
      <c r="U30" s="717" t="s">
        <v>646</v>
      </c>
      <c r="V30" s="717" t="s">
        <v>642</v>
      </c>
      <c r="W30" s="718">
        <v>500</v>
      </c>
      <c r="X30" s="718">
        <v>500</v>
      </c>
      <c r="Y30" s="718">
        <v>500</v>
      </c>
      <c r="Z30" s="718">
        <v>500</v>
      </c>
      <c r="AA30" s="650"/>
      <c r="AB30" s="650"/>
      <c r="AC30" s="650"/>
      <c r="AD30" s="650"/>
      <c r="AE30" s="650"/>
      <c r="AF30" s="650"/>
      <c r="AG30" s="650"/>
      <c r="AH30" s="650"/>
      <c r="AI30" s="650"/>
      <c r="AJ30" s="650"/>
      <c r="AK30" s="650"/>
      <c r="AL30" s="650"/>
      <c r="AM30" s="650"/>
      <c r="AN30" s="650"/>
      <c r="AO30" s="650"/>
      <c r="AP30" s="650"/>
      <c r="AQ30" s="650"/>
      <c r="AR30" s="650"/>
      <c r="AS30" s="650"/>
      <c r="AT30" s="650"/>
      <c r="AU30" s="650"/>
      <c r="AV30" s="650"/>
      <c r="AW30" s="650"/>
      <c r="AX30" s="650"/>
      <c r="AY30" s="650"/>
      <c r="AZ30" s="650"/>
      <c r="BA30" s="650"/>
      <c r="BB30" s="650"/>
      <c r="BC30" s="650"/>
      <c r="BD30" s="650"/>
      <c r="BE30" s="650"/>
      <c r="BF30" s="650"/>
      <c r="BG30" s="650"/>
      <c r="BH30" s="650"/>
      <c r="BI30" s="650"/>
      <c r="BJ30" s="650"/>
      <c r="BK30" s="650"/>
      <c r="BL30" s="650"/>
      <c r="BM30" s="650"/>
      <c r="BN30" s="650"/>
      <c r="BO30" s="650"/>
      <c r="BP30" s="650"/>
      <c r="BQ30" s="650"/>
      <c r="BR30" s="650"/>
      <c r="BS30" s="650"/>
      <c r="BT30" s="650"/>
      <c r="BU30" s="650"/>
      <c r="BV30" s="650"/>
      <c r="BW30" s="650"/>
      <c r="BX30" s="650"/>
      <c r="BY30" s="650"/>
      <c r="BZ30" s="650"/>
      <c r="CA30" s="650"/>
      <c r="CB30" s="650"/>
      <c r="CC30" s="650"/>
      <c r="CD30" s="650"/>
      <c r="CE30" s="650"/>
      <c r="CF30" s="650"/>
      <c r="CG30" s="650"/>
      <c r="CH30" s="650"/>
      <c r="CI30" s="650"/>
      <c r="CJ30" s="650"/>
      <c r="CK30" s="650"/>
      <c r="CL30" s="650"/>
      <c r="CM30" s="650"/>
      <c r="CN30" s="650"/>
      <c r="CO30" s="650"/>
      <c r="CP30" s="650"/>
      <c r="CQ30" s="650"/>
      <c r="CR30" s="650"/>
      <c r="CS30" s="650"/>
      <c r="CT30" s="650"/>
      <c r="CU30" s="650"/>
      <c r="CV30" s="650"/>
      <c r="CW30" s="650"/>
      <c r="CX30" s="650"/>
      <c r="CY30" s="650"/>
      <c r="CZ30" s="650"/>
      <c r="DA30" s="650"/>
      <c r="DB30" s="650"/>
      <c r="DC30" s="650"/>
      <c r="DD30" s="650"/>
      <c r="DE30" s="650"/>
      <c r="DF30" s="650"/>
      <c r="DG30" s="650"/>
      <c r="DH30" s="650"/>
      <c r="DI30" s="650"/>
      <c r="DJ30" s="650"/>
      <c r="DK30" s="650"/>
      <c r="DL30" s="650"/>
      <c r="DM30" s="650"/>
      <c r="DN30" s="650"/>
      <c r="DO30" s="650"/>
      <c r="DP30" s="650"/>
      <c r="DQ30" s="650"/>
      <c r="DR30" s="650"/>
      <c r="DS30" s="650"/>
      <c r="DT30" s="650"/>
      <c r="DU30" s="650"/>
      <c r="DV30" s="650"/>
      <c r="DW30" s="650"/>
      <c r="DX30" s="650"/>
      <c r="DY30" s="650"/>
      <c r="DZ30" s="650"/>
      <c r="EA30" s="650"/>
      <c r="EB30" s="650"/>
      <c r="EC30" s="650"/>
      <c r="ED30" s="650"/>
      <c r="EE30" s="650"/>
      <c r="EF30" s="650"/>
      <c r="EG30" s="650"/>
      <c r="EH30" s="650"/>
      <c r="EI30" s="650"/>
      <c r="EJ30" s="650"/>
      <c r="EK30" s="650"/>
      <c r="EL30" s="650"/>
      <c r="EM30" s="650"/>
      <c r="EN30" s="650"/>
      <c r="EO30" s="650"/>
      <c r="EP30" s="650"/>
      <c r="EQ30" s="650"/>
      <c r="ER30" s="650"/>
      <c r="ES30" s="650"/>
      <c r="ET30" s="650"/>
      <c r="EU30" s="650"/>
      <c r="EV30" s="650"/>
      <c r="EW30" s="650"/>
      <c r="EX30" s="650"/>
      <c r="EY30" s="650"/>
      <c r="EZ30" s="650"/>
      <c r="FA30" s="650"/>
      <c r="FB30" s="650"/>
      <c r="FC30" s="650"/>
      <c r="FD30" s="650"/>
      <c r="FE30" s="650"/>
      <c r="FF30" s="650"/>
      <c r="FG30" s="650"/>
      <c r="FH30" s="650"/>
      <c r="FI30" s="650"/>
      <c r="FJ30" s="650"/>
      <c r="FK30" s="650"/>
      <c r="FL30" s="650"/>
      <c r="FM30" s="650"/>
      <c r="FN30" s="650"/>
      <c r="FO30" s="650"/>
      <c r="FP30" s="650"/>
      <c r="FQ30" s="650"/>
      <c r="FR30" s="650"/>
      <c r="FS30" s="650"/>
      <c r="FT30" s="650"/>
      <c r="FU30" s="650"/>
      <c r="FV30" s="650"/>
      <c r="FW30" s="650"/>
      <c r="FX30" s="650"/>
      <c r="FY30" s="650"/>
      <c r="FZ30" s="650"/>
      <c r="GA30" s="650"/>
      <c r="GB30" s="650"/>
      <c r="GC30" s="650"/>
      <c r="GD30" s="650"/>
      <c r="GE30" s="650"/>
      <c r="GF30" s="650"/>
      <c r="GG30" s="650"/>
      <c r="GH30" s="650"/>
      <c r="GI30" s="650"/>
      <c r="GJ30" s="650"/>
      <c r="GK30" s="650"/>
      <c r="GL30" s="650"/>
      <c r="GM30" s="650"/>
      <c r="GN30" s="650"/>
      <c r="GO30" s="650"/>
      <c r="GP30" s="650"/>
      <c r="GQ30" s="650"/>
      <c r="GR30" s="650"/>
      <c r="GS30" s="650"/>
      <c r="GT30" s="650"/>
      <c r="GU30" s="650"/>
      <c r="GV30" s="650"/>
      <c r="GW30" s="650"/>
      <c r="GX30" s="650"/>
      <c r="GY30" s="650"/>
      <c r="GZ30" s="650"/>
      <c r="HA30" s="650"/>
      <c r="HB30" s="650"/>
      <c r="HC30" s="650"/>
      <c r="HD30" s="650"/>
      <c r="HE30" s="650"/>
      <c r="HF30" s="650"/>
      <c r="HG30" s="650"/>
      <c r="HH30" s="650"/>
      <c r="HI30" s="650"/>
      <c r="HJ30" s="650"/>
      <c r="HK30" s="650"/>
      <c r="HL30" s="650"/>
      <c r="HM30" s="650"/>
      <c r="HN30" s="650"/>
      <c r="HO30" s="650"/>
      <c r="HP30" s="650"/>
      <c r="HQ30" s="650"/>
      <c r="HR30" s="650"/>
      <c r="HS30" s="650"/>
      <c r="HT30" s="650"/>
      <c r="HU30" s="650"/>
      <c r="HV30" s="650"/>
      <c r="HW30" s="650"/>
      <c r="HX30" s="650"/>
      <c r="HY30" s="650"/>
      <c r="HZ30" s="650"/>
      <c r="IA30" s="650"/>
      <c r="IB30" s="650"/>
      <c r="IC30" s="650"/>
      <c r="ID30" s="650"/>
      <c r="IE30" s="650"/>
      <c r="IF30" s="650"/>
      <c r="IG30" s="650"/>
      <c r="IH30" s="650"/>
      <c r="II30" s="650"/>
      <c r="IJ30" s="650"/>
      <c r="IK30" s="650"/>
      <c r="IL30" s="650"/>
      <c r="IM30" s="650"/>
      <c r="IN30" s="650"/>
      <c r="IO30" s="650"/>
      <c r="IP30" s="650"/>
      <c r="IQ30" s="650"/>
      <c r="IR30" s="650"/>
      <c r="IS30" s="650"/>
      <c r="IT30" s="650"/>
      <c r="IU30" s="650"/>
      <c r="IV30" s="650"/>
    </row>
    <row r="31" spans="1:256" ht="12.95" customHeight="1">
      <c r="A31" s="1929"/>
      <c r="B31" s="1930"/>
      <c r="C31" s="710" t="e">
        <f>+G14</f>
        <v>#REF!</v>
      </c>
      <c r="D31" s="711">
        <v>1</v>
      </c>
      <c r="E31" s="711" t="e">
        <f t="shared" si="0"/>
        <v>#REF!</v>
      </c>
      <c r="F31" s="711">
        <v>1</v>
      </c>
      <c r="G31" s="711" t="e">
        <f t="shared" si="0"/>
        <v>#REF!</v>
      </c>
      <c r="H31" s="711">
        <v>2.5</v>
      </c>
      <c r="I31" s="711" t="e">
        <f t="shared" si="1"/>
        <v>#REF!</v>
      </c>
      <c r="J31" s="711">
        <v>0</v>
      </c>
      <c r="K31" s="711" t="e">
        <f t="shared" si="2"/>
        <v>#REF!</v>
      </c>
      <c r="L31" s="711">
        <v>0</v>
      </c>
      <c r="M31" s="711" t="e">
        <f t="shared" si="3"/>
        <v>#REF!</v>
      </c>
      <c r="N31" s="711">
        <v>0</v>
      </c>
      <c r="O31" s="711" t="e">
        <f t="shared" si="4"/>
        <v>#REF!</v>
      </c>
      <c r="P31" s="1926"/>
      <c r="Q31" s="650"/>
      <c r="R31" s="650"/>
      <c r="S31" s="650"/>
      <c r="T31" s="650"/>
      <c r="U31" s="719" t="s">
        <v>643</v>
      </c>
      <c r="V31" s="719" t="s">
        <v>644</v>
      </c>
      <c r="W31" s="720">
        <v>0</v>
      </c>
      <c r="X31" s="720">
        <v>0</v>
      </c>
      <c r="Y31" s="720">
        <v>2</v>
      </c>
      <c r="Z31" s="720">
        <v>4</v>
      </c>
      <c r="AA31" s="650"/>
      <c r="AB31" s="650"/>
      <c r="AC31" s="650"/>
      <c r="AD31" s="650"/>
      <c r="AE31" s="650"/>
      <c r="AF31" s="650"/>
      <c r="AG31" s="650"/>
      <c r="AH31" s="650"/>
      <c r="AI31" s="650"/>
      <c r="AJ31" s="650"/>
      <c r="AK31" s="650"/>
      <c r="AL31" s="650"/>
      <c r="AM31" s="650"/>
      <c r="AN31" s="650"/>
      <c r="AO31" s="650"/>
      <c r="AP31" s="650"/>
      <c r="AQ31" s="650"/>
      <c r="AR31" s="650"/>
      <c r="AS31" s="650"/>
      <c r="AT31" s="650"/>
      <c r="AU31" s="650"/>
      <c r="AV31" s="650"/>
      <c r="AW31" s="650"/>
      <c r="AX31" s="650"/>
      <c r="AY31" s="650"/>
      <c r="AZ31" s="650"/>
      <c r="BA31" s="650"/>
      <c r="BB31" s="650"/>
      <c r="BC31" s="650"/>
      <c r="BD31" s="650"/>
      <c r="BE31" s="650"/>
      <c r="BF31" s="650"/>
      <c r="BG31" s="650"/>
      <c r="BH31" s="650"/>
      <c r="BI31" s="650"/>
      <c r="BJ31" s="650"/>
      <c r="BK31" s="650"/>
      <c r="BL31" s="650"/>
      <c r="BM31" s="650"/>
      <c r="BN31" s="650"/>
      <c r="BO31" s="650"/>
      <c r="BP31" s="650"/>
      <c r="BQ31" s="650"/>
      <c r="BR31" s="650"/>
      <c r="BS31" s="650"/>
      <c r="BT31" s="650"/>
      <c r="BU31" s="650"/>
      <c r="BV31" s="650"/>
      <c r="BW31" s="650"/>
      <c r="BX31" s="650"/>
      <c r="BY31" s="650"/>
      <c r="BZ31" s="650"/>
      <c r="CA31" s="650"/>
      <c r="CB31" s="650"/>
      <c r="CC31" s="650"/>
      <c r="CD31" s="650"/>
      <c r="CE31" s="650"/>
      <c r="CF31" s="650"/>
      <c r="CG31" s="650"/>
      <c r="CH31" s="650"/>
      <c r="CI31" s="650"/>
      <c r="CJ31" s="650"/>
      <c r="CK31" s="650"/>
      <c r="CL31" s="650"/>
      <c r="CM31" s="650"/>
      <c r="CN31" s="650"/>
      <c r="CO31" s="650"/>
      <c r="CP31" s="650"/>
      <c r="CQ31" s="650"/>
      <c r="CR31" s="650"/>
      <c r="CS31" s="650"/>
      <c r="CT31" s="650"/>
      <c r="CU31" s="650"/>
      <c r="CV31" s="650"/>
      <c r="CW31" s="650"/>
      <c r="CX31" s="650"/>
      <c r="CY31" s="650"/>
      <c r="CZ31" s="650"/>
      <c r="DA31" s="650"/>
      <c r="DB31" s="650"/>
      <c r="DC31" s="650"/>
      <c r="DD31" s="650"/>
      <c r="DE31" s="650"/>
      <c r="DF31" s="650"/>
      <c r="DG31" s="650"/>
      <c r="DH31" s="650"/>
      <c r="DI31" s="650"/>
      <c r="DJ31" s="650"/>
      <c r="DK31" s="650"/>
      <c r="DL31" s="650"/>
      <c r="DM31" s="650"/>
      <c r="DN31" s="650"/>
      <c r="DO31" s="650"/>
      <c r="DP31" s="650"/>
      <c r="DQ31" s="650"/>
      <c r="DR31" s="650"/>
      <c r="DS31" s="650"/>
      <c r="DT31" s="650"/>
      <c r="DU31" s="650"/>
      <c r="DV31" s="650"/>
      <c r="DW31" s="650"/>
      <c r="DX31" s="650"/>
      <c r="DY31" s="650"/>
      <c r="DZ31" s="650"/>
      <c r="EA31" s="650"/>
      <c r="EB31" s="650"/>
      <c r="EC31" s="650"/>
      <c r="ED31" s="650"/>
      <c r="EE31" s="650"/>
      <c r="EF31" s="650"/>
      <c r="EG31" s="650"/>
      <c r="EH31" s="650"/>
      <c r="EI31" s="650"/>
      <c r="EJ31" s="650"/>
      <c r="EK31" s="650"/>
      <c r="EL31" s="650"/>
      <c r="EM31" s="650"/>
      <c r="EN31" s="650"/>
      <c r="EO31" s="650"/>
      <c r="EP31" s="650"/>
      <c r="EQ31" s="650"/>
      <c r="ER31" s="650"/>
      <c r="ES31" s="650"/>
      <c r="ET31" s="650"/>
      <c r="EU31" s="650"/>
      <c r="EV31" s="650"/>
      <c r="EW31" s="650"/>
      <c r="EX31" s="650"/>
      <c r="EY31" s="650"/>
      <c r="EZ31" s="650"/>
      <c r="FA31" s="650"/>
      <c r="FB31" s="650"/>
      <c r="FC31" s="650"/>
      <c r="FD31" s="650"/>
      <c r="FE31" s="650"/>
      <c r="FF31" s="650"/>
      <c r="FG31" s="650"/>
      <c r="FH31" s="650"/>
      <c r="FI31" s="650"/>
      <c r="FJ31" s="650"/>
      <c r="FK31" s="650"/>
      <c r="FL31" s="650"/>
      <c r="FM31" s="650"/>
      <c r="FN31" s="650"/>
      <c r="FO31" s="650"/>
      <c r="FP31" s="650"/>
      <c r="FQ31" s="650"/>
      <c r="FR31" s="650"/>
      <c r="FS31" s="650"/>
      <c r="FT31" s="650"/>
      <c r="FU31" s="650"/>
      <c r="FV31" s="650"/>
      <c r="FW31" s="650"/>
      <c r="FX31" s="650"/>
      <c r="FY31" s="650"/>
      <c r="FZ31" s="650"/>
      <c r="GA31" s="650"/>
      <c r="GB31" s="650"/>
      <c r="GC31" s="650"/>
      <c r="GD31" s="650"/>
      <c r="GE31" s="650"/>
      <c r="GF31" s="650"/>
      <c r="GG31" s="650"/>
      <c r="GH31" s="650"/>
      <c r="GI31" s="650"/>
      <c r="GJ31" s="650"/>
      <c r="GK31" s="650"/>
      <c r="GL31" s="650"/>
      <c r="GM31" s="650"/>
      <c r="GN31" s="650"/>
      <c r="GO31" s="650"/>
      <c r="GP31" s="650"/>
      <c r="GQ31" s="650"/>
      <c r="GR31" s="650"/>
      <c r="GS31" s="650"/>
      <c r="GT31" s="650"/>
      <c r="GU31" s="650"/>
      <c r="GV31" s="650"/>
      <c r="GW31" s="650"/>
      <c r="GX31" s="650"/>
      <c r="GY31" s="650"/>
      <c r="GZ31" s="650"/>
      <c r="HA31" s="650"/>
      <c r="HB31" s="650"/>
      <c r="HC31" s="650"/>
      <c r="HD31" s="650"/>
      <c r="HE31" s="650"/>
      <c r="HF31" s="650"/>
      <c r="HG31" s="650"/>
      <c r="HH31" s="650"/>
      <c r="HI31" s="650"/>
      <c r="HJ31" s="650"/>
      <c r="HK31" s="650"/>
      <c r="HL31" s="650"/>
      <c r="HM31" s="650"/>
      <c r="HN31" s="650"/>
      <c r="HO31" s="650"/>
      <c r="HP31" s="650"/>
      <c r="HQ31" s="650"/>
      <c r="HR31" s="650"/>
      <c r="HS31" s="650"/>
      <c r="HT31" s="650"/>
      <c r="HU31" s="650"/>
      <c r="HV31" s="650"/>
      <c r="HW31" s="650"/>
      <c r="HX31" s="650"/>
      <c r="HY31" s="650"/>
      <c r="HZ31" s="650"/>
      <c r="IA31" s="650"/>
      <c r="IB31" s="650"/>
      <c r="IC31" s="650"/>
      <c r="ID31" s="650"/>
      <c r="IE31" s="650"/>
      <c r="IF31" s="650"/>
      <c r="IG31" s="650"/>
      <c r="IH31" s="650"/>
      <c r="II31" s="650"/>
      <c r="IJ31" s="650"/>
      <c r="IK31" s="650"/>
      <c r="IL31" s="650"/>
      <c r="IM31" s="650"/>
      <c r="IN31" s="650"/>
      <c r="IO31" s="650"/>
      <c r="IP31" s="650"/>
      <c r="IQ31" s="650"/>
      <c r="IR31" s="650"/>
      <c r="IS31" s="650"/>
      <c r="IT31" s="650"/>
      <c r="IU31" s="650"/>
      <c r="IV31" s="650"/>
    </row>
    <row r="32" spans="1:256" ht="12.95" customHeight="1">
      <c r="A32" s="1927" t="s">
        <v>647</v>
      </c>
      <c r="B32" s="1928"/>
      <c r="C32" s="712" t="e">
        <f>+G17</f>
        <v>#REF!</v>
      </c>
      <c r="D32" s="706">
        <v>0</v>
      </c>
      <c r="E32" s="706" t="e">
        <f t="shared" si="0"/>
        <v>#REF!</v>
      </c>
      <c r="F32" s="706">
        <v>0</v>
      </c>
      <c r="G32" s="706" t="e">
        <f t="shared" si="0"/>
        <v>#REF!</v>
      </c>
      <c r="H32" s="706">
        <v>8</v>
      </c>
      <c r="I32" s="706" t="e">
        <f t="shared" si="1"/>
        <v>#REF!</v>
      </c>
      <c r="J32" s="706">
        <v>8</v>
      </c>
      <c r="K32" s="706" t="e">
        <f t="shared" si="2"/>
        <v>#REF!</v>
      </c>
      <c r="L32" s="706">
        <v>7</v>
      </c>
      <c r="M32" s="706" t="e">
        <f t="shared" si="3"/>
        <v>#REF!</v>
      </c>
      <c r="N32" s="706">
        <v>7</v>
      </c>
      <c r="O32" s="706" t="e">
        <f t="shared" si="4"/>
        <v>#REF!</v>
      </c>
      <c r="P32" s="1925" t="s">
        <v>634</v>
      </c>
      <c r="Q32" s="650"/>
      <c r="R32" s="650"/>
      <c r="S32" s="650"/>
      <c r="T32" s="650"/>
      <c r="U32" s="717" t="s">
        <v>648</v>
      </c>
      <c r="V32" s="717" t="s">
        <v>642</v>
      </c>
      <c r="W32" s="718">
        <v>200</v>
      </c>
      <c r="X32" s="718">
        <v>200</v>
      </c>
      <c r="Y32" s="718">
        <v>200</v>
      </c>
      <c r="Z32" s="718">
        <v>200</v>
      </c>
      <c r="AA32" s="650"/>
      <c r="AB32" s="650"/>
      <c r="AC32" s="650"/>
      <c r="AD32" s="650"/>
      <c r="AE32" s="650"/>
      <c r="AF32" s="650"/>
      <c r="AG32" s="650"/>
      <c r="AH32" s="650"/>
      <c r="AI32" s="650"/>
      <c r="AJ32" s="650"/>
      <c r="AK32" s="650"/>
      <c r="AL32" s="650"/>
      <c r="AM32" s="650"/>
      <c r="AN32" s="650"/>
      <c r="AO32" s="650"/>
      <c r="AP32" s="650"/>
      <c r="AQ32" s="650"/>
      <c r="AR32" s="650"/>
      <c r="AS32" s="650"/>
      <c r="AT32" s="650"/>
      <c r="AU32" s="650"/>
      <c r="AV32" s="650"/>
      <c r="AW32" s="650"/>
      <c r="AX32" s="650"/>
      <c r="AY32" s="650"/>
      <c r="AZ32" s="650"/>
      <c r="BA32" s="650"/>
      <c r="BB32" s="650"/>
      <c r="BC32" s="650"/>
      <c r="BD32" s="650"/>
      <c r="BE32" s="650"/>
      <c r="BF32" s="650"/>
      <c r="BG32" s="650"/>
      <c r="BH32" s="650"/>
      <c r="BI32" s="650"/>
      <c r="BJ32" s="650"/>
      <c r="BK32" s="650"/>
      <c r="BL32" s="650"/>
      <c r="BM32" s="650"/>
      <c r="BN32" s="650"/>
      <c r="BO32" s="650"/>
      <c r="BP32" s="650"/>
      <c r="BQ32" s="650"/>
      <c r="BR32" s="650"/>
      <c r="BS32" s="650"/>
      <c r="BT32" s="650"/>
      <c r="BU32" s="650"/>
      <c r="BV32" s="650"/>
      <c r="BW32" s="650"/>
      <c r="BX32" s="650"/>
      <c r="BY32" s="650"/>
      <c r="BZ32" s="650"/>
      <c r="CA32" s="650"/>
      <c r="CB32" s="650"/>
      <c r="CC32" s="650"/>
      <c r="CD32" s="650"/>
      <c r="CE32" s="650"/>
      <c r="CF32" s="650"/>
      <c r="CG32" s="650"/>
      <c r="CH32" s="650"/>
      <c r="CI32" s="650"/>
      <c r="CJ32" s="650"/>
      <c r="CK32" s="650"/>
      <c r="CL32" s="650"/>
      <c r="CM32" s="650"/>
      <c r="CN32" s="650"/>
      <c r="CO32" s="650"/>
      <c r="CP32" s="650"/>
      <c r="CQ32" s="650"/>
      <c r="CR32" s="650"/>
      <c r="CS32" s="650"/>
      <c r="CT32" s="650"/>
      <c r="CU32" s="650"/>
      <c r="CV32" s="650"/>
      <c r="CW32" s="650"/>
      <c r="CX32" s="650"/>
      <c r="CY32" s="650"/>
      <c r="CZ32" s="650"/>
      <c r="DA32" s="650"/>
      <c r="DB32" s="650"/>
      <c r="DC32" s="650"/>
      <c r="DD32" s="650"/>
      <c r="DE32" s="650"/>
      <c r="DF32" s="650"/>
      <c r="DG32" s="650"/>
      <c r="DH32" s="650"/>
      <c r="DI32" s="650"/>
      <c r="DJ32" s="650"/>
      <c r="DK32" s="650"/>
      <c r="DL32" s="650"/>
      <c r="DM32" s="650"/>
      <c r="DN32" s="650"/>
      <c r="DO32" s="650"/>
      <c r="DP32" s="650"/>
      <c r="DQ32" s="650"/>
      <c r="DR32" s="650"/>
      <c r="DS32" s="650"/>
      <c r="DT32" s="650"/>
      <c r="DU32" s="650"/>
      <c r="DV32" s="650"/>
      <c r="DW32" s="650"/>
      <c r="DX32" s="650"/>
      <c r="DY32" s="650"/>
      <c r="DZ32" s="650"/>
      <c r="EA32" s="650"/>
      <c r="EB32" s="650"/>
      <c r="EC32" s="650"/>
      <c r="ED32" s="650"/>
      <c r="EE32" s="650"/>
      <c r="EF32" s="650"/>
      <c r="EG32" s="650"/>
      <c r="EH32" s="650"/>
      <c r="EI32" s="650"/>
      <c r="EJ32" s="650"/>
      <c r="EK32" s="650"/>
      <c r="EL32" s="650"/>
      <c r="EM32" s="650"/>
      <c r="EN32" s="650"/>
      <c r="EO32" s="650"/>
      <c r="EP32" s="650"/>
      <c r="EQ32" s="650"/>
      <c r="ER32" s="650"/>
      <c r="ES32" s="650"/>
      <c r="ET32" s="650"/>
      <c r="EU32" s="650"/>
      <c r="EV32" s="650"/>
      <c r="EW32" s="650"/>
      <c r="EX32" s="650"/>
      <c r="EY32" s="650"/>
      <c r="EZ32" s="650"/>
      <c r="FA32" s="650"/>
      <c r="FB32" s="650"/>
      <c r="FC32" s="650"/>
      <c r="FD32" s="650"/>
      <c r="FE32" s="650"/>
      <c r="FF32" s="650"/>
      <c r="FG32" s="650"/>
      <c r="FH32" s="650"/>
      <c r="FI32" s="650"/>
      <c r="FJ32" s="650"/>
      <c r="FK32" s="650"/>
      <c r="FL32" s="650"/>
      <c r="FM32" s="650"/>
      <c r="FN32" s="650"/>
      <c r="FO32" s="650"/>
      <c r="FP32" s="650"/>
      <c r="FQ32" s="650"/>
      <c r="FR32" s="650"/>
      <c r="FS32" s="650"/>
      <c r="FT32" s="650"/>
      <c r="FU32" s="650"/>
      <c r="FV32" s="650"/>
      <c r="FW32" s="650"/>
      <c r="FX32" s="650"/>
      <c r="FY32" s="650"/>
      <c r="FZ32" s="650"/>
      <c r="GA32" s="650"/>
      <c r="GB32" s="650"/>
      <c r="GC32" s="650"/>
      <c r="GD32" s="650"/>
      <c r="GE32" s="650"/>
      <c r="GF32" s="650"/>
      <c r="GG32" s="650"/>
      <c r="GH32" s="650"/>
      <c r="GI32" s="650"/>
      <c r="GJ32" s="650"/>
      <c r="GK32" s="650"/>
      <c r="GL32" s="650"/>
      <c r="GM32" s="650"/>
      <c r="GN32" s="650"/>
      <c r="GO32" s="650"/>
      <c r="GP32" s="650"/>
      <c r="GQ32" s="650"/>
      <c r="GR32" s="650"/>
      <c r="GS32" s="650"/>
      <c r="GT32" s="650"/>
      <c r="GU32" s="650"/>
      <c r="GV32" s="650"/>
      <c r="GW32" s="650"/>
      <c r="GX32" s="650"/>
      <c r="GY32" s="650"/>
      <c r="GZ32" s="650"/>
      <c r="HA32" s="650"/>
      <c r="HB32" s="650"/>
      <c r="HC32" s="650"/>
      <c r="HD32" s="650"/>
      <c r="HE32" s="650"/>
      <c r="HF32" s="650"/>
      <c r="HG32" s="650"/>
      <c r="HH32" s="650"/>
      <c r="HI32" s="650"/>
      <c r="HJ32" s="650"/>
      <c r="HK32" s="650"/>
      <c r="HL32" s="650"/>
      <c r="HM32" s="650"/>
      <c r="HN32" s="650"/>
      <c r="HO32" s="650"/>
      <c r="HP32" s="650"/>
      <c r="HQ32" s="650"/>
      <c r="HR32" s="650"/>
      <c r="HS32" s="650"/>
      <c r="HT32" s="650"/>
      <c r="HU32" s="650"/>
      <c r="HV32" s="650"/>
      <c r="HW32" s="650"/>
      <c r="HX32" s="650"/>
      <c r="HY32" s="650"/>
      <c r="HZ32" s="650"/>
      <c r="IA32" s="650"/>
      <c r="IB32" s="650"/>
      <c r="IC32" s="650"/>
      <c r="ID32" s="650"/>
      <c r="IE32" s="650"/>
      <c r="IF32" s="650"/>
      <c r="IG32" s="650"/>
      <c r="IH32" s="650"/>
      <c r="II32" s="650"/>
      <c r="IJ32" s="650"/>
      <c r="IK32" s="650"/>
      <c r="IL32" s="650"/>
      <c r="IM32" s="650"/>
      <c r="IN32" s="650"/>
      <c r="IO32" s="650"/>
      <c r="IP32" s="650"/>
      <c r="IQ32" s="650"/>
      <c r="IR32" s="650"/>
      <c r="IS32" s="650"/>
      <c r="IT32" s="650"/>
      <c r="IU32" s="650"/>
      <c r="IV32" s="650"/>
    </row>
    <row r="33" spans="1:256" ht="12.95" customHeight="1">
      <c r="A33" s="1929"/>
      <c r="B33" s="1930"/>
      <c r="C33" s="710" t="e">
        <f>+G17</f>
        <v>#REF!</v>
      </c>
      <c r="D33" s="711">
        <v>0</v>
      </c>
      <c r="E33" s="711" t="e">
        <f t="shared" si="0"/>
        <v>#REF!</v>
      </c>
      <c r="F33" s="711">
        <v>4.25</v>
      </c>
      <c r="G33" s="711" t="e">
        <f t="shared" si="0"/>
        <v>#REF!</v>
      </c>
      <c r="H33" s="711">
        <v>7</v>
      </c>
      <c r="I33" s="711" t="e">
        <f t="shared" si="1"/>
        <v>#REF!</v>
      </c>
      <c r="J33" s="711">
        <v>7</v>
      </c>
      <c r="K33" s="711" t="e">
        <f t="shared" si="2"/>
        <v>#REF!</v>
      </c>
      <c r="L33" s="711">
        <v>0</v>
      </c>
      <c r="M33" s="711" t="e">
        <f t="shared" si="3"/>
        <v>#REF!</v>
      </c>
      <c r="N33" s="711">
        <v>0</v>
      </c>
      <c r="O33" s="711" t="e">
        <f t="shared" si="4"/>
        <v>#REF!</v>
      </c>
      <c r="P33" s="1926"/>
      <c r="Q33" s="650"/>
      <c r="R33" s="650"/>
      <c r="S33" s="650"/>
      <c r="T33" s="650"/>
      <c r="U33" s="719" t="s">
        <v>643</v>
      </c>
      <c r="V33" s="719" t="s">
        <v>644</v>
      </c>
      <c r="W33" s="720">
        <v>2</v>
      </c>
      <c r="X33" s="720">
        <v>4</v>
      </c>
      <c r="Y33" s="720">
        <v>8</v>
      </c>
      <c r="Z33" s="720">
        <v>11</v>
      </c>
      <c r="AA33" s="650"/>
      <c r="AB33" s="650"/>
      <c r="AC33" s="650"/>
      <c r="AD33" s="650"/>
      <c r="AE33" s="650"/>
      <c r="AF33" s="650"/>
      <c r="AG33" s="650"/>
      <c r="AH33" s="650"/>
      <c r="AI33" s="650"/>
      <c r="AJ33" s="650"/>
      <c r="AK33" s="650"/>
      <c r="AL33" s="650"/>
      <c r="AM33" s="650"/>
      <c r="AN33" s="650"/>
      <c r="AO33" s="650"/>
      <c r="AP33" s="650"/>
      <c r="AQ33" s="650"/>
      <c r="AR33" s="650"/>
      <c r="AS33" s="650"/>
      <c r="AT33" s="650"/>
      <c r="AU33" s="650"/>
      <c r="AV33" s="650"/>
      <c r="AW33" s="650"/>
      <c r="AX33" s="650"/>
      <c r="AY33" s="650"/>
      <c r="AZ33" s="650"/>
      <c r="BA33" s="650"/>
      <c r="BB33" s="650"/>
      <c r="BC33" s="650"/>
      <c r="BD33" s="650"/>
      <c r="BE33" s="650"/>
      <c r="BF33" s="650"/>
      <c r="BG33" s="650"/>
      <c r="BH33" s="650"/>
      <c r="BI33" s="650"/>
      <c r="BJ33" s="650"/>
      <c r="BK33" s="650"/>
      <c r="BL33" s="650"/>
      <c r="BM33" s="650"/>
      <c r="BN33" s="650"/>
      <c r="BO33" s="650"/>
      <c r="BP33" s="650"/>
      <c r="BQ33" s="650"/>
      <c r="BR33" s="650"/>
      <c r="BS33" s="650"/>
      <c r="BT33" s="650"/>
      <c r="BU33" s="650"/>
      <c r="BV33" s="650"/>
      <c r="BW33" s="650"/>
      <c r="BX33" s="650"/>
      <c r="BY33" s="650"/>
      <c r="BZ33" s="650"/>
      <c r="CA33" s="650"/>
      <c r="CB33" s="650"/>
      <c r="CC33" s="650"/>
      <c r="CD33" s="650"/>
      <c r="CE33" s="650"/>
      <c r="CF33" s="650"/>
      <c r="CG33" s="650"/>
      <c r="CH33" s="650"/>
      <c r="CI33" s="650"/>
      <c r="CJ33" s="650"/>
      <c r="CK33" s="650"/>
      <c r="CL33" s="650"/>
      <c r="CM33" s="650"/>
      <c r="CN33" s="650"/>
      <c r="CO33" s="650"/>
      <c r="CP33" s="650"/>
      <c r="CQ33" s="650"/>
      <c r="CR33" s="650"/>
      <c r="CS33" s="650"/>
      <c r="CT33" s="650"/>
      <c r="CU33" s="650"/>
      <c r="CV33" s="650"/>
      <c r="CW33" s="650"/>
      <c r="CX33" s="650"/>
      <c r="CY33" s="650"/>
      <c r="CZ33" s="650"/>
      <c r="DA33" s="650"/>
      <c r="DB33" s="650"/>
      <c r="DC33" s="650"/>
      <c r="DD33" s="650"/>
      <c r="DE33" s="650"/>
      <c r="DF33" s="650"/>
      <c r="DG33" s="650"/>
      <c r="DH33" s="650"/>
      <c r="DI33" s="650"/>
      <c r="DJ33" s="650"/>
      <c r="DK33" s="650"/>
      <c r="DL33" s="650"/>
      <c r="DM33" s="650"/>
      <c r="DN33" s="650"/>
      <c r="DO33" s="650"/>
      <c r="DP33" s="650"/>
      <c r="DQ33" s="650"/>
      <c r="DR33" s="650"/>
      <c r="DS33" s="650"/>
      <c r="DT33" s="650"/>
      <c r="DU33" s="650"/>
      <c r="DV33" s="650"/>
      <c r="DW33" s="650"/>
      <c r="DX33" s="650"/>
      <c r="DY33" s="650"/>
      <c r="DZ33" s="650"/>
      <c r="EA33" s="650"/>
      <c r="EB33" s="650"/>
      <c r="EC33" s="650"/>
      <c r="ED33" s="650"/>
      <c r="EE33" s="650"/>
      <c r="EF33" s="650"/>
      <c r="EG33" s="650"/>
      <c r="EH33" s="650"/>
      <c r="EI33" s="650"/>
      <c r="EJ33" s="650"/>
      <c r="EK33" s="650"/>
      <c r="EL33" s="650"/>
      <c r="EM33" s="650"/>
      <c r="EN33" s="650"/>
      <c r="EO33" s="650"/>
      <c r="EP33" s="650"/>
      <c r="EQ33" s="650"/>
      <c r="ER33" s="650"/>
      <c r="ES33" s="650"/>
      <c r="ET33" s="650"/>
      <c r="EU33" s="650"/>
      <c r="EV33" s="650"/>
      <c r="EW33" s="650"/>
      <c r="EX33" s="650"/>
      <c r="EY33" s="650"/>
      <c r="EZ33" s="650"/>
      <c r="FA33" s="650"/>
      <c r="FB33" s="650"/>
      <c r="FC33" s="650"/>
      <c r="FD33" s="650"/>
      <c r="FE33" s="650"/>
      <c r="FF33" s="650"/>
      <c r="FG33" s="650"/>
      <c r="FH33" s="650"/>
      <c r="FI33" s="650"/>
      <c r="FJ33" s="650"/>
      <c r="FK33" s="650"/>
      <c r="FL33" s="650"/>
      <c r="FM33" s="650"/>
      <c r="FN33" s="650"/>
      <c r="FO33" s="650"/>
      <c r="FP33" s="650"/>
      <c r="FQ33" s="650"/>
      <c r="FR33" s="650"/>
      <c r="FS33" s="650"/>
      <c r="FT33" s="650"/>
      <c r="FU33" s="650"/>
      <c r="FV33" s="650"/>
      <c r="FW33" s="650"/>
      <c r="FX33" s="650"/>
      <c r="FY33" s="650"/>
      <c r="FZ33" s="650"/>
      <c r="GA33" s="650"/>
      <c r="GB33" s="650"/>
      <c r="GC33" s="650"/>
      <c r="GD33" s="650"/>
      <c r="GE33" s="650"/>
      <c r="GF33" s="650"/>
      <c r="GG33" s="650"/>
      <c r="GH33" s="650"/>
      <c r="GI33" s="650"/>
      <c r="GJ33" s="650"/>
      <c r="GK33" s="650"/>
      <c r="GL33" s="650"/>
      <c r="GM33" s="650"/>
      <c r="GN33" s="650"/>
      <c r="GO33" s="650"/>
      <c r="GP33" s="650"/>
      <c r="GQ33" s="650"/>
      <c r="GR33" s="650"/>
      <c r="GS33" s="650"/>
      <c r="GT33" s="650"/>
      <c r="GU33" s="650"/>
      <c r="GV33" s="650"/>
      <c r="GW33" s="650"/>
      <c r="GX33" s="650"/>
      <c r="GY33" s="650"/>
      <c r="GZ33" s="650"/>
      <c r="HA33" s="650"/>
      <c r="HB33" s="650"/>
      <c r="HC33" s="650"/>
      <c r="HD33" s="650"/>
      <c r="HE33" s="650"/>
      <c r="HF33" s="650"/>
      <c r="HG33" s="650"/>
      <c r="HH33" s="650"/>
      <c r="HI33" s="650"/>
      <c r="HJ33" s="650"/>
      <c r="HK33" s="650"/>
      <c r="HL33" s="650"/>
      <c r="HM33" s="650"/>
      <c r="HN33" s="650"/>
      <c r="HO33" s="650"/>
      <c r="HP33" s="650"/>
      <c r="HQ33" s="650"/>
      <c r="HR33" s="650"/>
      <c r="HS33" s="650"/>
      <c r="HT33" s="650"/>
      <c r="HU33" s="650"/>
      <c r="HV33" s="650"/>
      <c r="HW33" s="650"/>
      <c r="HX33" s="650"/>
      <c r="HY33" s="650"/>
      <c r="HZ33" s="650"/>
      <c r="IA33" s="650"/>
      <c r="IB33" s="650"/>
      <c r="IC33" s="650"/>
      <c r="ID33" s="650"/>
      <c r="IE33" s="650"/>
      <c r="IF33" s="650"/>
      <c r="IG33" s="650"/>
      <c r="IH33" s="650"/>
      <c r="II33" s="650"/>
      <c r="IJ33" s="650"/>
      <c r="IK33" s="650"/>
      <c r="IL33" s="650"/>
      <c r="IM33" s="650"/>
      <c r="IN33" s="650"/>
      <c r="IO33" s="650"/>
      <c r="IP33" s="650"/>
      <c r="IQ33" s="650"/>
      <c r="IR33" s="650"/>
      <c r="IS33" s="650"/>
      <c r="IT33" s="650"/>
      <c r="IU33" s="650"/>
      <c r="IV33" s="650"/>
    </row>
    <row r="34" spans="1:256" ht="12.95" customHeight="1">
      <c r="A34" s="1927" t="s">
        <v>440</v>
      </c>
      <c r="B34" s="1928"/>
      <c r="C34" s="721" t="s">
        <v>649</v>
      </c>
      <c r="D34" s="706"/>
      <c r="E34" s="706" t="e">
        <f>E22+E24+E26+E28+E30+E32</f>
        <v>#REF!</v>
      </c>
      <c r="F34" s="706"/>
      <c r="G34" s="706" t="e">
        <f>G22+G24+G26+G28+G30+G32</f>
        <v>#REF!</v>
      </c>
      <c r="H34" s="706"/>
      <c r="I34" s="706" t="e">
        <f>I22+I24+I26+I28+I30+I32</f>
        <v>#REF!</v>
      </c>
      <c r="J34" s="706"/>
      <c r="K34" s="706" t="e">
        <f>K22+K24+K26+K28+K30+K32</f>
        <v>#REF!</v>
      </c>
      <c r="L34" s="706"/>
      <c r="M34" s="706" t="e">
        <f>M22+M24+M26+M28+M30+M32</f>
        <v>#REF!</v>
      </c>
      <c r="N34" s="706"/>
      <c r="O34" s="706" t="e">
        <f>O22+O24+O26+O28+O30+O32</f>
        <v>#REF!</v>
      </c>
      <c r="P34" s="722"/>
      <c r="Q34" s="650"/>
      <c r="R34" s="650"/>
      <c r="S34" s="650"/>
      <c r="T34" s="1936" t="s">
        <v>650</v>
      </c>
      <c r="U34" s="1937" t="s">
        <v>651</v>
      </c>
      <c r="V34" s="717" t="s">
        <v>652</v>
      </c>
      <c r="W34" s="723">
        <v>40</v>
      </c>
      <c r="X34" s="724">
        <v>40</v>
      </c>
      <c r="Y34" s="724">
        <v>50</v>
      </c>
      <c r="Z34" s="725">
        <v>60</v>
      </c>
      <c r="AA34" s="650"/>
      <c r="AB34" s="650"/>
      <c r="AC34" s="650"/>
      <c r="AD34" s="650"/>
      <c r="AE34" s="650"/>
      <c r="AF34" s="650"/>
      <c r="AG34" s="650"/>
      <c r="AH34" s="650"/>
      <c r="AI34" s="650"/>
      <c r="AJ34" s="650"/>
      <c r="AK34" s="650"/>
      <c r="AL34" s="650"/>
      <c r="AM34" s="650"/>
      <c r="AN34" s="650"/>
      <c r="AO34" s="650"/>
      <c r="AP34" s="650"/>
      <c r="AQ34" s="650"/>
      <c r="AR34" s="650"/>
      <c r="AS34" s="650"/>
      <c r="AT34" s="650"/>
      <c r="AU34" s="650"/>
      <c r="AV34" s="650"/>
      <c r="AW34" s="650"/>
      <c r="AX34" s="650"/>
      <c r="AY34" s="650"/>
      <c r="AZ34" s="650"/>
      <c r="BA34" s="650"/>
      <c r="BB34" s="650"/>
      <c r="BC34" s="650"/>
      <c r="BD34" s="650"/>
      <c r="BE34" s="650"/>
      <c r="BF34" s="650"/>
      <c r="BG34" s="650"/>
      <c r="BH34" s="650"/>
      <c r="BI34" s="650"/>
      <c r="BJ34" s="650"/>
      <c r="BK34" s="650"/>
      <c r="BL34" s="650"/>
      <c r="BM34" s="650"/>
      <c r="BN34" s="650"/>
      <c r="BO34" s="650"/>
      <c r="BP34" s="650"/>
      <c r="BQ34" s="650"/>
      <c r="BR34" s="650"/>
      <c r="BS34" s="650"/>
      <c r="BT34" s="650"/>
      <c r="BU34" s="650"/>
      <c r="BV34" s="650"/>
      <c r="BW34" s="650"/>
      <c r="BX34" s="650"/>
      <c r="BY34" s="650"/>
      <c r="BZ34" s="650"/>
      <c r="CA34" s="650"/>
      <c r="CB34" s="650"/>
      <c r="CC34" s="650"/>
      <c r="CD34" s="650"/>
      <c r="CE34" s="650"/>
      <c r="CF34" s="650"/>
      <c r="CG34" s="650"/>
      <c r="CH34" s="650"/>
      <c r="CI34" s="650"/>
      <c r="CJ34" s="650"/>
      <c r="CK34" s="650"/>
      <c r="CL34" s="650"/>
      <c r="CM34" s="650"/>
      <c r="CN34" s="650"/>
      <c r="CO34" s="650"/>
      <c r="CP34" s="650"/>
      <c r="CQ34" s="650"/>
      <c r="CR34" s="650"/>
      <c r="CS34" s="650"/>
      <c r="CT34" s="650"/>
      <c r="CU34" s="650"/>
      <c r="CV34" s="650"/>
      <c r="CW34" s="650"/>
      <c r="CX34" s="650"/>
      <c r="CY34" s="650"/>
      <c r="CZ34" s="650"/>
      <c r="DA34" s="650"/>
      <c r="DB34" s="650"/>
      <c r="DC34" s="650"/>
      <c r="DD34" s="650"/>
      <c r="DE34" s="650"/>
      <c r="DF34" s="650"/>
      <c r="DG34" s="650"/>
      <c r="DH34" s="650"/>
      <c r="DI34" s="650"/>
      <c r="DJ34" s="650"/>
      <c r="DK34" s="650"/>
      <c r="DL34" s="650"/>
      <c r="DM34" s="650"/>
      <c r="DN34" s="650"/>
      <c r="DO34" s="650"/>
      <c r="DP34" s="650"/>
      <c r="DQ34" s="650"/>
      <c r="DR34" s="650"/>
      <c r="DS34" s="650"/>
      <c r="DT34" s="650"/>
      <c r="DU34" s="650"/>
      <c r="DV34" s="650"/>
      <c r="DW34" s="650"/>
      <c r="DX34" s="650"/>
      <c r="DY34" s="650"/>
      <c r="DZ34" s="650"/>
      <c r="EA34" s="650"/>
      <c r="EB34" s="650"/>
      <c r="EC34" s="650"/>
      <c r="ED34" s="650"/>
      <c r="EE34" s="650"/>
      <c r="EF34" s="650"/>
      <c r="EG34" s="650"/>
      <c r="EH34" s="650"/>
      <c r="EI34" s="650"/>
      <c r="EJ34" s="650"/>
      <c r="EK34" s="650"/>
      <c r="EL34" s="650"/>
      <c r="EM34" s="650"/>
      <c r="EN34" s="650"/>
      <c r="EO34" s="650"/>
      <c r="EP34" s="650"/>
      <c r="EQ34" s="650"/>
      <c r="ER34" s="650"/>
      <c r="ES34" s="650"/>
      <c r="ET34" s="650"/>
      <c r="EU34" s="650"/>
      <c r="EV34" s="650"/>
      <c r="EW34" s="650"/>
      <c r="EX34" s="650"/>
      <c r="EY34" s="650"/>
      <c r="EZ34" s="650"/>
      <c r="FA34" s="650"/>
      <c r="FB34" s="650"/>
      <c r="FC34" s="650"/>
      <c r="FD34" s="650"/>
      <c r="FE34" s="650"/>
      <c r="FF34" s="650"/>
      <c r="FG34" s="650"/>
      <c r="FH34" s="650"/>
      <c r="FI34" s="650"/>
      <c r="FJ34" s="650"/>
      <c r="FK34" s="650"/>
      <c r="FL34" s="650"/>
      <c r="FM34" s="650"/>
      <c r="FN34" s="650"/>
      <c r="FO34" s="650"/>
      <c r="FP34" s="650"/>
      <c r="FQ34" s="650"/>
      <c r="FR34" s="650"/>
      <c r="FS34" s="650"/>
      <c r="FT34" s="650"/>
      <c r="FU34" s="650"/>
      <c r="FV34" s="650"/>
      <c r="FW34" s="650"/>
      <c r="FX34" s="650"/>
      <c r="FY34" s="650"/>
      <c r="FZ34" s="650"/>
      <c r="GA34" s="650"/>
      <c r="GB34" s="650"/>
      <c r="GC34" s="650"/>
      <c r="GD34" s="650"/>
      <c r="GE34" s="650"/>
      <c r="GF34" s="650"/>
      <c r="GG34" s="650"/>
      <c r="GH34" s="650"/>
      <c r="GI34" s="650"/>
      <c r="GJ34" s="650"/>
      <c r="GK34" s="650"/>
      <c r="GL34" s="650"/>
      <c r="GM34" s="650"/>
      <c r="GN34" s="650"/>
      <c r="GO34" s="650"/>
      <c r="GP34" s="650"/>
      <c r="GQ34" s="650"/>
      <c r="GR34" s="650"/>
      <c r="GS34" s="650"/>
      <c r="GT34" s="650"/>
      <c r="GU34" s="650"/>
      <c r="GV34" s="650"/>
      <c r="GW34" s="650"/>
      <c r="GX34" s="650"/>
      <c r="GY34" s="650"/>
      <c r="GZ34" s="650"/>
      <c r="HA34" s="650"/>
      <c r="HB34" s="650"/>
      <c r="HC34" s="650"/>
      <c r="HD34" s="650"/>
      <c r="HE34" s="650"/>
      <c r="HF34" s="650"/>
      <c r="HG34" s="650"/>
      <c r="HH34" s="650"/>
      <c r="HI34" s="650"/>
      <c r="HJ34" s="650"/>
      <c r="HK34" s="650"/>
      <c r="HL34" s="650"/>
      <c r="HM34" s="650"/>
      <c r="HN34" s="650"/>
      <c r="HO34" s="650"/>
      <c r="HP34" s="650"/>
      <c r="HQ34" s="650"/>
      <c r="HR34" s="650"/>
      <c r="HS34" s="650"/>
      <c r="HT34" s="650"/>
      <c r="HU34" s="650"/>
      <c r="HV34" s="650"/>
      <c r="HW34" s="650"/>
      <c r="HX34" s="650"/>
      <c r="HY34" s="650"/>
      <c r="HZ34" s="650"/>
      <c r="IA34" s="650"/>
      <c r="IB34" s="650"/>
      <c r="IC34" s="650"/>
      <c r="ID34" s="650"/>
      <c r="IE34" s="650"/>
      <c r="IF34" s="650"/>
      <c r="IG34" s="650"/>
      <c r="IH34" s="650"/>
      <c r="II34" s="650"/>
      <c r="IJ34" s="650"/>
      <c r="IK34" s="650"/>
      <c r="IL34" s="650"/>
      <c r="IM34" s="650"/>
      <c r="IN34" s="650"/>
      <c r="IO34" s="650"/>
      <c r="IP34" s="650"/>
      <c r="IQ34" s="650"/>
      <c r="IR34" s="650"/>
      <c r="IS34" s="650"/>
      <c r="IT34" s="650"/>
      <c r="IU34" s="650"/>
      <c r="IV34" s="650"/>
    </row>
    <row r="35" spans="1:256" ht="12.95" customHeight="1">
      <c r="A35" s="1934"/>
      <c r="B35" s="1935"/>
      <c r="C35" s="721" t="s">
        <v>653</v>
      </c>
      <c r="D35" s="706"/>
      <c r="E35" s="706" t="e">
        <f>E23+E25+E27+E29+E31+E33</f>
        <v>#REF!</v>
      </c>
      <c r="F35" s="706"/>
      <c r="G35" s="706" t="e">
        <f>G23+G25+G27+G29+G31+G33</f>
        <v>#REF!</v>
      </c>
      <c r="H35" s="706"/>
      <c r="I35" s="706" t="e">
        <f>I23+I25+I27+I29+I31+I33</f>
        <v>#REF!</v>
      </c>
      <c r="J35" s="706"/>
      <c r="K35" s="706" t="e">
        <f>K23+K25+K27+K29+K31+K33</f>
        <v>#REF!</v>
      </c>
      <c r="L35" s="706"/>
      <c r="M35" s="706" t="e">
        <f>M23+M25+M27+M29+M31+M33</f>
        <v>#REF!</v>
      </c>
      <c r="N35" s="706"/>
      <c r="O35" s="706" t="e">
        <f>O23+O25+O27+O29+O31+O33</f>
        <v>#REF!</v>
      </c>
      <c r="P35" s="722"/>
      <c r="Q35" s="650"/>
      <c r="R35" s="650"/>
      <c r="S35" s="650"/>
      <c r="T35" s="1936"/>
      <c r="U35" s="1937"/>
      <c r="V35" s="726" t="s">
        <v>654</v>
      </c>
      <c r="W35" s="727">
        <v>40</v>
      </c>
      <c r="X35" s="728">
        <v>50</v>
      </c>
      <c r="Y35" s="728">
        <v>60</v>
      </c>
      <c r="Z35" s="729">
        <v>100</v>
      </c>
      <c r="AA35" s="650"/>
      <c r="AB35" s="650"/>
      <c r="AC35" s="650"/>
      <c r="AD35" s="650"/>
      <c r="AE35" s="650"/>
      <c r="AF35" s="650"/>
      <c r="AG35" s="650"/>
      <c r="AH35" s="650"/>
      <c r="AI35" s="650"/>
      <c r="AJ35" s="650"/>
      <c r="AK35" s="650"/>
      <c r="AL35" s="650"/>
      <c r="AM35" s="650"/>
      <c r="AN35" s="650"/>
      <c r="AO35" s="650"/>
      <c r="AP35" s="650"/>
      <c r="AQ35" s="650"/>
      <c r="AR35" s="650"/>
      <c r="AS35" s="650"/>
      <c r="AT35" s="650"/>
      <c r="AU35" s="650"/>
      <c r="AV35" s="650"/>
      <c r="AW35" s="650"/>
      <c r="AX35" s="650"/>
      <c r="AY35" s="650"/>
      <c r="AZ35" s="650"/>
      <c r="BA35" s="650"/>
      <c r="BB35" s="650"/>
      <c r="BC35" s="650"/>
      <c r="BD35" s="650"/>
      <c r="BE35" s="650"/>
      <c r="BF35" s="650"/>
      <c r="BG35" s="650"/>
      <c r="BH35" s="650"/>
      <c r="BI35" s="650"/>
      <c r="BJ35" s="650"/>
      <c r="BK35" s="650"/>
      <c r="BL35" s="650"/>
      <c r="BM35" s="650"/>
      <c r="BN35" s="650"/>
      <c r="BO35" s="650"/>
      <c r="BP35" s="650"/>
      <c r="BQ35" s="650"/>
      <c r="BR35" s="650"/>
      <c r="BS35" s="650"/>
      <c r="BT35" s="650"/>
      <c r="BU35" s="650"/>
      <c r="BV35" s="650"/>
      <c r="BW35" s="650"/>
      <c r="BX35" s="650"/>
      <c r="BY35" s="650"/>
      <c r="BZ35" s="650"/>
      <c r="CA35" s="650"/>
      <c r="CB35" s="650"/>
      <c r="CC35" s="650"/>
      <c r="CD35" s="650"/>
      <c r="CE35" s="650"/>
      <c r="CF35" s="650"/>
      <c r="CG35" s="650"/>
      <c r="CH35" s="650"/>
      <c r="CI35" s="650"/>
      <c r="CJ35" s="650"/>
      <c r="CK35" s="650"/>
      <c r="CL35" s="650"/>
      <c r="CM35" s="650"/>
      <c r="CN35" s="650"/>
      <c r="CO35" s="650"/>
      <c r="CP35" s="650"/>
      <c r="CQ35" s="650"/>
      <c r="CR35" s="650"/>
      <c r="CS35" s="650"/>
      <c r="CT35" s="650"/>
      <c r="CU35" s="650"/>
      <c r="CV35" s="650"/>
      <c r="CW35" s="650"/>
      <c r="CX35" s="650"/>
      <c r="CY35" s="650"/>
      <c r="CZ35" s="650"/>
      <c r="DA35" s="650"/>
      <c r="DB35" s="650"/>
      <c r="DC35" s="650"/>
      <c r="DD35" s="650"/>
      <c r="DE35" s="650"/>
      <c r="DF35" s="650"/>
      <c r="DG35" s="650"/>
      <c r="DH35" s="650"/>
      <c r="DI35" s="650"/>
      <c r="DJ35" s="650"/>
      <c r="DK35" s="650"/>
      <c r="DL35" s="650"/>
      <c r="DM35" s="650"/>
      <c r="DN35" s="650"/>
      <c r="DO35" s="650"/>
      <c r="DP35" s="650"/>
      <c r="DQ35" s="650"/>
      <c r="DR35" s="650"/>
      <c r="DS35" s="650"/>
      <c r="DT35" s="650"/>
      <c r="DU35" s="650"/>
      <c r="DV35" s="650"/>
      <c r="DW35" s="650"/>
      <c r="DX35" s="650"/>
      <c r="DY35" s="650"/>
      <c r="DZ35" s="650"/>
      <c r="EA35" s="650"/>
      <c r="EB35" s="650"/>
      <c r="EC35" s="650"/>
      <c r="ED35" s="650"/>
      <c r="EE35" s="650"/>
      <c r="EF35" s="650"/>
      <c r="EG35" s="650"/>
      <c r="EH35" s="650"/>
      <c r="EI35" s="650"/>
      <c r="EJ35" s="650"/>
      <c r="EK35" s="650"/>
      <c r="EL35" s="650"/>
      <c r="EM35" s="650"/>
      <c r="EN35" s="650"/>
      <c r="EO35" s="650"/>
      <c r="EP35" s="650"/>
      <c r="EQ35" s="650"/>
      <c r="ER35" s="650"/>
      <c r="ES35" s="650"/>
      <c r="ET35" s="650"/>
      <c r="EU35" s="650"/>
      <c r="EV35" s="650"/>
      <c r="EW35" s="650"/>
      <c r="EX35" s="650"/>
      <c r="EY35" s="650"/>
      <c r="EZ35" s="650"/>
      <c r="FA35" s="650"/>
      <c r="FB35" s="650"/>
      <c r="FC35" s="650"/>
      <c r="FD35" s="650"/>
      <c r="FE35" s="650"/>
      <c r="FF35" s="650"/>
      <c r="FG35" s="650"/>
      <c r="FH35" s="650"/>
      <c r="FI35" s="650"/>
      <c r="FJ35" s="650"/>
      <c r="FK35" s="650"/>
      <c r="FL35" s="650"/>
      <c r="FM35" s="650"/>
      <c r="FN35" s="650"/>
      <c r="FO35" s="650"/>
      <c r="FP35" s="650"/>
      <c r="FQ35" s="650"/>
      <c r="FR35" s="650"/>
      <c r="FS35" s="650"/>
      <c r="FT35" s="650"/>
      <c r="FU35" s="650"/>
      <c r="FV35" s="650"/>
      <c r="FW35" s="650"/>
      <c r="FX35" s="650"/>
      <c r="FY35" s="650"/>
      <c r="FZ35" s="650"/>
      <c r="GA35" s="650"/>
      <c r="GB35" s="650"/>
      <c r="GC35" s="650"/>
      <c r="GD35" s="650"/>
      <c r="GE35" s="650"/>
      <c r="GF35" s="650"/>
      <c r="GG35" s="650"/>
      <c r="GH35" s="650"/>
      <c r="GI35" s="650"/>
      <c r="GJ35" s="650"/>
      <c r="GK35" s="650"/>
      <c r="GL35" s="650"/>
      <c r="GM35" s="650"/>
      <c r="GN35" s="650"/>
      <c r="GO35" s="650"/>
      <c r="GP35" s="650"/>
      <c r="GQ35" s="650"/>
      <c r="GR35" s="650"/>
      <c r="GS35" s="650"/>
      <c r="GT35" s="650"/>
      <c r="GU35" s="650"/>
      <c r="GV35" s="650"/>
      <c r="GW35" s="650"/>
      <c r="GX35" s="650"/>
      <c r="GY35" s="650"/>
      <c r="GZ35" s="650"/>
      <c r="HA35" s="650"/>
      <c r="HB35" s="650"/>
      <c r="HC35" s="650"/>
      <c r="HD35" s="650"/>
      <c r="HE35" s="650"/>
      <c r="HF35" s="650"/>
      <c r="HG35" s="650"/>
      <c r="HH35" s="650"/>
      <c r="HI35" s="650"/>
      <c r="HJ35" s="650"/>
      <c r="HK35" s="650"/>
      <c r="HL35" s="650"/>
      <c r="HM35" s="650"/>
      <c r="HN35" s="650"/>
      <c r="HO35" s="650"/>
      <c r="HP35" s="650"/>
      <c r="HQ35" s="650"/>
      <c r="HR35" s="650"/>
      <c r="HS35" s="650"/>
      <c r="HT35" s="650"/>
      <c r="HU35" s="650"/>
      <c r="HV35" s="650"/>
      <c r="HW35" s="650"/>
      <c r="HX35" s="650"/>
      <c r="HY35" s="650"/>
      <c r="HZ35" s="650"/>
      <c r="IA35" s="650"/>
      <c r="IB35" s="650"/>
      <c r="IC35" s="650"/>
      <c r="ID35" s="650"/>
      <c r="IE35" s="650"/>
      <c r="IF35" s="650"/>
      <c r="IG35" s="650"/>
      <c r="IH35" s="650"/>
      <c r="II35" s="650"/>
      <c r="IJ35" s="650"/>
      <c r="IK35" s="650"/>
      <c r="IL35" s="650"/>
      <c r="IM35" s="650"/>
      <c r="IN35" s="650"/>
      <c r="IO35" s="650"/>
      <c r="IP35" s="650"/>
      <c r="IQ35" s="650"/>
      <c r="IR35" s="650"/>
      <c r="IS35" s="650"/>
      <c r="IT35" s="650"/>
      <c r="IU35" s="650"/>
      <c r="IV35" s="650"/>
    </row>
    <row r="36" spans="1:256" ht="12.95" customHeight="1">
      <c r="A36" s="1929"/>
      <c r="B36" s="1930"/>
      <c r="C36" s="721" t="s">
        <v>235</v>
      </c>
      <c r="D36" s="706"/>
      <c r="E36" s="706" t="e">
        <f>ROUND(+E34+E35,2)</f>
        <v>#REF!</v>
      </c>
      <c r="F36" s="706"/>
      <c r="G36" s="706" t="e">
        <f>ROUND(+G34+G35,2)</f>
        <v>#REF!</v>
      </c>
      <c r="H36" s="706"/>
      <c r="I36" s="706" t="e">
        <f>ROUND(+I34+I35,2)</f>
        <v>#REF!</v>
      </c>
      <c r="J36" s="706"/>
      <c r="K36" s="706" t="e">
        <f>ROUND(+K34+K35,2)</f>
        <v>#REF!</v>
      </c>
      <c r="L36" s="706"/>
      <c r="M36" s="706" t="e">
        <f>ROUND(+M34+M35,2)</f>
        <v>#REF!</v>
      </c>
      <c r="N36" s="706"/>
      <c r="O36" s="706" t="e">
        <f>ROUND(+O34+O35,2)</f>
        <v>#REF!</v>
      </c>
      <c r="P36" s="722"/>
      <c r="Q36" s="650"/>
      <c r="R36" s="650"/>
      <c r="S36" s="650"/>
      <c r="T36" s="1936"/>
      <c r="U36" s="1937"/>
      <c r="V36" s="726" t="s">
        <v>644</v>
      </c>
      <c r="W36" s="730">
        <v>63</v>
      </c>
      <c r="X36" s="731">
        <v>150</v>
      </c>
      <c r="Y36" s="731">
        <v>200</v>
      </c>
      <c r="Z36" s="732">
        <v>250</v>
      </c>
      <c r="AA36" s="650"/>
      <c r="AB36" s="650"/>
      <c r="AC36" s="650"/>
      <c r="AD36" s="650"/>
      <c r="AE36" s="650"/>
      <c r="AF36" s="650"/>
      <c r="AG36" s="650"/>
      <c r="AH36" s="650"/>
      <c r="AI36" s="650"/>
      <c r="AJ36" s="650"/>
      <c r="AK36" s="650"/>
      <c r="AL36" s="650"/>
      <c r="AM36" s="650"/>
      <c r="AN36" s="650"/>
      <c r="AO36" s="650"/>
      <c r="AP36" s="650"/>
      <c r="AQ36" s="650"/>
      <c r="AR36" s="650"/>
      <c r="AS36" s="650"/>
      <c r="AT36" s="650"/>
      <c r="AU36" s="650"/>
      <c r="AV36" s="650"/>
      <c r="AW36" s="650"/>
      <c r="AX36" s="650"/>
      <c r="AY36" s="650"/>
      <c r="AZ36" s="650"/>
      <c r="BA36" s="650"/>
      <c r="BB36" s="650"/>
      <c r="BC36" s="650"/>
      <c r="BD36" s="650"/>
      <c r="BE36" s="650"/>
      <c r="BF36" s="650"/>
      <c r="BG36" s="650"/>
      <c r="BH36" s="650"/>
      <c r="BI36" s="650"/>
      <c r="BJ36" s="650"/>
      <c r="BK36" s="650"/>
      <c r="BL36" s="650"/>
      <c r="BM36" s="650"/>
      <c r="BN36" s="650"/>
      <c r="BO36" s="650"/>
      <c r="BP36" s="650"/>
      <c r="BQ36" s="650"/>
      <c r="BR36" s="650"/>
      <c r="BS36" s="650"/>
      <c r="BT36" s="650"/>
      <c r="BU36" s="650"/>
      <c r="BV36" s="650"/>
      <c r="BW36" s="650"/>
      <c r="BX36" s="650"/>
      <c r="BY36" s="650"/>
      <c r="BZ36" s="650"/>
      <c r="CA36" s="650"/>
      <c r="CB36" s="650"/>
      <c r="CC36" s="650"/>
      <c r="CD36" s="650"/>
      <c r="CE36" s="650"/>
      <c r="CF36" s="650"/>
      <c r="CG36" s="650"/>
      <c r="CH36" s="650"/>
      <c r="CI36" s="650"/>
      <c r="CJ36" s="650"/>
      <c r="CK36" s="650"/>
      <c r="CL36" s="650"/>
      <c r="CM36" s="650"/>
      <c r="CN36" s="650"/>
      <c r="CO36" s="650"/>
      <c r="CP36" s="650"/>
      <c r="CQ36" s="650"/>
      <c r="CR36" s="650"/>
      <c r="CS36" s="650"/>
      <c r="CT36" s="650"/>
      <c r="CU36" s="650"/>
      <c r="CV36" s="650"/>
      <c r="CW36" s="650"/>
      <c r="CX36" s="650"/>
      <c r="CY36" s="650"/>
      <c r="CZ36" s="650"/>
      <c r="DA36" s="650"/>
      <c r="DB36" s="650"/>
      <c r="DC36" s="650"/>
      <c r="DD36" s="650"/>
      <c r="DE36" s="650"/>
      <c r="DF36" s="650"/>
      <c r="DG36" s="650"/>
      <c r="DH36" s="650"/>
      <c r="DI36" s="650"/>
      <c r="DJ36" s="650"/>
      <c r="DK36" s="650"/>
      <c r="DL36" s="650"/>
      <c r="DM36" s="650"/>
      <c r="DN36" s="650"/>
      <c r="DO36" s="650"/>
      <c r="DP36" s="650"/>
      <c r="DQ36" s="650"/>
      <c r="DR36" s="650"/>
      <c r="DS36" s="650"/>
      <c r="DT36" s="650"/>
      <c r="DU36" s="650"/>
      <c r="DV36" s="650"/>
      <c r="DW36" s="650"/>
      <c r="DX36" s="650"/>
      <c r="DY36" s="650"/>
      <c r="DZ36" s="650"/>
      <c r="EA36" s="650"/>
      <c r="EB36" s="650"/>
      <c r="EC36" s="650"/>
      <c r="ED36" s="650"/>
      <c r="EE36" s="650"/>
      <c r="EF36" s="650"/>
      <c r="EG36" s="650"/>
      <c r="EH36" s="650"/>
      <c r="EI36" s="650"/>
      <c r="EJ36" s="650"/>
      <c r="EK36" s="650"/>
      <c r="EL36" s="650"/>
      <c r="EM36" s="650"/>
      <c r="EN36" s="650"/>
      <c r="EO36" s="650"/>
      <c r="EP36" s="650"/>
      <c r="EQ36" s="650"/>
      <c r="ER36" s="650"/>
      <c r="ES36" s="650"/>
      <c r="ET36" s="650"/>
      <c r="EU36" s="650"/>
      <c r="EV36" s="650"/>
      <c r="EW36" s="650"/>
      <c r="EX36" s="650"/>
      <c r="EY36" s="650"/>
      <c r="EZ36" s="650"/>
      <c r="FA36" s="650"/>
      <c r="FB36" s="650"/>
      <c r="FC36" s="650"/>
      <c r="FD36" s="650"/>
      <c r="FE36" s="650"/>
      <c r="FF36" s="650"/>
      <c r="FG36" s="650"/>
      <c r="FH36" s="650"/>
      <c r="FI36" s="650"/>
      <c r="FJ36" s="650"/>
      <c r="FK36" s="650"/>
      <c r="FL36" s="650"/>
      <c r="FM36" s="650"/>
      <c r="FN36" s="650"/>
      <c r="FO36" s="650"/>
      <c r="FP36" s="650"/>
      <c r="FQ36" s="650"/>
      <c r="FR36" s="650"/>
      <c r="FS36" s="650"/>
      <c r="FT36" s="650"/>
      <c r="FU36" s="650"/>
      <c r="FV36" s="650"/>
      <c r="FW36" s="650"/>
      <c r="FX36" s="650"/>
      <c r="FY36" s="650"/>
      <c r="FZ36" s="650"/>
      <c r="GA36" s="650"/>
      <c r="GB36" s="650"/>
      <c r="GC36" s="650"/>
      <c r="GD36" s="650"/>
      <c r="GE36" s="650"/>
      <c r="GF36" s="650"/>
      <c r="GG36" s="650"/>
      <c r="GH36" s="650"/>
      <c r="GI36" s="650"/>
      <c r="GJ36" s="650"/>
      <c r="GK36" s="650"/>
      <c r="GL36" s="650"/>
      <c r="GM36" s="650"/>
      <c r="GN36" s="650"/>
      <c r="GO36" s="650"/>
      <c r="GP36" s="650"/>
      <c r="GQ36" s="650"/>
      <c r="GR36" s="650"/>
      <c r="GS36" s="650"/>
      <c r="GT36" s="650"/>
      <c r="GU36" s="650"/>
      <c r="GV36" s="650"/>
      <c r="GW36" s="650"/>
      <c r="GX36" s="650"/>
      <c r="GY36" s="650"/>
      <c r="GZ36" s="650"/>
      <c r="HA36" s="650"/>
      <c r="HB36" s="650"/>
      <c r="HC36" s="650"/>
      <c r="HD36" s="650"/>
      <c r="HE36" s="650"/>
      <c r="HF36" s="650"/>
      <c r="HG36" s="650"/>
      <c r="HH36" s="650"/>
      <c r="HI36" s="650"/>
      <c r="HJ36" s="650"/>
      <c r="HK36" s="650"/>
      <c r="HL36" s="650"/>
      <c r="HM36" s="650"/>
      <c r="HN36" s="650"/>
      <c r="HO36" s="650"/>
      <c r="HP36" s="650"/>
      <c r="HQ36" s="650"/>
      <c r="HR36" s="650"/>
      <c r="HS36" s="650"/>
      <c r="HT36" s="650"/>
      <c r="HU36" s="650"/>
      <c r="HV36" s="650"/>
      <c r="HW36" s="650"/>
      <c r="HX36" s="650"/>
      <c r="HY36" s="650"/>
      <c r="HZ36" s="650"/>
      <c r="IA36" s="650"/>
      <c r="IB36" s="650"/>
      <c r="IC36" s="650"/>
      <c r="ID36" s="650"/>
      <c r="IE36" s="650"/>
      <c r="IF36" s="650"/>
      <c r="IG36" s="650"/>
      <c r="IH36" s="650"/>
      <c r="II36" s="650"/>
      <c r="IJ36" s="650"/>
      <c r="IK36" s="650"/>
      <c r="IL36" s="650"/>
      <c r="IM36" s="650"/>
      <c r="IN36" s="650"/>
      <c r="IO36" s="650"/>
      <c r="IP36" s="650"/>
      <c r="IQ36" s="650"/>
      <c r="IR36" s="650"/>
      <c r="IS36" s="650"/>
      <c r="IT36" s="650"/>
      <c r="IU36" s="650"/>
      <c r="IV36" s="650"/>
    </row>
    <row r="37" spans="1:256" ht="12.95" customHeight="1">
      <c r="A37" s="1938" t="s">
        <v>655</v>
      </c>
      <c r="B37" s="1939"/>
      <c r="C37" s="1940"/>
      <c r="D37" s="733"/>
      <c r="E37" s="733" t="e">
        <f>E36</f>
        <v>#REF!</v>
      </c>
      <c r="F37" s="733"/>
      <c r="G37" s="733" t="e">
        <f>G36</f>
        <v>#REF!</v>
      </c>
      <c r="H37" s="733"/>
      <c r="I37" s="733" t="e">
        <f>I36</f>
        <v>#REF!</v>
      </c>
      <c r="J37" s="733"/>
      <c r="K37" s="733" t="e">
        <f>K36</f>
        <v>#REF!</v>
      </c>
      <c r="L37" s="733"/>
      <c r="M37" s="733" t="e">
        <f>M36</f>
        <v>#REF!</v>
      </c>
      <c r="N37" s="733"/>
      <c r="O37" s="733" t="e">
        <f>O36</f>
        <v>#REF!</v>
      </c>
      <c r="P37" s="734"/>
      <c r="Q37" s="650"/>
      <c r="R37" s="650"/>
      <c r="S37" s="650"/>
      <c r="T37" s="1936"/>
      <c r="U37" s="1941" t="s">
        <v>656</v>
      </c>
      <c r="V37" s="717" t="s">
        <v>657</v>
      </c>
      <c r="W37" s="723">
        <v>40</v>
      </c>
      <c r="X37" s="724">
        <v>45</v>
      </c>
      <c r="Y37" s="724">
        <v>55</v>
      </c>
      <c r="Z37" s="725">
        <v>65</v>
      </c>
      <c r="AA37" s="650"/>
      <c r="AB37" s="650"/>
      <c r="AC37" s="650"/>
      <c r="AD37" s="650"/>
      <c r="AE37" s="650"/>
      <c r="AF37" s="650"/>
      <c r="AG37" s="650"/>
      <c r="AH37" s="650"/>
      <c r="AI37" s="650"/>
      <c r="AJ37" s="650"/>
      <c r="AK37" s="650"/>
      <c r="AL37" s="650"/>
      <c r="AM37" s="650"/>
      <c r="AN37" s="650"/>
      <c r="AO37" s="650"/>
      <c r="AP37" s="650"/>
      <c r="AQ37" s="650"/>
      <c r="AR37" s="650"/>
      <c r="AS37" s="650"/>
      <c r="AT37" s="650"/>
      <c r="AU37" s="650"/>
      <c r="AV37" s="650"/>
      <c r="AW37" s="650"/>
      <c r="AX37" s="650"/>
      <c r="AY37" s="650"/>
      <c r="AZ37" s="650"/>
      <c r="BA37" s="650"/>
      <c r="BB37" s="650"/>
      <c r="BC37" s="650"/>
      <c r="BD37" s="650"/>
      <c r="BE37" s="650"/>
      <c r="BF37" s="650"/>
      <c r="BG37" s="650"/>
      <c r="BH37" s="650"/>
      <c r="BI37" s="650"/>
      <c r="BJ37" s="650"/>
      <c r="BK37" s="650"/>
      <c r="BL37" s="650"/>
      <c r="BM37" s="650"/>
      <c r="BN37" s="650"/>
      <c r="BO37" s="650"/>
      <c r="BP37" s="650"/>
      <c r="BQ37" s="650"/>
      <c r="BR37" s="650"/>
      <c r="BS37" s="650"/>
      <c r="BT37" s="650"/>
      <c r="BU37" s="650"/>
      <c r="BV37" s="650"/>
      <c r="BW37" s="650"/>
      <c r="BX37" s="650"/>
      <c r="BY37" s="650"/>
      <c r="BZ37" s="650"/>
      <c r="CA37" s="650"/>
      <c r="CB37" s="650"/>
      <c r="CC37" s="650"/>
      <c r="CD37" s="650"/>
      <c r="CE37" s="650"/>
      <c r="CF37" s="650"/>
      <c r="CG37" s="650"/>
      <c r="CH37" s="650"/>
      <c r="CI37" s="650"/>
      <c r="CJ37" s="650"/>
      <c r="CK37" s="650"/>
      <c r="CL37" s="650"/>
      <c r="CM37" s="650"/>
      <c r="CN37" s="650"/>
      <c r="CO37" s="650"/>
      <c r="CP37" s="650"/>
      <c r="CQ37" s="650"/>
      <c r="CR37" s="650"/>
      <c r="CS37" s="650"/>
      <c r="CT37" s="650"/>
      <c r="CU37" s="650"/>
      <c r="CV37" s="650"/>
      <c r="CW37" s="650"/>
      <c r="CX37" s="650"/>
      <c r="CY37" s="650"/>
      <c r="CZ37" s="650"/>
      <c r="DA37" s="650"/>
      <c r="DB37" s="650"/>
      <c r="DC37" s="650"/>
      <c r="DD37" s="650"/>
      <c r="DE37" s="650"/>
      <c r="DF37" s="650"/>
      <c r="DG37" s="650"/>
      <c r="DH37" s="650"/>
      <c r="DI37" s="650"/>
      <c r="DJ37" s="650"/>
      <c r="DK37" s="650"/>
      <c r="DL37" s="650"/>
      <c r="DM37" s="650"/>
      <c r="DN37" s="650"/>
      <c r="DO37" s="650"/>
      <c r="DP37" s="650"/>
      <c r="DQ37" s="650"/>
      <c r="DR37" s="650"/>
      <c r="DS37" s="650"/>
      <c r="DT37" s="650"/>
      <c r="DU37" s="650"/>
      <c r="DV37" s="650"/>
      <c r="DW37" s="650"/>
      <c r="DX37" s="650"/>
      <c r="DY37" s="650"/>
      <c r="DZ37" s="650"/>
      <c r="EA37" s="650"/>
      <c r="EB37" s="650"/>
      <c r="EC37" s="650"/>
      <c r="ED37" s="650"/>
      <c r="EE37" s="650"/>
      <c r="EF37" s="650"/>
      <c r="EG37" s="650"/>
      <c r="EH37" s="650"/>
      <c r="EI37" s="650"/>
      <c r="EJ37" s="650"/>
      <c r="EK37" s="650"/>
      <c r="EL37" s="650"/>
      <c r="EM37" s="650"/>
      <c r="EN37" s="650"/>
      <c r="EO37" s="650"/>
      <c r="EP37" s="650"/>
      <c r="EQ37" s="650"/>
      <c r="ER37" s="650"/>
      <c r="ES37" s="650"/>
      <c r="ET37" s="650"/>
      <c r="EU37" s="650"/>
      <c r="EV37" s="650"/>
      <c r="EW37" s="650"/>
      <c r="EX37" s="650"/>
      <c r="EY37" s="650"/>
      <c r="EZ37" s="650"/>
      <c r="FA37" s="650"/>
      <c r="FB37" s="650"/>
      <c r="FC37" s="650"/>
      <c r="FD37" s="650"/>
      <c r="FE37" s="650"/>
      <c r="FF37" s="650"/>
      <c r="FG37" s="650"/>
      <c r="FH37" s="650"/>
      <c r="FI37" s="650"/>
      <c r="FJ37" s="650"/>
      <c r="FK37" s="650"/>
      <c r="FL37" s="650"/>
      <c r="FM37" s="650"/>
      <c r="FN37" s="650"/>
      <c r="FO37" s="650"/>
      <c r="FP37" s="650"/>
      <c r="FQ37" s="650"/>
      <c r="FR37" s="650"/>
      <c r="FS37" s="650"/>
      <c r="FT37" s="650"/>
      <c r="FU37" s="650"/>
      <c r="FV37" s="650"/>
      <c r="FW37" s="650"/>
      <c r="FX37" s="650"/>
      <c r="FY37" s="650"/>
      <c r="FZ37" s="650"/>
      <c r="GA37" s="650"/>
      <c r="GB37" s="650"/>
      <c r="GC37" s="650"/>
      <c r="GD37" s="650"/>
      <c r="GE37" s="650"/>
      <c r="GF37" s="650"/>
      <c r="GG37" s="650"/>
      <c r="GH37" s="650"/>
      <c r="GI37" s="650"/>
      <c r="GJ37" s="650"/>
      <c r="GK37" s="650"/>
      <c r="GL37" s="650"/>
      <c r="GM37" s="650"/>
      <c r="GN37" s="650"/>
      <c r="GO37" s="650"/>
      <c r="GP37" s="650"/>
      <c r="GQ37" s="650"/>
      <c r="GR37" s="650"/>
      <c r="GS37" s="650"/>
      <c r="GT37" s="650"/>
      <c r="GU37" s="650"/>
      <c r="GV37" s="650"/>
      <c r="GW37" s="650"/>
      <c r="GX37" s="650"/>
      <c r="GY37" s="650"/>
      <c r="GZ37" s="650"/>
      <c r="HA37" s="650"/>
      <c r="HB37" s="650"/>
      <c r="HC37" s="650"/>
      <c r="HD37" s="650"/>
      <c r="HE37" s="650"/>
      <c r="HF37" s="650"/>
      <c r="HG37" s="650"/>
      <c r="HH37" s="650"/>
      <c r="HI37" s="650"/>
      <c r="HJ37" s="650"/>
      <c r="HK37" s="650"/>
      <c r="HL37" s="650"/>
      <c r="HM37" s="650"/>
      <c r="HN37" s="650"/>
      <c r="HO37" s="650"/>
      <c r="HP37" s="650"/>
      <c r="HQ37" s="650"/>
      <c r="HR37" s="650"/>
      <c r="HS37" s="650"/>
      <c r="HT37" s="650"/>
      <c r="HU37" s="650"/>
      <c r="HV37" s="650"/>
      <c r="HW37" s="650"/>
      <c r="HX37" s="650"/>
      <c r="HY37" s="650"/>
      <c r="HZ37" s="650"/>
      <c r="IA37" s="650"/>
      <c r="IB37" s="650"/>
      <c r="IC37" s="650"/>
      <c r="ID37" s="650"/>
      <c r="IE37" s="650"/>
      <c r="IF37" s="650"/>
      <c r="IG37" s="650"/>
      <c r="IH37" s="650"/>
      <c r="II37" s="650"/>
      <c r="IJ37" s="650"/>
      <c r="IK37" s="650"/>
      <c r="IL37" s="650"/>
      <c r="IM37" s="650"/>
      <c r="IN37" s="650"/>
      <c r="IO37" s="650"/>
      <c r="IP37" s="650"/>
      <c r="IQ37" s="650"/>
      <c r="IR37" s="650"/>
      <c r="IS37" s="650"/>
      <c r="IT37" s="650"/>
      <c r="IU37" s="650"/>
      <c r="IV37" s="650"/>
    </row>
    <row r="38" spans="1:256" ht="12.95" customHeight="1">
      <c r="A38" s="650" t="s">
        <v>658</v>
      </c>
      <c r="B38" s="650"/>
      <c r="C38" s="650"/>
      <c r="D38" s="650"/>
      <c r="E38" s="650"/>
      <c r="F38" s="650"/>
      <c r="G38" s="650"/>
      <c r="H38" s="650"/>
      <c r="I38" s="650"/>
      <c r="J38" s="650"/>
      <c r="K38" s="650"/>
      <c r="L38" s="650"/>
      <c r="M38" s="650"/>
      <c r="N38" s="650"/>
      <c r="O38" s="650"/>
      <c r="P38" s="650"/>
      <c r="Q38" s="650"/>
      <c r="R38" s="650"/>
      <c r="S38" s="650"/>
      <c r="T38" s="1936"/>
      <c r="U38" s="1942"/>
      <c r="V38" s="726" t="s">
        <v>659</v>
      </c>
      <c r="W38" s="727">
        <v>45</v>
      </c>
      <c r="X38" s="728">
        <v>50</v>
      </c>
      <c r="Y38" s="728">
        <v>60</v>
      </c>
      <c r="Z38" s="729">
        <v>100</v>
      </c>
      <c r="AA38" s="650"/>
      <c r="AB38" s="650"/>
      <c r="AC38" s="650"/>
      <c r="AD38" s="650"/>
      <c r="AE38" s="650"/>
      <c r="AF38" s="650"/>
      <c r="AG38" s="650"/>
      <c r="AH38" s="650"/>
      <c r="AI38" s="650"/>
      <c r="AJ38" s="650"/>
      <c r="AK38" s="650"/>
      <c r="AL38" s="650"/>
      <c r="AM38" s="650"/>
      <c r="AN38" s="650"/>
      <c r="AO38" s="650"/>
      <c r="AP38" s="650"/>
      <c r="AQ38" s="650"/>
      <c r="AR38" s="650"/>
      <c r="AS38" s="650"/>
      <c r="AT38" s="650"/>
      <c r="AU38" s="650"/>
      <c r="AV38" s="650"/>
      <c r="AW38" s="650"/>
      <c r="AX38" s="650"/>
      <c r="AY38" s="650"/>
      <c r="AZ38" s="650"/>
      <c r="BA38" s="650"/>
      <c r="BB38" s="650"/>
      <c r="BC38" s="650"/>
      <c r="BD38" s="650"/>
      <c r="BE38" s="650"/>
      <c r="BF38" s="650"/>
      <c r="BG38" s="650"/>
      <c r="BH38" s="650"/>
      <c r="BI38" s="650"/>
      <c r="BJ38" s="650"/>
      <c r="BK38" s="650"/>
      <c r="BL38" s="650"/>
      <c r="BM38" s="650"/>
      <c r="BN38" s="650"/>
      <c r="BO38" s="650"/>
      <c r="BP38" s="650"/>
      <c r="BQ38" s="650"/>
      <c r="BR38" s="650"/>
      <c r="BS38" s="650"/>
      <c r="BT38" s="650"/>
      <c r="BU38" s="650"/>
      <c r="BV38" s="650"/>
      <c r="BW38" s="650"/>
      <c r="BX38" s="650"/>
      <c r="BY38" s="650"/>
      <c r="BZ38" s="650"/>
      <c r="CA38" s="650"/>
      <c r="CB38" s="650"/>
      <c r="CC38" s="650"/>
      <c r="CD38" s="650"/>
      <c r="CE38" s="650"/>
      <c r="CF38" s="650"/>
      <c r="CG38" s="650"/>
      <c r="CH38" s="650"/>
      <c r="CI38" s="650"/>
      <c r="CJ38" s="650"/>
      <c r="CK38" s="650"/>
      <c r="CL38" s="650"/>
      <c r="CM38" s="650"/>
      <c r="CN38" s="650"/>
      <c r="CO38" s="650"/>
      <c r="CP38" s="650"/>
      <c r="CQ38" s="650"/>
      <c r="CR38" s="650"/>
      <c r="CS38" s="650"/>
      <c r="CT38" s="650"/>
      <c r="CU38" s="650"/>
      <c r="CV38" s="650"/>
      <c r="CW38" s="650"/>
      <c r="CX38" s="650"/>
      <c r="CY38" s="650"/>
      <c r="CZ38" s="650"/>
      <c r="DA38" s="650"/>
      <c r="DB38" s="650"/>
      <c r="DC38" s="650"/>
      <c r="DD38" s="650"/>
      <c r="DE38" s="650"/>
      <c r="DF38" s="650"/>
      <c r="DG38" s="650"/>
      <c r="DH38" s="650"/>
      <c r="DI38" s="650"/>
      <c r="DJ38" s="650"/>
      <c r="DK38" s="650"/>
      <c r="DL38" s="650"/>
      <c r="DM38" s="650"/>
      <c r="DN38" s="650"/>
      <c r="DO38" s="650"/>
      <c r="DP38" s="650"/>
      <c r="DQ38" s="650"/>
      <c r="DR38" s="650"/>
      <c r="DS38" s="650"/>
      <c r="DT38" s="650"/>
      <c r="DU38" s="650"/>
      <c r="DV38" s="650"/>
      <c r="DW38" s="650"/>
      <c r="DX38" s="650"/>
      <c r="DY38" s="650"/>
      <c r="DZ38" s="650"/>
      <c r="EA38" s="650"/>
      <c r="EB38" s="650"/>
      <c r="EC38" s="650"/>
      <c r="ED38" s="650"/>
      <c r="EE38" s="650"/>
      <c r="EF38" s="650"/>
      <c r="EG38" s="650"/>
      <c r="EH38" s="650"/>
      <c r="EI38" s="650"/>
      <c r="EJ38" s="650"/>
      <c r="EK38" s="650"/>
      <c r="EL38" s="650"/>
      <c r="EM38" s="650"/>
      <c r="EN38" s="650"/>
      <c r="EO38" s="650"/>
      <c r="EP38" s="650"/>
      <c r="EQ38" s="650"/>
      <c r="ER38" s="650"/>
      <c r="ES38" s="650"/>
      <c r="ET38" s="650"/>
      <c r="EU38" s="650"/>
      <c r="EV38" s="650"/>
      <c r="EW38" s="650"/>
      <c r="EX38" s="650"/>
      <c r="EY38" s="650"/>
      <c r="EZ38" s="650"/>
      <c r="FA38" s="650"/>
      <c r="FB38" s="650"/>
      <c r="FC38" s="650"/>
      <c r="FD38" s="650"/>
      <c r="FE38" s="650"/>
      <c r="FF38" s="650"/>
      <c r="FG38" s="650"/>
      <c r="FH38" s="650"/>
      <c r="FI38" s="650"/>
      <c r="FJ38" s="650"/>
      <c r="FK38" s="650"/>
      <c r="FL38" s="650"/>
      <c r="FM38" s="650"/>
      <c r="FN38" s="650"/>
      <c r="FO38" s="650"/>
      <c r="FP38" s="650"/>
      <c r="FQ38" s="650"/>
      <c r="FR38" s="650"/>
      <c r="FS38" s="650"/>
      <c r="FT38" s="650"/>
      <c r="FU38" s="650"/>
      <c r="FV38" s="650"/>
      <c r="FW38" s="650"/>
      <c r="FX38" s="650"/>
      <c r="FY38" s="650"/>
      <c r="FZ38" s="650"/>
      <c r="GA38" s="650"/>
      <c r="GB38" s="650"/>
      <c r="GC38" s="650"/>
      <c r="GD38" s="650"/>
      <c r="GE38" s="650"/>
      <c r="GF38" s="650"/>
      <c r="GG38" s="650"/>
      <c r="GH38" s="650"/>
      <c r="GI38" s="650"/>
      <c r="GJ38" s="650"/>
      <c r="GK38" s="650"/>
      <c r="GL38" s="650"/>
      <c r="GM38" s="650"/>
      <c r="GN38" s="650"/>
      <c r="GO38" s="650"/>
      <c r="GP38" s="650"/>
      <c r="GQ38" s="650"/>
      <c r="GR38" s="650"/>
      <c r="GS38" s="650"/>
      <c r="GT38" s="650"/>
      <c r="GU38" s="650"/>
      <c r="GV38" s="650"/>
      <c r="GW38" s="650"/>
      <c r="GX38" s="650"/>
      <c r="GY38" s="650"/>
      <c r="GZ38" s="650"/>
      <c r="HA38" s="650"/>
      <c r="HB38" s="650"/>
      <c r="HC38" s="650"/>
      <c r="HD38" s="650"/>
      <c r="HE38" s="650"/>
      <c r="HF38" s="650"/>
      <c r="HG38" s="650"/>
      <c r="HH38" s="650"/>
      <c r="HI38" s="650"/>
      <c r="HJ38" s="650"/>
      <c r="HK38" s="650"/>
      <c r="HL38" s="650"/>
      <c r="HM38" s="650"/>
      <c r="HN38" s="650"/>
      <c r="HO38" s="650"/>
      <c r="HP38" s="650"/>
      <c r="HQ38" s="650"/>
      <c r="HR38" s="650"/>
      <c r="HS38" s="650"/>
      <c r="HT38" s="650"/>
      <c r="HU38" s="650"/>
      <c r="HV38" s="650"/>
      <c r="HW38" s="650"/>
      <c r="HX38" s="650"/>
      <c r="HY38" s="650"/>
      <c r="HZ38" s="650"/>
      <c r="IA38" s="650"/>
      <c r="IB38" s="650"/>
      <c r="IC38" s="650"/>
      <c r="ID38" s="650"/>
      <c r="IE38" s="650"/>
      <c r="IF38" s="650"/>
      <c r="IG38" s="650"/>
      <c r="IH38" s="650"/>
      <c r="II38" s="650"/>
      <c r="IJ38" s="650"/>
      <c r="IK38" s="650"/>
      <c r="IL38" s="650"/>
      <c r="IM38" s="650"/>
      <c r="IN38" s="650"/>
      <c r="IO38" s="650"/>
      <c r="IP38" s="650"/>
      <c r="IQ38" s="650"/>
      <c r="IR38" s="650"/>
      <c r="IS38" s="650"/>
      <c r="IT38" s="650"/>
      <c r="IU38" s="650"/>
      <c r="IV38" s="650"/>
    </row>
    <row r="39" spans="1:256" ht="12.95" customHeight="1">
      <c r="A39" s="650" t="s">
        <v>660</v>
      </c>
      <c r="B39" s="650"/>
      <c r="C39" s="650"/>
      <c r="D39" s="1944" t="e">
        <f>'산근2-0 (현장조사물량산출)'!E5</f>
        <v>#REF!</v>
      </c>
      <c r="E39" s="1944"/>
      <c r="F39" s="650" t="s">
        <v>557</v>
      </c>
      <c r="G39" s="735"/>
      <c r="H39" s="650"/>
      <c r="J39" s="650"/>
      <c r="K39" s="650"/>
      <c r="L39" s="650"/>
      <c r="M39" s="650"/>
      <c r="N39" s="650"/>
      <c r="O39" s="650"/>
      <c r="P39" s="650"/>
      <c r="Q39" s="650"/>
      <c r="R39" s="650"/>
      <c r="S39" s="650"/>
      <c r="T39" s="1936"/>
      <c r="U39" s="1943"/>
      <c r="V39" s="726" t="s">
        <v>644</v>
      </c>
      <c r="W39" s="730">
        <v>56</v>
      </c>
      <c r="X39" s="731">
        <v>133</v>
      </c>
      <c r="Y39" s="731">
        <v>182</v>
      </c>
      <c r="Z39" s="732">
        <v>230</v>
      </c>
      <c r="AA39" s="650"/>
      <c r="AB39" s="650"/>
      <c r="AC39" s="650"/>
      <c r="AD39" s="650"/>
      <c r="AE39" s="650"/>
      <c r="AF39" s="650"/>
      <c r="AG39" s="650"/>
      <c r="AH39" s="650"/>
      <c r="AI39" s="650"/>
      <c r="AJ39" s="650"/>
      <c r="AK39" s="650"/>
      <c r="AL39" s="650"/>
      <c r="AM39" s="650"/>
      <c r="AN39" s="650"/>
      <c r="AO39" s="650"/>
      <c r="AP39" s="650"/>
      <c r="AQ39" s="650"/>
      <c r="AR39" s="650"/>
      <c r="AS39" s="650"/>
      <c r="AT39" s="650"/>
      <c r="AU39" s="650"/>
      <c r="AV39" s="650"/>
      <c r="AW39" s="650"/>
      <c r="AX39" s="650"/>
      <c r="AY39" s="650"/>
      <c r="AZ39" s="650"/>
      <c r="BA39" s="650"/>
      <c r="BB39" s="650"/>
      <c r="BC39" s="650"/>
      <c r="BD39" s="650"/>
      <c r="BE39" s="650"/>
      <c r="BF39" s="650"/>
      <c r="BG39" s="650"/>
      <c r="BH39" s="650"/>
      <c r="BI39" s="650"/>
      <c r="BJ39" s="650"/>
      <c r="BK39" s="650"/>
      <c r="BL39" s="650"/>
      <c r="BM39" s="650"/>
      <c r="BN39" s="650"/>
      <c r="BO39" s="650"/>
      <c r="BP39" s="650"/>
      <c r="BQ39" s="650"/>
      <c r="BR39" s="650"/>
      <c r="BS39" s="650"/>
      <c r="BT39" s="650"/>
      <c r="BU39" s="650"/>
      <c r="BV39" s="650"/>
      <c r="BW39" s="650"/>
      <c r="BX39" s="650"/>
      <c r="BY39" s="650"/>
      <c r="BZ39" s="650"/>
      <c r="CA39" s="650"/>
      <c r="CB39" s="650"/>
      <c r="CC39" s="650"/>
      <c r="CD39" s="650"/>
      <c r="CE39" s="650"/>
      <c r="CF39" s="650"/>
      <c r="CG39" s="650"/>
      <c r="CH39" s="650"/>
      <c r="CI39" s="650"/>
      <c r="CJ39" s="650"/>
      <c r="CK39" s="650"/>
      <c r="CL39" s="650"/>
      <c r="CM39" s="650"/>
      <c r="CN39" s="650"/>
      <c r="CO39" s="650"/>
      <c r="CP39" s="650"/>
      <c r="CQ39" s="650"/>
      <c r="CR39" s="650"/>
      <c r="CS39" s="650"/>
      <c r="CT39" s="650"/>
      <c r="CU39" s="650"/>
      <c r="CV39" s="650"/>
      <c r="CW39" s="650"/>
      <c r="CX39" s="650"/>
      <c r="CY39" s="650"/>
      <c r="CZ39" s="650"/>
      <c r="DA39" s="650"/>
      <c r="DB39" s="650"/>
      <c r="DC39" s="650"/>
      <c r="DD39" s="650"/>
      <c r="DE39" s="650"/>
      <c r="DF39" s="650"/>
      <c r="DG39" s="650"/>
      <c r="DH39" s="650"/>
      <c r="DI39" s="650"/>
      <c r="DJ39" s="650"/>
      <c r="DK39" s="650"/>
      <c r="DL39" s="650"/>
      <c r="DM39" s="650"/>
      <c r="DN39" s="650"/>
      <c r="DO39" s="650"/>
      <c r="DP39" s="650"/>
      <c r="DQ39" s="650"/>
      <c r="DR39" s="650"/>
      <c r="DS39" s="650"/>
      <c r="DT39" s="650"/>
      <c r="DU39" s="650"/>
      <c r="DV39" s="650"/>
      <c r="DW39" s="650"/>
      <c r="DX39" s="650"/>
      <c r="DY39" s="650"/>
      <c r="DZ39" s="650"/>
      <c r="EA39" s="650"/>
      <c r="EB39" s="650"/>
      <c r="EC39" s="650"/>
      <c r="ED39" s="650"/>
      <c r="EE39" s="650"/>
      <c r="EF39" s="650"/>
      <c r="EG39" s="650"/>
      <c r="EH39" s="650"/>
      <c r="EI39" s="650"/>
      <c r="EJ39" s="650"/>
      <c r="EK39" s="650"/>
      <c r="EL39" s="650"/>
      <c r="EM39" s="650"/>
      <c r="EN39" s="650"/>
      <c r="EO39" s="650"/>
      <c r="EP39" s="650"/>
      <c r="EQ39" s="650"/>
      <c r="ER39" s="650"/>
      <c r="ES39" s="650"/>
      <c r="ET39" s="650"/>
      <c r="EU39" s="650"/>
      <c r="EV39" s="650"/>
      <c r="EW39" s="650"/>
      <c r="EX39" s="650"/>
      <c r="EY39" s="650"/>
      <c r="EZ39" s="650"/>
      <c r="FA39" s="650"/>
      <c r="FB39" s="650"/>
      <c r="FC39" s="650"/>
      <c r="FD39" s="650"/>
      <c r="FE39" s="650"/>
      <c r="FF39" s="650"/>
      <c r="FG39" s="650"/>
      <c r="FH39" s="650"/>
      <c r="FI39" s="650"/>
      <c r="FJ39" s="650"/>
      <c r="FK39" s="650"/>
      <c r="FL39" s="650"/>
      <c r="FM39" s="650"/>
      <c r="FN39" s="650"/>
      <c r="FO39" s="650"/>
      <c r="FP39" s="650"/>
      <c r="FQ39" s="650"/>
      <c r="FR39" s="650"/>
      <c r="FS39" s="650"/>
      <c r="FT39" s="650"/>
      <c r="FU39" s="650"/>
      <c r="FV39" s="650"/>
      <c r="FW39" s="650"/>
      <c r="FX39" s="650"/>
      <c r="FY39" s="650"/>
      <c r="FZ39" s="650"/>
      <c r="GA39" s="650"/>
      <c r="GB39" s="650"/>
      <c r="GC39" s="650"/>
      <c r="GD39" s="650"/>
      <c r="GE39" s="650"/>
      <c r="GF39" s="650"/>
      <c r="GG39" s="650"/>
      <c r="GH39" s="650"/>
      <c r="GI39" s="650"/>
      <c r="GJ39" s="650"/>
      <c r="GK39" s="650"/>
      <c r="GL39" s="650"/>
      <c r="GM39" s="650"/>
      <c r="GN39" s="650"/>
      <c r="GO39" s="650"/>
      <c r="GP39" s="650"/>
      <c r="GQ39" s="650"/>
      <c r="GR39" s="650"/>
      <c r="GS39" s="650"/>
      <c r="GT39" s="650"/>
      <c r="GU39" s="650"/>
      <c r="GV39" s="650"/>
      <c r="GW39" s="650"/>
      <c r="GX39" s="650"/>
      <c r="GY39" s="650"/>
      <c r="GZ39" s="650"/>
      <c r="HA39" s="650"/>
      <c r="HB39" s="650"/>
      <c r="HC39" s="650"/>
      <c r="HD39" s="650"/>
      <c r="HE39" s="650"/>
      <c r="HF39" s="650"/>
      <c r="HG39" s="650"/>
      <c r="HH39" s="650"/>
      <c r="HI39" s="650"/>
      <c r="HJ39" s="650"/>
      <c r="HK39" s="650"/>
      <c r="HL39" s="650"/>
      <c r="HM39" s="650"/>
      <c r="HN39" s="650"/>
      <c r="HO39" s="650"/>
      <c r="HP39" s="650"/>
      <c r="HQ39" s="650"/>
      <c r="HR39" s="650"/>
      <c r="HS39" s="650"/>
      <c r="HT39" s="650"/>
      <c r="HU39" s="650"/>
      <c r="HV39" s="650"/>
      <c r="HW39" s="650"/>
      <c r="HX39" s="650"/>
      <c r="HY39" s="650"/>
      <c r="HZ39" s="650"/>
      <c r="IA39" s="650"/>
      <c r="IB39" s="650"/>
      <c r="IC39" s="650"/>
      <c r="ID39" s="650"/>
      <c r="IE39" s="650"/>
      <c r="IF39" s="650"/>
      <c r="IG39" s="650"/>
      <c r="IH39" s="650"/>
      <c r="II39" s="650"/>
      <c r="IJ39" s="650"/>
      <c r="IK39" s="650"/>
      <c r="IL39" s="650"/>
      <c r="IM39" s="650"/>
      <c r="IN39" s="650"/>
      <c r="IO39" s="650"/>
      <c r="IP39" s="650"/>
      <c r="IQ39" s="650"/>
      <c r="IR39" s="650"/>
      <c r="IS39" s="650"/>
      <c r="IT39" s="650"/>
      <c r="IU39" s="650"/>
      <c r="IV39" s="650"/>
    </row>
    <row r="40" spans="1:256" ht="12.95" customHeight="1">
      <c r="T40" s="1936"/>
      <c r="U40" s="1941" t="s">
        <v>661</v>
      </c>
      <c r="V40" s="717" t="s">
        <v>657</v>
      </c>
      <c r="W40" s="723">
        <v>45</v>
      </c>
      <c r="X40" s="724">
        <v>45</v>
      </c>
      <c r="Y40" s="724">
        <v>60</v>
      </c>
      <c r="Z40" s="725">
        <v>75</v>
      </c>
    </row>
    <row r="41" spans="1:256" ht="19.899999999999999" customHeight="1">
      <c r="A41" s="736" t="s">
        <v>1868</v>
      </c>
      <c r="B41" s="737"/>
      <c r="C41" s="737"/>
      <c r="D41" s="737"/>
      <c r="E41" s="737"/>
      <c r="F41" s="737"/>
      <c r="G41" s="737"/>
      <c r="H41" s="738"/>
      <c r="I41" s="737"/>
      <c r="J41" s="737"/>
      <c r="K41" s="737"/>
      <c r="L41" s="737"/>
      <c r="M41" s="737"/>
      <c r="N41" s="737"/>
      <c r="O41" s="737"/>
      <c r="T41" s="1936"/>
      <c r="U41" s="1942"/>
      <c r="V41" s="726" t="s">
        <v>659</v>
      </c>
      <c r="W41" s="727">
        <v>45</v>
      </c>
      <c r="X41" s="728">
        <v>60</v>
      </c>
      <c r="Y41" s="728">
        <v>70</v>
      </c>
      <c r="Z41" s="729">
        <v>100</v>
      </c>
    </row>
    <row r="42" spans="1:256" ht="12.95" customHeight="1">
      <c r="A42" s="737"/>
      <c r="B42" s="737" t="s">
        <v>662</v>
      </c>
      <c r="C42" s="738" t="s">
        <v>663</v>
      </c>
      <c r="D42" s="737"/>
      <c r="E42" s="737"/>
      <c r="F42" s="737"/>
      <c r="G42" s="737" t="str">
        <f>W51</f>
        <v>보통시가지</v>
      </c>
      <c r="H42" s="737"/>
      <c r="I42" s="737"/>
      <c r="J42" s="737"/>
      <c r="K42" s="737"/>
      <c r="L42" s="737"/>
      <c r="M42" s="737"/>
      <c r="N42" s="737"/>
      <c r="O42" s="737"/>
      <c r="T42" s="1936"/>
      <c r="U42" s="1943"/>
      <c r="V42" s="719" t="s">
        <v>664</v>
      </c>
      <c r="W42" s="739">
        <v>50</v>
      </c>
      <c r="X42" s="740">
        <v>112</v>
      </c>
      <c r="Y42" s="740">
        <v>143</v>
      </c>
      <c r="Z42" s="741">
        <v>200</v>
      </c>
    </row>
    <row r="43" spans="1:256" ht="12.95" customHeight="1">
      <c r="A43" s="742"/>
      <c r="B43" s="737" t="s">
        <v>665</v>
      </c>
      <c r="C43" s="743"/>
      <c r="D43" s="743"/>
      <c r="E43" s="743"/>
      <c r="F43" s="743"/>
      <c r="G43" s="743"/>
      <c r="H43" s="743"/>
      <c r="I43" s="743"/>
      <c r="J43" s="743"/>
      <c r="K43" s="743"/>
      <c r="L43" s="743"/>
      <c r="M43" s="743"/>
      <c r="N43" s="743"/>
      <c r="O43" s="744"/>
      <c r="T43" s="1936"/>
      <c r="U43" s="1941" t="s">
        <v>586</v>
      </c>
      <c r="V43" s="726" t="s">
        <v>657</v>
      </c>
      <c r="W43" s="727">
        <v>45</v>
      </c>
      <c r="X43" s="728">
        <v>50</v>
      </c>
      <c r="Y43" s="728">
        <v>60</v>
      </c>
      <c r="Z43" s="729">
        <v>80</v>
      </c>
    </row>
    <row r="44" spans="1:256" ht="12.95" customHeight="1">
      <c r="A44" s="744"/>
      <c r="B44" s="1945" t="s">
        <v>666</v>
      </c>
      <c r="C44" s="1946"/>
      <c r="D44" s="1949" t="s">
        <v>437</v>
      </c>
      <c r="E44" s="1950"/>
      <c r="F44" s="1950"/>
      <c r="G44" s="1951"/>
      <c r="H44" s="1949" t="s">
        <v>438</v>
      </c>
      <c r="I44" s="1950"/>
      <c r="J44" s="1950"/>
      <c r="K44" s="1951"/>
      <c r="L44" s="1949" t="s">
        <v>439</v>
      </c>
      <c r="M44" s="1950"/>
      <c r="N44" s="1950"/>
      <c r="O44" s="1952"/>
      <c r="Q44" s="745"/>
      <c r="T44" s="1936"/>
      <c r="U44" s="1942"/>
      <c r="V44" s="726" t="s">
        <v>659</v>
      </c>
      <c r="W44" s="727">
        <v>55</v>
      </c>
      <c r="X44" s="728">
        <v>70</v>
      </c>
      <c r="Y44" s="728">
        <v>100</v>
      </c>
      <c r="Z44" s="729">
        <v>125</v>
      </c>
    </row>
    <row r="45" spans="1:256" ht="12.95" customHeight="1">
      <c r="A45" s="744"/>
      <c r="B45" s="1947"/>
      <c r="C45" s="1948"/>
      <c r="D45" s="1953" t="s">
        <v>667</v>
      </c>
      <c r="E45" s="1953"/>
      <c r="F45" s="1954" t="s">
        <v>668</v>
      </c>
      <c r="G45" s="1955"/>
      <c r="H45" s="1953" t="s">
        <v>667</v>
      </c>
      <c r="I45" s="1953"/>
      <c r="J45" s="1954" t="s">
        <v>668</v>
      </c>
      <c r="K45" s="1955"/>
      <c r="L45" s="1954" t="s">
        <v>669</v>
      </c>
      <c r="M45" s="1955"/>
      <c r="N45" s="1954" t="s">
        <v>670</v>
      </c>
      <c r="O45" s="1956"/>
      <c r="T45" s="1936"/>
      <c r="U45" s="1943"/>
      <c r="V45" s="719" t="s">
        <v>664</v>
      </c>
      <c r="W45" s="739">
        <v>41</v>
      </c>
      <c r="X45" s="740">
        <v>86</v>
      </c>
      <c r="Y45" s="740">
        <v>100</v>
      </c>
      <c r="Z45" s="741">
        <v>150</v>
      </c>
    </row>
    <row r="46" spans="1:256" ht="12.95" customHeight="1">
      <c r="A46" s="744"/>
      <c r="B46" s="1972" t="s">
        <v>671</v>
      </c>
      <c r="C46" s="1973"/>
      <c r="D46" s="1974">
        <v>400</v>
      </c>
      <c r="E46" s="1975"/>
      <c r="F46" s="1962">
        <v>2.5</v>
      </c>
      <c r="G46" s="1976"/>
      <c r="H46" s="1974">
        <v>1000</v>
      </c>
      <c r="I46" s="1975"/>
      <c r="J46" s="1962">
        <v>1</v>
      </c>
      <c r="K46" s="1976"/>
      <c r="L46" s="1974">
        <v>500</v>
      </c>
      <c r="M46" s="1975"/>
      <c r="N46" s="1962">
        <v>2</v>
      </c>
      <c r="O46" s="1963"/>
      <c r="T46" s="1936"/>
      <c r="U46" s="1941" t="s">
        <v>672</v>
      </c>
      <c r="V46" s="726" t="s">
        <v>657</v>
      </c>
      <c r="W46" s="727">
        <v>30</v>
      </c>
      <c r="X46" s="728">
        <v>40</v>
      </c>
      <c r="Y46" s="728">
        <v>50</v>
      </c>
      <c r="Z46" s="729">
        <v>60</v>
      </c>
    </row>
    <row r="47" spans="1:256" ht="12.95" customHeight="1">
      <c r="A47" s="744"/>
      <c r="B47" s="1964" t="s">
        <v>673</v>
      </c>
      <c r="C47" s="1965"/>
      <c r="D47" s="1966">
        <v>500</v>
      </c>
      <c r="E47" s="1967"/>
      <c r="F47" s="1968">
        <v>2</v>
      </c>
      <c r="G47" s="1969"/>
      <c r="H47" s="1966">
        <v>1500</v>
      </c>
      <c r="I47" s="1967"/>
      <c r="J47" s="1968">
        <v>0.7</v>
      </c>
      <c r="K47" s="1969"/>
      <c r="L47" s="1966">
        <v>1000</v>
      </c>
      <c r="M47" s="1967"/>
      <c r="N47" s="1968">
        <v>1</v>
      </c>
      <c r="O47" s="1970"/>
      <c r="T47" s="1936"/>
      <c r="U47" s="1942"/>
      <c r="V47" s="726" t="s">
        <v>659</v>
      </c>
      <c r="W47" s="727">
        <v>60</v>
      </c>
      <c r="X47" s="728">
        <v>55</v>
      </c>
      <c r="Y47" s="728">
        <v>75</v>
      </c>
      <c r="Z47" s="729">
        <v>100</v>
      </c>
    </row>
    <row r="48" spans="1:256" ht="12.95" customHeight="1">
      <c r="A48" s="744"/>
      <c r="B48" s="1971" t="s">
        <v>674</v>
      </c>
      <c r="C48" s="1955"/>
      <c r="D48" s="1957">
        <v>1000</v>
      </c>
      <c r="E48" s="1958"/>
      <c r="F48" s="1959">
        <v>1</v>
      </c>
      <c r="G48" s="1960"/>
      <c r="H48" s="1957">
        <v>2000</v>
      </c>
      <c r="I48" s="1958"/>
      <c r="J48" s="1959">
        <v>0.5</v>
      </c>
      <c r="K48" s="1960"/>
      <c r="L48" s="1957">
        <v>1500</v>
      </c>
      <c r="M48" s="1958"/>
      <c r="N48" s="1959">
        <v>0.7</v>
      </c>
      <c r="O48" s="1961"/>
      <c r="T48" s="1936"/>
      <c r="U48" s="1943"/>
      <c r="V48" s="719" t="s">
        <v>664</v>
      </c>
      <c r="W48" s="739">
        <v>56</v>
      </c>
      <c r="X48" s="740">
        <v>137</v>
      </c>
      <c r="Y48" s="740">
        <v>160</v>
      </c>
      <c r="Z48" s="741">
        <v>250</v>
      </c>
    </row>
    <row r="49" spans="1:23" ht="12.95" customHeight="1">
      <c r="A49" s="744"/>
      <c r="B49" s="738"/>
      <c r="C49" s="738"/>
      <c r="D49" s="738"/>
      <c r="E49" s="738"/>
      <c r="F49" s="738"/>
      <c r="G49" s="738"/>
      <c r="H49" s="738"/>
      <c r="I49" s="738"/>
      <c r="J49" s="738"/>
      <c r="K49" s="738"/>
      <c r="L49" s="738"/>
      <c r="M49" s="738"/>
      <c r="N49" s="738"/>
      <c r="O49" s="744"/>
      <c r="T49" s="746"/>
    </row>
    <row r="50" spans="1:23" ht="12.95" customHeight="1">
      <c r="A50" s="742"/>
      <c r="B50" s="737" t="s">
        <v>675</v>
      </c>
      <c r="C50" s="743"/>
      <c r="D50" s="743"/>
      <c r="E50" s="743"/>
      <c r="F50" s="743"/>
      <c r="G50" s="743"/>
      <c r="H50" s="743"/>
      <c r="I50" s="743"/>
      <c r="J50" s="743"/>
      <c r="K50" s="743"/>
      <c r="L50" s="743"/>
      <c r="M50" s="743"/>
      <c r="N50" s="743"/>
      <c r="O50" s="744"/>
      <c r="V50" s="747"/>
    </row>
    <row r="51" spans="1:23" ht="12.95" customHeight="1">
      <c r="A51" s="744"/>
      <c r="B51" s="1981" t="s">
        <v>676</v>
      </c>
      <c r="C51" s="1982"/>
      <c r="D51" s="1982"/>
      <c r="E51" s="1982"/>
      <c r="F51" s="1983"/>
      <c r="G51" s="1987" t="s">
        <v>437</v>
      </c>
      <c r="H51" s="1988"/>
      <c r="I51" s="1989"/>
      <c r="J51" s="1987" t="s">
        <v>438</v>
      </c>
      <c r="K51" s="1988"/>
      <c r="L51" s="1989"/>
      <c r="M51" s="1951" t="s">
        <v>439</v>
      </c>
      <c r="N51" s="1988"/>
      <c r="O51" s="1989"/>
      <c r="T51" s="241" t="s">
        <v>677</v>
      </c>
      <c r="V51" s="748" t="s">
        <v>678</v>
      </c>
      <c r="W51" s="749" t="s">
        <v>679</v>
      </c>
    </row>
    <row r="52" spans="1:23" ht="12.95" customHeight="1">
      <c r="A52" s="744"/>
      <c r="B52" s="1984"/>
      <c r="C52" s="1985"/>
      <c r="D52" s="1985"/>
      <c r="E52" s="1985"/>
      <c r="F52" s="1986"/>
      <c r="G52" s="1990"/>
      <c r="H52" s="1991"/>
      <c r="I52" s="1992"/>
      <c r="J52" s="1990"/>
      <c r="K52" s="1991"/>
      <c r="L52" s="1992"/>
      <c r="M52" s="1993"/>
      <c r="N52" s="1991"/>
      <c r="O52" s="1992"/>
    </row>
    <row r="53" spans="1:23" ht="12.95" customHeight="1">
      <c r="A53" s="744"/>
      <c r="B53" s="1987" t="s">
        <v>680</v>
      </c>
      <c r="C53" s="1988"/>
      <c r="D53" s="1997" t="s">
        <v>681</v>
      </c>
      <c r="E53" s="1997"/>
      <c r="F53" s="1998"/>
      <c r="G53" s="1999">
        <v>1</v>
      </c>
      <c r="H53" s="2000"/>
      <c r="I53" s="2001"/>
      <c r="J53" s="1999">
        <v>0</v>
      </c>
      <c r="K53" s="2000"/>
      <c r="L53" s="2001"/>
      <c r="M53" s="2002">
        <v>0</v>
      </c>
      <c r="N53" s="2000"/>
      <c r="O53" s="2001"/>
      <c r="T53" s="750"/>
      <c r="U53" s="750" t="s">
        <v>682</v>
      </c>
      <c r="V53" s="751" t="s">
        <v>683</v>
      </c>
    </row>
    <row r="54" spans="1:23" ht="12.95" customHeight="1">
      <c r="A54" s="744"/>
      <c r="B54" s="1994"/>
      <c r="C54" s="1995"/>
      <c r="D54" s="1980" t="s">
        <v>684</v>
      </c>
      <c r="E54" s="1980"/>
      <c r="F54" s="1966"/>
      <c r="G54" s="1977">
        <v>1</v>
      </c>
      <c r="H54" s="1978"/>
      <c r="I54" s="1979"/>
      <c r="J54" s="1977">
        <v>1</v>
      </c>
      <c r="K54" s="1978"/>
      <c r="L54" s="1979"/>
      <c r="M54" s="1969">
        <v>1</v>
      </c>
      <c r="N54" s="1978"/>
      <c r="O54" s="1979"/>
      <c r="T54" s="750" t="s">
        <v>685</v>
      </c>
      <c r="U54" s="750">
        <f>VLOOKUP($W$51,$B$46:$G$48,3,0)</f>
        <v>500</v>
      </c>
      <c r="V54" s="752">
        <f>VLOOKUP($W$51,$B$46:$G$48,5,0)</f>
        <v>2</v>
      </c>
    </row>
    <row r="55" spans="1:23" ht="12.95" customHeight="1">
      <c r="A55" s="744"/>
      <c r="B55" s="1994"/>
      <c r="C55" s="1995"/>
      <c r="D55" s="1980" t="s">
        <v>686</v>
      </c>
      <c r="E55" s="1980"/>
      <c r="F55" s="1966"/>
      <c r="G55" s="1977">
        <v>1</v>
      </c>
      <c r="H55" s="1978"/>
      <c r="I55" s="1979"/>
      <c r="J55" s="1977">
        <v>1</v>
      </c>
      <c r="K55" s="1978"/>
      <c r="L55" s="1979"/>
      <c r="M55" s="1969">
        <v>1</v>
      </c>
      <c r="N55" s="1978"/>
      <c r="O55" s="1979"/>
      <c r="T55" s="750" t="s">
        <v>687</v>
      </c>
      <c r="U55" s="750">
        <f>VLOOKUP($W$51,$B$46:$K$48,7,0)</f>
        <v>1500</v>
      </c>
      <c r="V55" s="752">
        <f>VLOOKUP($W$51,$B$46:$K$48,9,0)</f>
        <v>0.7</v>
      </c>
    </row>
    <row r="56" spans="1:23" ht="12.95" customHeight="1">
      <c r="A56" s="744"/>
      <c r="B56" s="1996"/>
      <c r="C56" s="1953"/>
      <c r="D56" s="2003" t="s">
        <v>688</v>
      </c>
      <c r="E56" s="2003"/>
      <c r="F56" s="1957"/>
      <c r="G56" s="2004">
        <v>2</v>
      </c>
      <c r="H56" s="2005"/>
      <c r="I56" s="2006"/>
      <c r="J56" s="2004">
        <v>2</v>
      </c>
      <c r="K56" s="2005"/>
      <c r="L56" s="2006"/>
      <c r="M56" s="1960">
        <v>2</v>
      </c>
      <c r="N56" s="2005"/>
      <c r="O56" s="2006"/>
      <c r="T56" s="750" t="s">
        <v>689</v>
      </c>
      <c r="U56" s="750">
        <f>VLOOKUP($W$51,$B$46:$O$48,11,0)</f>
        <v>1000</v>
      </c>
      <c r="V56" s="752">
        <f>VLOOKUP($W$51,$B$46:$O$48,13,0)</f>
        <v>1</v>
      </c>
    </row>
    <row r="57" spans="1:23" ht="12.95" customHeight="1">
      <c r="A57" s="744"/>
      <c r="B57" s="1987" t="s">
        <v>690</v>
      </c>
      <c r="C57" s="1988"/>
      <c r="D57" s="1997" t="s">
        <v>681</v>
      </c>
      <c r="E57" s="1997"/>
      <c r="F57" s="1998"/>
      <c r="G57" s="1999">
        <v>0</v>
      </c>
      <c r="H57" s="2000"/>
      <c r="I57" s="2001"/>
      <c r="J57" s="1999">
        <v>0</v>
      </c>
      <c r="K57" s="2000"/>
      <c r="L57" s="2001"/>
      <c r="M57" s="2002">
        <v>0</v>
      </c>
      <c r="N57" s="2000"/>
      <c r="O57" s="2001"/>
      <c r="V57" s="747"/>
    </row>
    <row r="58" spans="1:23" ht="12.95" customHeight="1">
      <c r="A58" s="744"/>
      <c r="B58" s="1994"/>
      <c r="C58" s="1995"/>
      <c r="D58" s="1980" t="s">
        <v>684</v>
      </c>
      <c r="E58" s="1980"/>
      <c r="F58" s="1966"/>
      <c r="G58" s="1977">
        <v>0.5</v>
      </c>
      <c r="H58" s="1978"/>
      <c r="I58" s="1979"/>
      <c r="J58" s="1977">
        <v>0</v>
      </c>
      <c r="K58" s="1978"/>
      <c r="L58" s="1979"/>
      <c r="M58" s="1969">
        <v>0</v>
      </c>
      <c r="N58" s="1978"/>
      <c r="O58" s="1979"/>
      <c r="V58" s="747"/>
    </row>
    <row r="59" spans="1:23" ht="12.95" customHeight="1">
      <c r="A59" s="744"/>
      <c r="B59" s="1994"/>
      <c r="C59" s="1995"/>
      <c r="D59" s="1980" t="s">
        <v>686</v>
      </c>
      <c r="E59" s="1980"/>
      <c r="F59" s="1966"/>
      <c r="G59" s="1977">
        <v>0.5</v>
      </c>
      <c r="H59" s="1978"/>
      <c r="I59" s="1979"/>
      <c r="J59" s="1977">
        <v>1</v>
      </c>
      <c r="K59" s="1978"/>
      <c r="L59" s="1979"/>
      <c r="M59" s="1969">
        <v>1</v>
      </c>
      <c r="N59" s="1978"/>
      <c r="O59" s="1979"/>
      <c r="V59" s="747"/>
    </row>
    <row r="60" spans="1:23" ht="12.95" customHeight="1">
      <c r="A60" s="744"/>
      <c r="B60" s="1996"/>
      <c r="C60" s="1953"/>
      <c r="D60" s="2003" t="s">
        <v>688</v>
      </c>
      <c r="E60" s="2003"/>
      <c r="F60" s="1957"/>
      <c r="G60" s="2004">
        <v>0</v>
      </c>
      <c r="H60" s="2005"/>
      <c r="I60" s="2006"/>
      <c r="J60" s="2004">
        <v>2</v>
      </c>
      <c r="K60" s="2005"/>
      <c r="L60" s="2006"/>
      <c r="M60" s="1960">
        <v>2</v>
      </c>
      <c r="N60" s="2005"/>
      <c r="O60" s="2006"/>
      <c r="V60" s="747"/>
    </row>
    <row r="61" spans="1:23" ht="12.95" customHeight="1">
      <c r="A61" s="744"/>
      <c r="B61" s="2007" t="s">
        <v>691</v>
      </c>
      <c r="C61" s="2008"/>
      <c r="D61" s="2008"/>
      <c r="E61" s="2008"/>
      <c r="F61" s="2009"/>
      <c r="G61" s="2010">
        <f>SUM(G53:I60)</f>
        <v>6</v>
      </c>
      <c r="H61" s="2011"/>
      <c r="I61" s="2012"/>
      <c r="J61" s="2010">
        <f>SUM(J53:L60)</f>
        <v>7</v>
      </c>
      <c r="K61" s="2011"/>
      <c r="L61" s="2012"/>
      <c r="M61" s="2013">
        <f>SUM(M53:O60)</f>
        <v>7</v>
      </c>
      <c r="N61" s="2011"/>
      <c r="O61" s="2012"/>
      <c r="V61" s="747"/>
    </row>
    <row r="62" spans="1:23" ht="12.95" customHeight="1">
      <c r="A62" s="744"/>
      <c r="B62" s="753"/>
      <c r="C62" s="753"/>
      <c r="D62" s="754"/>
      <c r="E62" s="754"/>
      <c r="F62" s="755"/>
      <c r="G62" s="755"/>
      <c r="H62" s="754"/>
      <c r="I62" s="754"/>
      <c r="J62" s="755"/>
      <c r="K62" s="755"/>
      <c r="L62" s="754"/>
      <c r="M62" s="754"/>
      <c r="N62" s="755"/>
      <c r="O62" s="755"/>
      <c r="V62" s="747"/>
    </row>
    <row r="63" spans="1:23" ht="12.95" customHeight="1">
      <c r="A63" s="744"/>
      <c r="B63" s="737" t="s">
        <v>692</v>
      </c>
      <c r="C63" s="738"/>
      <c r="D63" s="738"/>
      <c r="E63" s="738"/>
      <c r="F63" s="738"/>
      <c r="G63" s="738"/>
      <c r="H63" s="738"/>
      <c r="I63" s="738"/>
      <c r="J63" s="738"/>
      <c r="K63" s="738"/>
      <c r="L63" s="738"/>
      <c r="M63" s="738"/>
      <c r="N63" s="738"/>
      <c r="O63" s="744"/>
      <c r="V63" s="747"/>
    </row>
    <row r="64" spans="1:23" ht="12.95" customHeight="1">
      <c r="A64" s="744"/>
      <c r="B64" s="2021" t="s">
        <v>399</v>
      </c>
      <c r="C64" s="2022"/>
      <c r="D64" s="2023" t="s">
        <v>437</v>
      </c>
      <c r="E64" s="2024"/>
      <c r="F64" s="2024"/>
      <c r="G64" s="2025"/>
      <c r="H64" s="2026" t="s">
        <v>438</v>
      </c>
      <c r="I64" s="2024"/>
      <c r="J64" s="2024"/>
      <c r="K64" s="2027"/>
      <c r="L64" s="2023" t="s">
        <v>439</v>
      </c>
      <c r="M64" s="2024"/>
      <c r="N64" s="2024"/>
      <c r="O64" s="2025"/>
      <c r="V64" s="747"/>
    </row>
    <row r="65" spans="1:22" ht="12.95" customHeight="1">
      <c r="A65" s="744"/>
      <c r="B65" s="2028" t="s">
        <v>693</v>
      </c>
      <c r="C65" s="2029"/>
      <c r="D65" s="2030">
        <v>2</v>
      </c>
      <c r="E65" s="2031"/>
      <c r="F65" s="2031"/>
      <c r="G65" s="2032"/>
      <c r="H65" s="1973">
        <v>2</v>
      </c>
      <c r="I65" s="2031"/>
      <c r="J65" s="2031"/>
      <c r="K65" s="2033"/>
      <c r="L65" s="2030">
        <v>2</v>
      </c>
      <c r="M65" s="2031"/>
      <c r="N65" s="2031"/>
      <c r="O65" s="2032"/>
      <c r="V65" s="747"/>
    </row>
    <row r="66" spans="1:22" ht="12.95" customHeight="1">
      <c r="A66" s="744"/>
      <c r="B66" s="2014" t="s">
        <v>694</v>
      </c>
      <c r="C66" s="2015"/>
      <c r="D66" s="1994">
        <v>1</v>
      </c>
      <c r="E66" s="1995"/>
      <c r="F66" s="1995"/>
      <c r="G66" s="2016"/>
      <c r="H66" s="1965">
        <v>1</v>
      </c>
      <c r="I66" s="1995"/>
      <c r="J66" s="1995"/>
      <c r="K66" s="2017"/>
      <c r="L66" s="1994">
        <v>1</v>
      </c>
      <c r="M66" s="1995"/>
      <c r="N66" s="1995"/>
      <c r="O66" s="2016"/>
      <c r="V66" s="747"/>
    </row>
    <row r="67" spans="1:22" ht="12.95" customHeight="1">
      <c r="A67" s="744"/>
      <c r="B67" s="2018" t="s">
        <v>695</v>
      </c>
      <c r="C67" s="2019"/>
      <c r="D67" s="1996">
        <v>1</v>
      </c>
      <c r="E67" s="1953"/>
      <c r="F67" s="1953"/>
      <c r="G67" s="2020"/>
      <c r="H67" s="1955">
        <v>1</v>
      </c>
      <c r="I67" s="1953"/>
      <c r="J67" s="1953"/>
      <c r="K67" s="1954"/>
      <c r="L67" s="1996">
        <v>1</v>
      </c>
      <c r="M67" s="1953"/>
      <c r="N67" s="1953"/>
      <c r="O67" s="2020"/>
      <c r="V67" s="747"/>
    </row>
    <row r="68" spans="1:22" ht="12.95" customHeight="1">
      <c r="A68" s="744"/>
      <c r="B68" s="738"/>
      <c r="C68" s="738"/>
      <c r="D68" s="738"/>
      <c r="E68" s="738"/>
      <c r="F68" s="738"/>
      <c r="G68" s="738"/>
      <c r="H68" s="738"/>
      <c r="I68" s="738"/>
      <c r="J68" s="738"/>
      <c r="K68" s="738"/>
      <c r="L68" s="738"/>
      <c r="M68" s="738"/>
      <c r="N68" s="738"/>
      <c r="O68" s="744"/>
      <c r="V68" s="747"/>
    </row>
    <row r="69" spans="1:22" ht="12.95" customHeight="1">
      <c r="A69" s="744"/>
      <c r="B69" s="737" t="s">
        <v>696</v>
      </c>
      <c r="C69" s="738"/>
      <c r="D69" s="738"/>
      <c r="E69" s="738"/>
      <c r="F69" s="738"/>
      <c r="G69" s="738"/>
      <c r="H69" s="738"/>
      <c r="I69" s="738"/>
      <c r="J69" s="738"/>
      <c r="K69" s="738"/>
      <c r="L69" s="738"/>
      <c r="M69" s="738"/>
      <c r="N69" s="738"/>
      <c r="O69" s="744"/>
      <c r="V69" s="747"/>
    </row>
    <row r="70" spans="1:22" ht="12.95" customHeight="1">
      <c r="A70" s="753"/>
      <c r="B70" s="1987" t="s">
        <v>623</v>
      </c>
      <c r="C70" s="1988"/>
      <c r="D70" s="1949"/>
      <c r="E70" s="2045" t="s">
        <v>697</v>
      </c>
      <c r="F70" s="1951" t="s">
        <v>528</v>
      </c>
      <c r="G70" s="1949"/>
      <c r="H70" s="1987" t="s">
        <v>529</v>
      </c>
      <c r="I70" s="1989"/>
      <c r="J70" s="1951" t="s">
        <v>530</v>
      </c>
      <c r="K70" s="1949"/>
      <c r="L70" s="1987" t="s">
        <v>531</v>
      </c>
      <c r="M70" s="1989"/>
      <c r="N70" s="1951" t="s">
        <v>698</v>
      </c>
      <c r="O70" s="1989"/>
      <c r="V70" s="747"/>
    </row>
    <row r="71" spans="1:22" ht="12.95" customHeight="1">
      <c r="A71" s="753"/>
      <c r="B71" s="1990"/>
      <c r="C71" s="1991"/>
      <c r="D71" s="2044"/>
      <c r="E71" s="2046"/>
      <c r="F71" s="756" t="s">
        <v>699</v>
      </c>
      <c r="G71" s="757" t="s">
        <v>700</v>
      </c>
      <c r="H71" s="758" t="s">
        <v>699</v>
      </c>
      <c r="I71" s="759" t="s">
        <v>700</v>
      </c>
      <c r="J71" s="756" t="s">
        <v>699</v>
      </c>
      <c r="K71" s="757" t="s">
        <v>700</v>
      </c>
      <c r="L71" s="758" t="s">
        <v>699</v>
      </c>
      <c r="M71" s="759" t="s">
        <v>700</v>
      </c>
      <c r="N71" s="756" t="s">
        <v>699</v>
      </c>
      <c r="O71" s="759" t="s">
        <v>700</v>
      </c>
      <c r="V71" s="747"/>
    </row>
    <row r="72" spans="1:22" ht="12.95" customHeight="1">
      <c r="A72" s="753"/>
      <c r="B72" s="2034" t="s">
        <v>701</v>
      </c>
      <c r="C72" s="2035"/>
      <c r="D72" s="760" t="s">
        <v>702</v>
      </c>
      <c r="E72" s="761">
        <f>ROUND(V54/U54*1000,2)</f>
        <v>4</v>
      </c>
      <c r="F72" s="762">
        <f>G53+G57</f>
        <v>1</v>
      </c>
      <c r="G72" s="763">
        <f>ROUND(F72*$E72,2)</f>
        <v>4</v>
      </c>
      <c r="H72" s="764">
        <f>G54+G58</f>
        <v>1.5</v>
      </c>
      <c r="I72" s="765">
        <f>ROUND(H72*$E72,2)</f>
        <v>6</v>
      </c>
      <c r="J72" s="762">
        <f>G55+G59</f>
        <v>1.5</v>
      </c>
      <c r="K72" s="763">
        <f>ROUND(J72*$E72,2)</f>
        <v>6</v>
      </c>
      <c r="L72" s="764">
        <f>G56+G60</f>
        <v>2</v>
      </c>
      <c r="M72" s="765">
        <f>ROUND(L72*$E72,2)</f>
        <v>8</v>
      </c>
      <c r="N72" s="762">
        <f>D67</f>
        <v>1</v>
      </c>
      <c r="O72" s="765">
        <f>ROUND(N72*$E72,2)</f>
        <v>4</v>
      </c>
      <c r="V72" s="766"/>
    </row>
    <row r="73" spans="1:22" ht="12.95" customHeight="1">
      <c r="A73" s="753"/>
      <c r="B73" s="2036"/>
      <c r="C73" s="2037"/>
      <c r="D73" s="767" t="s">
        <v>703</v>
      </c>
      <c r="E73" s="768">
        <f>ROUND(V55/U55*1000,2)</f>
        <v>0.47</v>
      </c>
      <c r="F73" s="769">
        <f>J53+J57</f>
        <v>0</v>
      </c>
      <c r="G73" s="770">
        <f t="shared" ref="G73:I74" si="5">ROUND(F73*$E73,2)</f>
        <v>0</v>
      </c>
      <c r="H73" s="771">
        <f>J54+J58</f>
        <v>1</v>
      </c>
      <c r="I73" s="772">
        <f t="shared" si="5"/>
        <v>0.47</v>
      </c>
      <c r="J73" s="769">
        <f>J55+J59</f>
        <v>2</v>
      </c>
      <c r="K73" s="770">
        <f>ROUND(J73*$E73,2)</f>
        <v>0.94</v>
      </c>
      <c r="L73" s="771">
        <f>J56+J60</f>
        <v>4</v>
      </c>
      <c r="M73" s="772">
        <f>ROUND(L73*$E73,2)</f>
        <v>1.88</v>
      </c>
      <c r="N73" s="769">
        <f>H67</f>
        <v>1</v>
      </c>
      <c r="O73" s="772">
        <f>ROUND(N73*$E73,2)</f>
        <v>0.47</v>
      </c>
      <c r="V73" s="766"/>
    </row>
    <row r="74" spans="1:22" ht="12.95" customHeight="1">
      <c r="A74" s="753"/>
      <c r="B74" s="2038"/>
      <c r="C74" s="2039"/>
      <c r="D74" s="773" t="s">
        <v>704</v>
      </c>
      <c r="E74" s="774">
        <f>ROUND(V56/U56*1000,2)</f>
        <v>1</v>
      </c>
      <c r="F74" s="775">
        <f>M53+M57</f>
        <v>0</v>
      </c>
      <c r="G74" s="776">
        <f t="shared" si="5"/>
        <v>0</v>
      </c>
      <c r="H74" s="777">
        <f>M54+M58</f>
        <v>1</v>
      </c>
      <c r="I74" s="778">
        <f t="shared" si="5"/>
        <v>1</v>
      </c>
      <c r="J74" s="775">
        <f>M55+M59</f>
        <v>2</v>
      </c>
      <c r="K74" s="776">
        <f>ROUND(J74*$E74,2)</f>
        <v>2</v>
      </c>
      <c r="L74" s="777">
        <f>M56+M60</f>
        <v>4</v>
      </c>
      <c r="M74" s="778">
        <f>ROUND(L74*$E74,2)</f>
        <v>4</v>
      </c>
      <c r="N74" s="775">
        <f>L67</f>
        <v>1</v>
      </c>
      <c r="O74" s="778">
        <f>ROUND(N74*$E74,2)</f>
        <v>1</v>
      </c>
      <c r="V74" s="766"/>
    </row>
    <row r="75" spans="1:22" ht="12.95" customHeight="1">
      <c r="A75" s="753"/>
      <c r="B75" s="2040" t="s">
        <v>235</v>
      </c>
      <c r="C75" s="2041"/>
      <c r="D75" s="2041"/>
      <c r="E75" s="779"/>
      <c r="F75" s="780"/>
      <c r="G75" s="781">
        <f>SUM(G72:G74)</f>
        <v>4</v>
      </c>
      <c r="H75" s="782"/>
      <c r="I75" s="783">
        <f>SUM(I72:I74)</f>
        <v>7.47</v>
      </c>
      <c r="J75" s="780"/>
      <c r="K75" s="781">
        <f>SUM(K72:K74)</f>
        <v>8.94</v>
      </c>
      <c r="L75" s="782"/>
      <c r="M75" s="783">
        <f>SUM(M72:M74)</f>
        <v>13.879999999999999</v>
      </c>
      <c r="N75" s="780"/>
      <c r="O75" s="783">
        <f>SUM(O72:O74)</f>
        <v>5.47</v>
      </c>
      <c r="V75" s="766"/>
    </row>
    <row r="76" spans="1:22" ht="12.95" customHeight="1">
      <c r="A76" s="744"/>
      <c r="B76" s="738" t="s">
        <v>705</v>
      </c>
      <c r="C76" s="738"/>
      <c r="D76" s="738"/>
      <c r="E76" s="738"/>
      <c r="F76" s="738"/>
      <c r="G76" s="738"/>
      <c r="H76" s="738"/>
      <c r="I76" s="738"/>
      <c r="J76" s="738"/>
      <c r="K76" s="738"/>
      <c r="L76" s="738"/>
      <c r="M76" s="738"/>
      <c r="N76" s="738"/>
      <c r="O76" s="744"/>
      <c r="V76" s="766"/>
    </row>
    <row r="77" spans="1:22" ht="12.95" customHeight="1">
      <c r="A77" s="744"/>
      <c r="B77" s="738"/>
      <c r="C77" s="738"/>
      <c r="D77" s="738"/>
      <c r="E77" s="738"/>
      <c r="F77" s="738"/>
      <c r="G77" s="738"/>
      <c r="H77" s="738"/>
      <c r="I77" s="738"/>
      <c r="J77" s="738"/>
      <c r="K77" s="738"/>
      <c r="L77" s="738"/>
      <c r="M77" s="738"/>
      <c r="N77" s="738"/>
      <c r="O77" s="744"/>
      <c r="V77" s="766"/>
    </row>
    <row r="78" spans="1:22" ht="12.95" customHeight="1">
      <c r="A78" s="737"/>
      <c r="B78" s="2042" t="s">
        <v>706</v>
      </c>
      <c r="C78" s="2042"/>
      <c r="D78" s="784" t="e">
        <f>'산근2-0 (현장조사물량산출)'!E6/1000</f>
        <v>#REF!</v>
      </c>
      <c r="E78" s="785" t="s">
        <v>224</v>
      </c>
      <c r="F78" s="785"/>
      <c r="G78" s="785"/>
      <c r="H78" s="786"/>
      <c r="I78" s="787"/>
      <c r="J78" s="786"/>
      <c r="K78" s="788"/>
      <c r="L78" s="789"/>
      <c r="M78" s="790"/>
      <c r="N78" s="791"/>
      <c r="O78" s="791"/>
      <c r="V78" s="747"/>
    </row>
    <row r="79" spans="1:22" ht="12.95" customHeight="1">
      <c r="V79" s="747"/>
    </row>
    <row r="80" spans="1:22" ht="19.899999999999999" customHeight="1">
      <c r="A80" s="736" t="s">
        <v>1869</v>
      </c>
      <c r="D80" s="736"/>
      <c r="V80" s="650"/>
    </row>
    <row r="81" spans="1:36" ht="12.95" customHeight="1">
      <c r="B81" s="737" t="s">
        <v>662</v>
      </c>
      <c r="C81" s="738" t="s">
        <v>707</v>
      </c>
      <c r="R81" s="241">
        <f>IF(W81=U83,1,IF(W81=Y83,5,IF(W81=AC83,9,IF(W81=AG83,13))))</f>
        <v>13</v>
      </c>
      <c r="T81" s="241" t="s">
        <v>708</v>
      </c>
      <c r="V81" s="650" t="s">
        <v>709</v>
      </c>
      <c r="W81" s="651" t="str">
        <f>C2</f>
        <v>구릉지</v>
      </c>
    </row>
    <row r="82" spans="1:36" ht="12.95" customHeight="1">
      <c r="U82" s="241">
        <v>1</v>
      </c>
      <c r="V82" s="241">
        <v>2</v>
      </c>
      <c r="W82" s="241">
        <v>3</v>
      </c>
      <c r="X82" s="241">
        <v>4</v>
      </c>
      <c r="Y82" s="241">
        <v>5</v>
      </c>
      <c r="Z82" s="241">
        <v>6</v>
      </c>
      <c r="AA82" s="241">
        <v>7</v>
      </c>
      <c r="AB82" s="241">
        <v>8</v>
      </c>
      <c r="AC82" s="241">
        <v>9</v>
      </c>
      <c r="AD82" s="241">
        <v>10</v>
      </c>
      <c r="AE82" s="241">
        <v>11</v>
      </c>
      <c r="AF82" s="241">
        <v>12</v>
      </c>
      <c r="AG82" s="241">
        <v>13</v>
      </c>
      <c r="AH82" s="241">
        <v>14</v>
      </c>
      <c r="AI82" s="241">
        <v>15</v>
      </c>
      <c r="AJ82" s="241">
        <v>16</v>
      </c>
    </row>
    <row r="83" spans="1:36" ht="12.95" customHeight="1">
      <c r="B83" s="2043" t="s">
        <v>710</v>
      </c>
      <c r="C83" s="2043"/>
      <c r="D83" s="2043" t="s">
        <v>711</v>
      </c>
      <c r="E83" s="2043"/>
      <c r="F83" s="2043" t="s">
        <v>712</v>
      </c>
      <c r="G83" s="2043"/>
      <c r="H83" s="2043" t="s">
        <v>713</v>
      </c>
      <c r="I83" s="2043"/>
      <c r="J83" s="2043" t="s">
        <v>714</v>
      </c>
      <c r="K83" s="2043"/>
      <c r="S83" s="792"/>
      <c r="T83" s="793" t="s">
        <v>715</v>
      </c>
      <c r="U83" s="2043" t="s">
        <v>656</v>
      </c>
      <c r="V83" s="2043"/>
      <c r="W83" s="2043"/>
      <c r="X83" s="2043"/>
      <c r="Y83" s="2043" t="s">
        <v>661</v>
      </c>
      <c r="Z83" s="2043"/>
      <c r="AA83" s="2043"/>
      <c r="AB83" s="2043"/>
      <c r="AC83" s="2043" t="s">
        <v>716</v>
      </c>
      <c r="AD83" s="2043"/>
      <c r="AE83" s="2043"/>
      <c r="AF83" s="2043"/>
      <c r="AG83" s="2043" t="s">
        <v>586</v>
      </c>
      <c r="AH83" s="2043"/>
      <c r="AI83" s="2043"/>
      <c r="AJ83" s="2043"/>
    </row>
    <row r="84" spans="1:36" ht="26.1" customHeight="1">
      <c r="B84" s="2047" t="s">
        <v>717</v>
      </c>
      <c r="C84" s="2047"/>
      <c r="D84" s="2043">
        <f>INDEX($U$85:$AJ$85,MATCH($R$81,$U$82:$AJ$82,0))</f>
        <v>1</v>
      </c>
      <c r="E84" s="2043"/>
      <c r="F84" s="2048">
        <f>INDEX($U$85:$AJ$85,MATCH($R$81+1,$U$82:$AJ$82,0))</f>
        <v>3</v>
      </c>
      <c r="G84" s="2048"/>
      <c r="H84" s="2048">
        <f>INDEX($U$85:$AJ$85,MATCH($R$81+2,$U$82:$AJ$82,0))</f>
        <v>6</v>
      </c>
      <c r="I84" s="2048"/>
      <c r="J84" s="2048">
        <f>INDEX($U$85:$AJ$85,MATCH($R$81+3,$U$82:$AJ$82,0))</f>
        <v>0</v>
      </c>
      <c r="K84" s="2048"/>
      <c r="S84" s="794" t="s">
        <v>718</v>
      </c>
      <c r="T84" s="795"/>
      <c r="U84" s="750" t="s">
        <v>711</v>
      </c>
      <c r="V84" s="442" t="s">
        <v>712</v>
      </c>
      <c r="W84" s="750" t="s">
        <v>713</v>
      </c>
      <c r="X84" s="750" t="s">
        <v>714</v>
      </c>
      <c r="Y84" s="750" t="s">
        <v>711</v>
      </c>
      <c r="Z84" s="750" t="s">
        <v>712</v>
      </c>
      <c r="AA84" s="750" t="s">
        <v>713</v>
      </c>
      <c r="AB84" s="750" t="s">
        <v>714</v>
      </c>
      <c r="AC84" s="750" t="s">
        <v>711</v>
      </c>
      <c r="AD84" s="750" t="s">
        <v>712</v>
      </c>
      <c r="AE84" s="750" t="s">
        <v>713</v>
      </c>
      <c r="AF84" s="750" t="s">
        <v>714</v>
      </c>
      <c r="AG84" s="750" t="s">
        <v>711</v>
      </c>
      <c r="AH84" s="750" t="s">
        <v>712</v>
      </c>
      <c r="AI84" s="750" t="s">
        <v>713</v>
      </c>
      <c r="AJ84" s="750" t="s">
        <v>714</v>
      </c>
    </row>
    <row r="85" spans="1:36" ht="12.95" customHeight="1">
      <c r="B85" s="2043" t="s">
        <v>708</v>
      </c>
      <c r="C85" s="442" t="s">
        <v>719</v>
      </c>
      <c r="D85" s="2048">
        <f>INDEX($U$88:$AJ$88,MATCH($R$81,$U$82:$AJ$82,0))</f>
        <v>1</v>
      </c>
      <c r="E85" s="2048"/>
      <c r="F85" s="2048">
        <f>INDEX($U$88:$AJ$88,MATCH($R$81+1,$U$82:$AJ$82,0))</f>
        <v>6</v>
      </c>
      <c r="G85" s="2048"/>
      <c r="H85" s="2048">
        <f>INDEX($U$88:$AJ$88,MATCH($R$81+2,$U$82:$AJ$82,0))</f>
        <v>6</v>
      </c>
      <c r="I85" s="2048"/>
      <c r="J85" s="2048">
        <f>INDEX($U$88:$AJ$88,MATCH($R$81+3,$U$82:$AJ$82,0))</f>
        <v>13</v>
      </c>
      <c r="K85" s="2048"/>
      <c r="S85" s="2043" t="s">
        <v>720</v>
      </c>
      <c r="T85" s="2043"/>
      <c r="U85" s="796">
        <v>2</v>
      </c>
      <c r="V85" s="796">
        <v>6</v>
      </c>
      <c r="W85" s="796">
        <v>12</v>
      </c>
      <c r="X85" s="796">
        <v>0</v>
      </c>
      <c r="Y85" s="796">
        <v>1.5</v>
      </c>
      <c r="Z85" s="796">
        <v>5</v>
      </c>
      <c r="AA85" s="796">
        <v>10</v>
      </c>
      <c r="AB85" s="796">
        <v>0</v>
      </c>
      <c r="AC85" s="796">
        <v>1</v>
      </c>
      <c r="AD85" s="796">
        <v>4</v>
      </c>
      <c r="AE85" s="796">
        <v>8</v>
      </c>
      <c r="AF85" s="796">
        <v>0</v>
      </c>
      <c r="AG85" s="796">
        <v>1</v>
      </c>
      <c r="AH85" s="796">
        <v>3</v>
      </c>
      <c r="AI85" s="796">
        <v>6</v>
      </c>
      <c r="AJ85" s="796">
        <v>0</v>
      </c>
    </row>
    <row r="86" spans="1:36" ht="12.95" customHeight="1">
      <c r="B86" s="2043"/>
      <c r="C86" s="442" t="s">
        <v>721</v>
      </c>
      <c r="D86" s="2049">
        <f>INDEX($U$89:$AJ$89,MATCH($R$81,$U$82:$AJ$82,0))</f>
        <v>9</v>
      </c>
      <c r="E86" s="2049"/>
      <c r="F86" s="2049">
        <f>INDEX($U$89:$AJ$89,MATCH($R$81+1,$U$82:$AJ$82,0))</f>
        <v>18</v>
      </c>
      <c r="G86" s="2049"/>
      <c r="H86" s="2049">
        <f>INDEX($U$89:$AJ$89,MATCH($R$81+2,$U$82:$AJ$82,0))</f>
        <v>18</v>
      </c>
      <c r="I86" s="2049"/>
      <c r="J86" s="2049">
        <f>INDEX($U$89:$AJ$89,MATCH($R$81+3,$U$82:$AJ$82,0))</f>
        <v>0</v>
      </c>
      <c r="K86" s="2049"/>
      <c r="S86" s="2043" t="s">
        <v>722</v>
      </c>
      <c r="T86" s="2043"/>
      <c r="U86" s="796">
        <v>5</v>
      </c>
      <c r="V86" s="796">
        <v>10</v>
      </c>
      <c r="W86" s="796">
        <v>15</v>
      </c>
      <c r="X86" s="796">
        <v>15</v>
      </c>
      <c r="Y86" s="796">
        <v>4</v>
      </c>
      <c r="Z86" s="796">
        <v>8</v>
      </c>
      <c r="AA86" s="796">
        <v>12</v>
      </c>
      <c r="AB86" s="796">
        <v>12</v>
      </c>
      <c r="AC86" s="796">
        <v>3</v>
      </c>
      <c r="AD86" s="796">
        <v>6</v>
      </c>
      <c r="AE86" s="796">
        <v>9</v>
      </c>
      <c r="AF86" s="796">
        <v>9</v>
      </c>
      <c r="AG86" s="796">
        <v>2</v>
      </c>
      <c r="AH86" s="796">
        <v>5</v>
      </c>
      <c r="AI86" s="796">
        <v>8</v>
      </c>
      <c r="AJ86" s="796">
        <v>8</v>
      </c>
    </row>
    <row r="87" spans="1:36" ht="12.95" customHeight="1">
      <c r="B87" s="2043" t="s">
        <v>533</v>
      </c>
      <c r="C87" s="2043"/>
      <c r="D87" s="2043">
        <f>SUM(D84:D86)</f>
        <v>11</v>
      </c>
      <c r="E87" s="2043"/>
      <c r="F87" s="2048">
        <f>SUM(F84:F86)</f>
        <v>27</v>
      </c>
      <c r="G87" s="2048"/>
      <c r="H87" s="2048">
        <f>SUM(H84:H86)</f>
        <v>30</v>
      </c>
      <c r="I87" s="2048"/>
      <c r="J87" s="2048">
        <f>SUM(J84:J86)</f>
        <v>13</v>
      </c>
      <c r="K87" s="2048"/>
      <c r="S87" s="2043" t="s">
        <v>723</v>
      </c>
      <c r="T87" s="2043"/>
      <c r="U87" s="796">
        <v>0</v>
      </c>
      <c r="V87" s="796">
        <v>8</v>
      </c>
      <c r="W87" s="796">
        <v>8</v>
      </c>
      <c r="X87" s="796">
        <v>16</v>
      </c>
      <c r="Y87" s="796">
        <v>0</v>
      </c>
      <c r="Z87" s="796">
        <v>6</v>
      </c>
      <c r="AA87" s="796">
        <v>6</v>
      </c>
      <c r="AB87" s="796">
        <v>12</v>
      </c>
      <c r="AC87" s="796">
        <v>0</v>
      </c>
      <c r="AD87" s="796">
        <v>4</v>
      </c>
      <c r="AE87" s="796">
        <v>4</v>
      </c>
      <c r="AF87" s="796">
        <v>8</v>
      </c>
      <c r="AG87" s="796">
        <v>0</v>
      </c>
      <c r="AH87" s="796">
        <v>3</v>
      </c>
      <c r="AI87" s="796">
        <v>3</v>
      </c>
      <c r="AJ87" s="796">
        <v>7</v>
      </c>
    </row>
    <row r="88" spans="1:36" ht="12.95" customHeight="1">
      <c r="B88" s="2047" t="s">
        <v>724</v>
      </c>
      <c r="C88" s="2043"/>
      <c r="D88" s="2048">
        <f>ROUND(D87*2/5,1)</f>
        <v>4.4000000000000004</v>
      </c>
      <c r="E88" s="2048"/>
      <c r="F88" s="2048">
        <f>ROUND(F87*2/5,1)</f>
        <v>10.8</v>
      </c>
      <c r="G88" s="2048"/>
      <c r="H88" s="2048">
        <f>ROUND(H87*2/5,1)</f>
        <v>12</v>
      </c>
      <c r="I88" s="2048"/>
      <c r="J88" s="2048">
        <f>ROUND(J87*2/5,1)</f>
        <v>5.2</v>
      </c>
      <c r="K88" s="2048"/>
      <c r="S88" s="2043" t="s">
        <v>708</v>
      </c>
      <c r="T88" s="750" t="s">
        <v>719</v>
      </c>
      <c r="U88" s="796">
        <v>3</v>
      </c>
      <c r="V88" s="796">
        <v>15</v>
      </c>
      <c r="W88" s="796">
        <v>15</v>
      </c>
      <c r="X88" s="796">
        <v>30</v>
      </c>
      <c r="Y88" s="796">
        <v>2</v>
      </c>
      <c r="Z88" s="796">
        <v>10</v>
      </c>
      <c r="AA88" s="796">
        <v>10</v>
      </c>
      <c r="AB88" s="796">
        <v>20</v>
      </c>
      <c r="AC88" s="796">
        <v>1</v>
      </c>
      <c r="AD88" s="796">
        <v>7</v>
      </c>
      <c r="AE88" s="796">
        <v>7</v>
      </c>
      <c r="AF88" s="796">
        <v>14</v>
      </c>
      <c r="AG88" s="796">
        <v>1</v>
      </c>
      <c r="AH88" s="796">
        <v>6</v>
      </c>
      <c r="AI88" s="796">
        <v>6</v>
      </c>
      <c r="AJ88" s="796">
        <v>13</v>
      </c>
    </row>
    <row r="89" spans="1:36" ht="12.95" customHeight="1">
      <c r="S89" s="2043"/>
      <c r="T89" s="750" t="s">
        <v>721</v>
      </c>
      <c r="U89" s="797">
        <v>20</v>
      </c>
      <c r="V89" s="797">
        <v>40</v>
      </c>
      <c r="W89" s="797">
        <v>40</v>
      </c>
      <c r="X89" s="797">
        <v>0</v>
      </c>
      <c r="Y89" s="797">
        <v>15</v>
      </c>
      <c r="Z89" s="797">
        <v>30</v>
      </c>
      <c r="AA89" s="797">
        <v>30</v>
      </c>
      <c r="AB89" s="797">
        <v>0</v>
      </c>
      <c r="AC89" s="797">
        <v>10</v>
      </c>
      <c r="AD89" s="797">
        <v>20</v>
      </c>
      <c r="AE89" s="797">
        <v>20</v>
      </c>
      <c r="AF89" s="797">
        <v>0</v>
      </c>
      <c r="AG89" s="797">
        <v>9</v>
      </c>
      <c r="AH89" s="797">
        <v>18</v>
      </c>
      <c r="AI89" s="797">
        <v>18</v>
      </c>
      <c r="AJ89" s="797">
        <v>0</v>
      </c>
    </row>
    <row r="90" spans="1:36" ht="12.95" customHeight="1"/>
    <row r="91" spans="1:36" ht="19.899999999999999" customHeight="1">
      <c r="A91" s="736" t="s">
        <v>1870</v>
      </c>
      <c r="C91" s="390"/>
      <c r="D91" s="390"/>
      <c r="E91" s="390"/>
      <c r="F91" s="390"/>
      <c r="G91" s="390"/>
      <c r="H91" s="390"/>
      <c r="I91" s="390"/>
      <c r="J91" s="390"/>
      <c r="T91" s="390" t="s">
        <v>725</v>
      </c>
      <c r="U91" s="390"/>
      <c r="V91" s="390" t="s">
        <v>709</v>
      </c>
      <c r="W91" s="798">
        <v>50</v>
      </c>
      <c r="X91" s="390"/>
      <c r="Y91" s="390"/>
      <c r="Z91" s="390"/>
      <c r="AA91" s="390">
        <f>IF(W91=T95,1,IF(W91=T97,3,IF(W91=T99,5,IF(W91=T101,7,IF(W91=T103,9,11)))))</f>
        <v>11</v>
      </c>
    </row>
    <row r="92" spans="1:36" ht="12.95" customHeight="1">
      <c r="A92" s="390"/>
      <c r="B92" s="737" t="s">
        <v>726</v>
      </c>
      <c r="C92" s="390"/>
      <c r="D92" s="390"/>
      <c r="E92" s="390"/>
      <c r="F92" s="799">
        <f>W91</f>
        <v>50</v>
      </c>
      <c r="G92" s="390"/>
      <c r="H92" s="390"/>
      <c r="I92" s="390"/>
      <c r="J92" s="390"/>
      <c r="T92" s="2050" t="s">
        <v>710</v>
      </c>
      <c r="U92" s="2050"/>
      <c r="V92" s="800" t="s">
        <v>711</v>
      </c>
      <c r="W92" s="800" t="s">
        <v>712</v>
      </c>
      <c r="X92" s="800" t="s">
        <v>713</v>
      </c>
      <c r="Y92" s="800" t="s">
        <v>714</v>
      </c>
      <c r="Z92" s="800" t="s">
        <v>727</v>
      </c>
      <c r="AA92" s="801"/>
    </row>
    <row r="93" spans="1:36" ht="12.95" customHeight="1">
      <c r="A93" s="390"/>
      <c r="B93" s="390"/>
      <c r="C93" s="390"/>
      <c r="D93" s="390"/>
      <c r="E93" s="390"/>
      <c r="F93" s="390"/>
      <c r="G93" s="390"/>
      <c r="H93" s="390"/>
      <c r="I93" s="390"/>
      <c r="J93" s="390"/>
      <c r="T93" s="2050" t="s">
        <v>687</v>
      </c>
      <c r="U93" s="800" t="s">
        <v>719</v>
      </c>
      <c r="V93" s="802">
        <v>2</v>
      </c>
      <c r="W93" s="802">
        <v>10</v>
      </c>
      <c r="X93" s="802">
        <v>10</v>
      </c>
      <c r="Y93" s="802">
        <v>10</v>
      </c>
      <c r="Z93" s="802">
        <v>10</v>
      </c>
      <c r="AA93" s="390"/>
    </row>
    <row r="94" spans="1:36" ht="12.95" customHeight="1">
      <c r="A94" s="390"/>
      <c r="B94" s="2051" t="s">
        <v>710</v>
      </c>
      <c r="C94" s="2052"/>
      <c r="D94" s="2050" t="s">
        <v>711</v>
      </c>
      <c r="E94" s="2050"/>
      <c r="F94" s="2050" t="s">
        <v>712</v>
      </c>
      <c r="G94" s="2050"/>
      <c r="H94" s="2050" t="s">
        <v>713</v>
      </c>
      <c r="I94" s="2050"/>
      <c r="J94" s="2050" t="s">
        <v>714</v>
      </c>
      <c r="K94" s="2050"/>
      <c r="L94" s="800" t="s">
        <v>727</v>
      </c>
      <c r="T94" s="2050"/>
      <c r="U94" s="800" t="s">
        <v>721</v>
      </c>
      <c r="V94" s="803">
        <v>0.6</v>
      </c>
      <c r="W94" s="803">
        <v>3</v>
      </c>
      <c r="X94" s="803">
        <v>3</v>
      </c>
      <c r="Y94" s="803">
        <v>0</v>
      </c>
      <c r="Z94" s="803">
        <v>0</v>
      </c>
      <c r="AA94" s="390"/>
    </row>
    <row r="95" spans="1:36" ht="12.95" customHeight="1">
      <c r="A95" s="390"/>
      <c r="B95" s="2050" t="s">
        <v>687</v>
      </c>
      <c r="C95" s="800" t="s">
        <v>719</v>
      </c>
      <c r="D95" s="2053">
        <f t="shared" ref="D95:D96" si="6">V93</f>
        <v>2</v>
      </c>
      <c r="E95" s="2053"/>
      <c r="F95" s="2053">
        <f>W93</f>
        <v>10</v>
      </c>
      <c r="G95" s="2053"/>
      <c r="H95" s="2053">
        <f>X93</f>
        <v>10</v>
      </c>
      <c r="I95" s="2053"/>
      <c r="J95" s="2053">
        <f>Y93</f>
        <v>10</v>
      </c>
      <c r="K95" s="2053"/>
      <c r="L95" s="802">
        <f>Z93</f>
        <v>10</v>
      </c>
      <c r="T95" s="2054">
        <v>1000</v>
      </c>
      <c r="U95" s="800" t="s">
        <v>719</v>
      </c>
      <c r="V95" s="802">
        <v>7</v>
      </c>
      <c r="W95" s="802">
        <v>35</v>
      </c>
      <c r="X95" s="802">
        <v>70</v>
      </c>
      <c r="Y95" s="802">
        <v>70</v>
      </c>
      <c r="Z95" s="802">
        <v>140</v>
      </c>
      <c r="AA95" s="804">
        <v>1</v>
      </c>
    </row>
    <row r="96" spans="1:36" ht="12.95" customHeight="1">
      <c r="A96" s="390"/>
      <c r="B96" s="2050"/>
      <c r="C96" s="800" t="s">
        <v>721</v>
      </c>
      <c r="D96" s="2056">
        <f t="shared" si="6"/>
        <v>0.6</v>
      </c>
      <c r="E96" s="2056"/>
      <c r="F96" s="2056">
        <f>W94</f>
        <v>3</v>
      </c>
      <c r="G96" s="2056"/>
      <c r="H96" s="2056">
        <f>X94</f>
        <v>3</v>
      </c>
      <c r="I96" s="2056"/>
      <c r="J96" s="2056">
        <f>Y94</f>
        <v>0</v>
      </c>
      <c r="K96" s="2056"/>
      <c r="L96" s="803">
        <f>Z94</f>
        <v>0</v>
      </c>
      <c r="T96" s="2054"/>
      <c r="U96" s="800" t="s">
        <v>721</v>
      </c>
      <c r="V96" s="803">
        <v>1</v>
      </c>
      <c r="W96" s="803">
        <v>10</v>
      </c>
      <c r="X96" s="803">
        <v>20</v>
      </c>
      <c r="Y96" s="803">
        <v>0</v>
      </c>
      <c r="Z96" s="803">
        <v>0</v>
      </c>
      <c r="AA96" s="804">
        <v>2</v>
      </c>
    </row>
    <row r="97" spans="1:27" ht="12.95" customHeight="1">
      <c r="A97" s="390"/>
      <c r="B97" s="2050"/>
      <c r="C97" s="800" t="s">
        <v>537</v>
      </c>
      <c r="D97" s="2053">
        <f>SUM(D95:D96)</f>
        <v>2.6</v>
      </c>
      <c r="E97" s="2053"/>
      <c r="F97" s="2053">
        <f>SUM(F95:F96)</f>
        <v>13</v>
      </c>
      <c r="G97" s="2053"/>
      <c r="H97" s="2053">
        <f>SUM(H95:H96)</f>
        <v>13</v>
      </c>
      <c r="I97" s="2053"/>
      <c r="J97" s="2053">
        <f>SUM(J95:J96)</f>
        <v>10</v>
      </c>
      <c r="K97" s="2053"/>
      <c r="L97" s="802">
        <f>SUM(L95:L96)</f>
        <v>10</v>
      </c>
      <c r="T97" s="2054">
        <v>700</v>
      </c>
      <c r="U97" s="800" t="s">
        <v>719</v>
      </c>
      <c r="V97" s="802">
        <v>5.6</v>
      </c>
      <c r="W97" s="802">
        <v>20</v>
      </c>
      <c r="X97" s="802">
        <v>56</v>
      </c>
      <c r="Y97" s="802">
        <v>56</v>
      </c>
      <c r="Z97" s="802">
        <v>112</v>
      </c>
      <c r="AA97" s="804">
        <v>3</v>
      </c>
    </row>
    <row r="98" spans="1:27" ht="12.95" customHeight="1">
      <c r="A98" s="390"/>
      <c r="B98" s="2050" t="s">
        <v>728</v>
      </c>
      <c r="C98" s="2050"/>
      <c r="D98" s="2055">
        <f>D97/10</f>
        <v>0.26</v>
      </c>
      <c r="E98" s="2055"/>
      <c r="F98" s="2055">
        <f>F97/10</f>
        <v>1.3</v>
      </c>
      <c r="G98" s="2055"/>
      <c r="H98" s="2055">
        <f>H97/10</f>
        <v>1.3</v>
      </c>
      <c r="I98" s="2055"/>
      <c r="J98" s="2055">
        <f>J97/10</f>
        <v>1</v>
      </c>
      <c r="K98" s="2055"/>
      <c r="L98" s="805">
        <f>L97/10</f>
        <v>1</v>
      </c>
      <c r="T98" s="2054"/>
      <c r="U98" s="800" t="s">
        <v>721</v>
      </c>
      <c r="V98" s="803">
        <v>0.8</v>
      </c>
      <c r="W98" s="803">
        <v>8</v>
      </c>
      <c r="X98" s="803">
        <v>8</v>
      </c>
      <c r="Y98" s="803">
        <v>16</v>
      </c>
      <c r="Z98" s="803">
        <v>0</v>
      </c>
      <c r="AA98" s="441">
        <v>4</v>
      </c>
    </row>
    <row r="99" spans="1:27" ht="12.95" customHeight="1">
      <c r="A99" s="390"/>
      <c r="B99" s="2057" t="s">
        <v>689</v>
      </c>
      <c r="C99" s="800" t="s">
        <v>719</v>
      </c>
      <c r="D99" s="2053">
        <f>INDEX($V$95:$Z$106,MATCH($AA$91,$AA$95:$AA$106,0),MATCH($D$94,$V$92:$Z$92,0))</f>
        <v>5</v>
      </c>
      <c r="E99" s="2053"/>
      <c r="F99" s="2053">
        <f>INDEX($V$95:$Z$106,MATCH($AA$91,$AA$95:$AA$106,0),MATCH($F$94,$V$92:$Z$92,0))</f>
        <v>25</v>
      </c>
      <c r="G99" s="2053"/>
      <c r="H99" s="2053">
        <f>INDEX($V$95:$Z$106,MATCH($AA$91,$AA$95:$AA$106,0),MATCH($H$94,$V$92:$Z$92,0))</f>
        <v>25</v>
      </c>
      <c r="I99" s="2053"/>
      <c r="J99" s="2053">
        <f>INDEX($V$95:$Z$106,MATCH($AA$91,$AA$95:$AA$106,0),MATCH($J$94,$V$92:$Z$92,0))</f>
        <v>50</v>
      </c>
      <c r="K99" s="2053"/>
      <c r="L99" s="802">
        <f>INDEX($V$95:$Z$106,MATCH($AA$91,$AA$95:$AA$106,0),MATCH($L$94,$V$92:$Z$92,0))</f>
        <v>75</v>
      </c>
      <c r="T99" s="2054">
        <v>400</v>
      </c>
      <c r="U99" s="800" t="s">
        <v>719</v>
      </c>
      <c r="V99" s="802">
        <v>4</v>
      </c>
      <c r="W99" s="802">
        <v>20</v>
      </c>
      <c r="X99" s="802">
        <v>40</v>
      </c>
      <c r="Y99" s="802">
        <v>40</v>
      </c>
      <c r="Z99" s="802">
        <v>60</v>
      </c>
      <c r="AA99" s="441">
        <v>5</v>
      </c>
    </row>
    <row r="100" spans="1:27" ht="12.95" customHeight="1">
      <c r="A100" s="390"/>
      <c r="B100" s="2058"/>
      <c r="C100" s="800" t="s">
        <v>721</v>
      </c>
      <c r="D100" s="2056">
        <f>INDEX($V$95:$Z$106,MATCH($AA$91+1,$AA$95:$AA$106,0),MATCH($D$94,$V$92:$Z$92,0))</f>
        <v>2</v>
      </c>
      <c r="E100" s="2056"/>
      <c r="F100" s="2056">
        <f>INDEX($V$95:$Z$106,MATCH($AA$91+1,$AA$95:$AA$106,0),MATCH($F$94,$V$92:$Z$92,0))</f>
        <v>20</v>
      </c>
      <c r="G100" s="2056"/>
      <c r="H100" s="2056">
        <f>INDEX($V$95:$Z$106,MATCH($AA$91+1,$AA$95:$AA$106,0),MATCH($H$94,$V$92:$Z$92,0))</f>
        <v>20</v>
      </c>
      <c r="I100" s="2056"/>
      <c r="J100" s="2056">
        <f>INDEX($V$95:$Z$106,MATCH($AA$91+1,$AA$95:$AA$106,0),MATCH($J$94,$V$92:$Z$92,0))</f>
        <v>20</v>
      </c>
      <c r="K100" s="2056"/>
      <c r="L100" s="803">
        <f>INDEX($V$95:$Z$106,MATCH($AA$91+1,$AA$95:$AA$106,0),MATCH($L$94,$V$92:$Z$92,0))</f>
        <v>0</v>
      </c>
      <c r="T100" s="2054"/>
      <c r="U100" s="800" t="s">
        <v>721</v>
      </c>
      <c r="V100" s="803">
        <v>0.6</v>
      </c>
      <c r="W100" s="803">
        <v>5.5</v>
      </c>
      <c r="X100" s="803">
        <v>5.5</v>
      </c>
      <c r="Y100" s="803">
        <v>11</v>
      </c>
      <c r="Z100" s="803">
        <v>0</v>
      </c>
      <c r="AA100" s="441">
        <v>6</v>
      </c>
    </row>
    <row r="101" spans="1:27" ht="12.95" customHeight="1">
      <c r="A101" s="390"/>
      <c r="B101" s="2059"/>
      <c r="C101" s="800" t="s">
        <v>537</v>
      </c>
      <c r="D101" s="2053">
        <f>SUM(D99:D100)</f>
        <v>7</v>
      </c>
      <c r="E101" s="2053"/>
      <c r="F101" s="2053">
        <f>SUM(F99:F100)</f>
        <v>45</v>
      </c>
      <c r="G101" s="2053"/>
      <c r="H101" s="2053">
        <f>SUM(H99:H100)</f>
        <v>45</v>
      </c>
      <c r="I101" s="2053"/>
      <c r="J101" s="2053">
        <f>SUM(J99:J100)</f>
        <v>70</v>
      </c>
      <c r="K101" s="2053"/>
      <c r="L101" s="802">
        <f>SUM(L99:L100)</f>
        <v>75</v>
      </c>
      <c r="T101" s="2054">
        <v>200</v>
      </c>
      <c r="U101" s="800" t="s">
        <v>719</v>
      </c>
      <c r="V101" s="802">
        <v>5</v>
      </c>
      <c r="W101" s="802">
        <v>25</v>
      </c>
      <c r="X101" s="802">
        <v>25</v>
      </c>
      <c r="Y101" s="802">
        <v>50</v>
      </c>
      <c r="Z101" s="802">
        <v>75</v>
      </c>
      <c r="AA101" s="441">
        <v>7</v>
      </c>
    </row>
    <row r="102" spans="1:27" ht="12.95" customHeight="1">
      <c r="A102" s="390"/>
      <c r="B102" s="2050" t="s">
        <v>728</v>
      </c>
      <c r="C102" s="2050"/>
      <c r="D102" s="2055">
        <f>D101/10</f>
        <v>0.7</v>
      </c>
      <c r="E102" s="2055"/>
      <c r="F102" s="2055">
        <f>F101/10</f>
        <v>4.5</v>
      </c>
      <c r="G102" s="2055"/>
      <c r="H102" s="2055">
        <f>H101/10</f>
        <v>4.5</v>
      </c>
      <c r="I102" s="2055"/>
      <c r="J102" s="2055">
        <f>J101/10</f>
        <v>7</v>
      </c>
      <c r="K102" s="2055"/>
      <c r="L102" s="805">
        <f>L101/10</f>
        <v>7.5</v>
      </c>
      <c r="T102" s="2054"/>
      <c r="U102" s="800" t="s">
        <v>721</v>
      </c>
      <c r="V102" s="803">
        <v>0.7</v>
      </c>
      <c r="W102" s="803">
        <v>7</v>
      </c>
      <c r="X102" s="803">
        <v>7</v>
      </c>
      <c r="Y102" s="803">
        <v>14</v>
      </c>
      <c r="Z102" s="803">
        <v>0</v>
      </c>
      <c r="AA102" s="441">
        <v>8</v>
      </c>
    </row>
    <row r="103" spans="1:27" ht="12.95" customHeight="1">
      <c r="A103" s="390"/>
      <c r="B103" s="390"/>
      <c r="C103" s="390"/>
      <c r="D103" s="390"/>
      <c r="E103" s="390"/>
      <c r="F103" s="390"/>
      <c r="G103" s="390"/>
      <c r="H103" s="390"/>
      <c r="I103" s="390"/>
      <c r="J103" s="390"/>
      <c r="T103" s="2054">
        <v>100</v>
      </c>
      <c r="U103" s="800" t="s">
        <v>719</v>
      </c>
      <c r="V103" s="802">
        <v>4.4000000000000004</v>
      </c>
      <c r="W103" s="802">
        <v>22</v>
      </c>
      <c r="X103" s="802">
        <v>22</v>
      </c>
      <c r="Y103" s="802">
        <v>44</v>
      </c>
      <c r="Z103" s="802">
        <v>66</v>
      </c>
      <c r="AA103" s="441">
        <v>9</v>
      </c>
    </row>
    <row r="104" spans="1:27" ht="12.95" customHeight="1">
      <c r="A104" s="390"/>
      <c r="B104" s="390"/>
      <c r="C104" s="390"/>
      <c r="D104" s="390"/>
      <c r="E104" s="390"/>
      <c r="F104" s="390"/>
      <c r="G104" s="390"/>
      <c r="H104" s="390"/>
      <c r="I104" s="390"/>
      <c r="J104" s="390"/>
      <c r="T104" s="2054"/>
      <c r="U104" s="800" t="s">
        <v>721</v>
      </c>
      <c r="V104" s="803">
        <v>1.3</v>
      </c>
      <c r="W104" s="803">
        <v>13</v>
      </c>
      <c r="X104" s="803">
        <v>13</v>
      </c>
      <c r="Y104" s="803">
        <v>13</v>
      </c>
      <c r="Z104" s="803">
        <v>0</v>
      </c>
      <c r="AA104" s="441">
        <v>10</v>
      </c>
    </row>
    <row r="105" spans="1:27" ht="12.95" customHeight="1">
      <c r="A105" s="390"/>
      <c r="B105" s="390"/>
      <c r="C105" s="390"/>
      <c r="D105" s="390"/>
      <c r="E105" s="390"/>
      <c r="F105" s="390"/>
      <c r="G105" s="390"/>
      <c r="H105" s="390"/>
      <c r="I105" s="390"/>
      <c r="J105" s="390"/>
      <c r="T105" s="2054">
        <v>50</v>
      </c>
      <c r="U105" s="800" t="s">
        <v>719</v>
      </c>
      <c r="V105" s="802">
        <v>5</v>
      </c>
      <c r="W105" s="802">
        <v>25</v>
      </c>
      <c r="X105" s="802">
        <v>25</v>
      </c>
      <c r="Y105" s="802">
        <v>50</v>
      </c>
      <c r="Z105" s="802">
        <v>75</v>
      </c>
      <c r="AA105" s="441">
        <v>11</v>
      </c>
    </row>
    <row r="106" spans="1:27" ht="12.95" customHeight="1">
      <c r="A106" s="390"/>
      <c r="B106" s="390"/>
      <c r="C106" s="390"/>
      <c r="D106" s="390"/>
      <c r="E106" s="390"/>
      <c r="F106" s="390"/>
      <c r="G106" s="390"/>
      <c r="H106" s="390"/>
      <c r="I106" s="390"/>
      <c r="J106" s="390"/>
      <c r="T106" s="2054"/>
      <c r="U106" s="800" t="s">
        <v>721</v>
      </c>
      <c r="V106" s="803">
        <v>2</v>
      </c>
      <c r="W106" s="803">
        <v>20</v>
      </c>
      <c r="X106" s="803">
        <v>20</v>
      </c>
      <c r="Y106" s="803">
        <v>20</v>
      </c>
      <c r="Z106" s="803">
        <v>0</v>
      </c>
      <c r="AA106" s="441">
        <v>12</v>
      </c>
    </row>
  </sheetData>
  <mergeCells count="245">
    <mergeCell ref="T103:T104"/>
    <mergeCell ref="T105:T106"/>
    <mergeCell ref="D101:E101"/>
    <mergeCell ref="F101:G101"/>
    <mergeCell ref="H101:I101"/>
    <mergeCell ref="J101:K101"/>
    <mergeCell ref="T101:T102"/>
    <mergeCell ref="B102:C102"/>
    <mergeCell ref="D102:E102"/>
    <mergeCell ref="F102:G102"/>
    <mergeCell ref="H102:I102"/>
    <mergeCell ref="J102:K102"/>
    <mergeCell ref="B99:B101"/>
    <mergeCell ref="D99:E99"/>
    <mergeCell ref="F99:G99"/>
    <mergeCell ref="H99:I99"/>
    <mergeCell ref="J99:K99"/>
    <mergeCell ref="T99:T100"/>
    <mergeCell ref="D100:E100"/>
    <mergeCell ref="F100:G100"/>
    <mergeCell ref="H100:I100"/>
    <mergeCell ref="J100:K100"/>
    <mergeCell ref="D97:E97"/>
    <mergeCell ref="F97:G97"/>
    <mergeCell ref="H97:I97"/>
    <mergeCell ref="J97:K97"/>
    <mergeCell ref="T97:T98"/>
    <mergeCell ref="B98:C98"/>
    <mergeCell ref="D98:E98"/>
    <mergeCell ref="F98:G98"/>
    <mergeCell ref="H98:I98"/>
    <mergeCell ref="J98:K98"/>
    <mergeCell ref="B95:B97"/>
    <mergeCell ref="D95:E95"/>
    <mergeCell ref="F95:G95"/>
    <mergeCell ref="H95:I95"/>
    <mergeCell ref="J95:K95"/>
    <mergeCell ref="T95:T96"/>
    <mergeCell ref="D96:E96"/>
    <mergeCell ref="F96:G96"/>
    <mergeCell ref="H96:I96"/>
    <mergeCell ref="J96:K96"/>
    <mergeCell ref="T92:U92"/>
    <mergeCell ref="T93:T94"/>
    <mergeCell ref="B94:C94"/>
    <mergeCell ref="D94:E94"/>
    <mergeCell ref="F94:G94"/>
    <mergeCell ref="H94:I94"/>
    <mergeCell ref="J94:K94"/>
    <mergeCell ref="B88:C88"/>
    <mergeCell ref="D88:E88"/>
    <mergeCell ref="F88:G88"/>
    <mergeCell ref="H88:I88"/>
    <mergeCell ref="J88:K88"/>
    <mergeCell ref="S88:S89"/>
    <mergeCell ref="S86:T86"/>
    <mergeCell ref="B87:C87"/>
    <mergeCell ref="D87:E87"/>
    <mergeCell ref="F87:G87"/>
    <mergeCell ref="H87:I87"/>
    <mergeCell ref="J87:K87"/>
    <mergeCell ref="S87:T87"/>
    <mergeCell ref="B85:B86"/>
    <mergeCell ref="D85:E85"/>
    <mergeCell ref="F85:G85"/>
    <mergeCell ref="H85:I85"/>
    <mergeCell ref="J85:K85"/>
    <mergeCell ref="S85:T85"/>
    <mergeCell ref="D86:E86"/>
    <mergeCell ref="F86:G86"/>
    <mergeCell ref="H86:I86"/>
    <mergeCell ref="J86:K86"/>
    <mergeCell ref="U83:X83"/>
    <mergeCell ref="Y83:AB83"/>
    <mergeCell ref="AC83:AF83"/>
    <mergeCell ref="AG83:AJ83"/>
    <mergeCell ref="B84:C84"/>
    <mergeCell ref="D84:E84"/>
    <mergeCell ref="F84:G84"/>
    <mergeCell ref="H84:I84"/>
    <mergeCell ref="J84:K84"/>
    <mergeCell ref="N70:O70"/>
    <mergeCell ref="B72:C74"/>
    <mergeCell ref="B75:D75"/>
    <mergeCell ref="B78:C78"/>
    <mergeCell ref="B83:C83"/>
    <mergeCell ref="D83:E83"/>
    <mergeCell ref="F83:G83"/>
    <mergeCell ref="H83:I83"/>
    <mergeCell ref="J83:K83"/>
    <mergeCell ref="B70:D71"/>
    <mergeCell ref="E70:E71"/>
    <mergeCell ref="F70:G70"/>
    <mergeCell ref="H70:I70"/>
    <mergeCell ref="J70:K70"/>
    <mergeCell ref="L70:M70"/>
    <mergeCell ref="B66:C66"/>
    <mergeCell ref="D66:G66"/>
    <mergeCell ref="H66:K66"/>
    <mergeCell ref="L66:O66"/>
    <mergeCell ref="B67:C67"/>
    <mergeCell ref="D67:G67"/>
    <mergeCell ref="H67:K67"/>
    <mergeCell ref="L67:O67"/>
    <mergeCell ref="B64:C64"/>
    <mergeCell ref="D64:G64"/>
    <mergeCell ref="H64:K64"/>
    <mergeCell ref="L64:O64"/>
    <mergeCell ref="B65:C65"/>
    <mergeCell ref="D65:G65"/>
    <mergeCell ref="H65:K65"/>
    <mergeCell ref="L65:O65"/>
    <mergeCell ref="B61:F61"/>
    <mergeCell ref="G61:I61"/>
    <mergeCell ref="J61:L61"/>
    <mergeCell ref="M61:O61"/>
    <mergeCell ref="G58:I58"/>
    <mergeCell ref="J58:L58"/>
    <mergeCell ref="M58:O58"/>
    <mergeCell ref="D59:F59"/>
    <mergeCell ref="G59:I59"/>
    <mergeCell ref="J59:L59"/>
    <mergeCell ref="M59:O59"/>
    <mergeCell ref="B57:C60"/>
    <mergeCell ref="D57:F57"/>
    <mergeCell ref="G57:I57"/>
    <mergeCell ref="J57:L57"/>
    <mergeCell ref="M57:O57"/>
    <mergeCell ref="D58:F58"/>
    <mergeCell ref="D60:F60"/>
    <mergeCell ref="G60:I60"/>
    <mergeCell ref="J60:L60"/>
    <mergeCell ref="M60:O60"/>
    <mergeCell ref="G54:I54"/>
    <mergeCell ref="J54:L54"/>
    <mergeCell ref="M54:O54"/>
    <mergeCell ref="D55:F55"/>
    <mergeCell ref="G55:I55"/>
    <mergeCell ref="J55:L55"/>
    <mergeCell ref="M55:O55"/>
    <mergeCell ref="B51:F52"/>
    <mergeCell ref="G51:I52"/>
    <mergeCell ref="J51:L52"/>
    <mergeCell ref="M51:O52"/>
    <mergeCell ref="B53:C56"/>
    <mergeCell ref="D53:F53"/>
    <mergeCell ref="G53:I53"/>
    <mergeCell ref="J53:L53"/>
    <mergeCell ref="M53:O53"/>
    <mergeCell ref="D54:F54"/>
    <mergeCell ref="D56:F56"/>
    <mergeCell ref="G56:I56"/>
    <mergeCell ref="J56:L56"/>
    <mergeCell ref="M56:O56"/>
    <mergeCell ref="L48:M48"/>
    <mergeCell ref="N48:O48"/>
    <mergeCell ref="N46:O46"/>
    <mergeCell ref="U46:U48"/>
    <mergeCell ref="B47:C47"/>
    <mergeCell ref="D47:E47"/>
    <mergeCell ref="F47:G47"/>
    <mergeCell ref="H47:I47"/>
    <mergeCell ref="J47:K47"/>
    <mergeCell ref="L47:M47"/>
    <mergeCell ref="N47:O47"/>
    <mergeCell ref="B48:C48"/>
    <mergeCell ref="B46:C46"/>
    <mergeCell ref="D46:E46"/>
    <mergeCell ref="F46:G46"/>
    <mergeCell ref="H46:I46"/>
    <mergeCell ref="J46:K46"/>
    <mergeCell ref="L46:M46"/>
    <mergeCell ref="A32:B33"/>
    <mergeCell ref="P32:P33"/>
    <mergeCell ref="A34:B36"/>
    <mergeCell ref="T34:T48"/>
    <mergeCell ref="U34:U36"/>
    <mergeCell ref="A37:C37"/>
    <mergeCell ref="U37:U39"/>
    <mergeCell ref="D39:E39"/>
    <mergeCell ref="U40:U42"/>
    <mergeCell ref="U43:U45"/>
    <mergeCell ref="B44:C45"/>
    <mergeCell ref="D44:G44"/>
    <mergeCell ref="H44:K44"/>
    <mergeCell ref="L44:O44"/>
    <mergeCell ref="D45:E45"/>
    <mergeCell ref="F45:G45"/>
    <mergeCell ref="H45:I45"/>
    <mergeCell ref="J45:K45"/>
    <mergeCell ref="L45:M45"/>
    <mergeCell ref="N45:O45"/>
    <mergeCell ref="D48:E48"/>
    <mergeCell ref="F48:G48"/>
    <mergeCell ref="H48:I48"/>
    <mergeCell ref="J48:K48"/>
    <mergeCell ref="X26:X27"/>
    <mergeCell ref="Y26:Y27"/>
    <mergeCell ref="Z26:Z27"/>
    <mergeCell ref="B28:B29"/>
    <mergeCell ref="P28:P29"/>
    <mergeCell ref="A30:B31"/>
    <mergeCell ref="P30:P31"/>
    <mergeCell ref="A22:A29"/>
    <mergeCell ref="B22:B23"/>
    <mergeCell ref="P22:P23"/>
    <mergeCell ref="B24:B25"/>
    <mergeCell ref="P24:P25"/>
    <mergeCell ref="T25:W25"/>
    <mergeCell ref="B26:B27"/>
    <mergeCell ref="P26:P27"/>
    <mergeCell ref="W26:W27"/>
    <mergeCell ref="AA20:AB20"/>
    <mergeCell ref="AC20:AD20"/>
    <mergeCell ref="AE20:AF20"/>
    <mergeCell ref="U21:V21"/>
    <mergeCell ref="W21:X21"/>
    <mergeCell ref="Y21:Z21"/>
    <mergeCell ref="AA21:AB21"/>
    <mergeCell ref="AC21:AD21"/>
    <mergeCell ref="AE21:AF21"/>
    <mergeCell ref="L20:M20"/>
    <mergeCell ref="N20:O20"/>
    <mergeCell ref="P20:P21"/>
    <mergeCell ref="U20:V20"/>
    <mergeCell ref="W20:X20"/>
    <mergeCell ref="Y20:Z20"/>
    <mergeCell ref="A20:B21"/>
    <mergeCell ref="C20:C21"/>
    <mergeCell ref="D20:E20"/>
    <mergeCell ref="F20:G20"/>
    <mergeCell ref="H20:I20"/>
    <mergeCell ref="J20:K20"/>
    <mergeCell ref="AC15:AD15"/>
    <mergeCell ref="W16:X16"/>
    <mergeCell ref="Y16:Z16"/>
    <mergeCell ref="AA16:AB16"/>
    <mergeCell ref="AC16:AD16"/>
    <mergeCell ref="T18:W18"/>
    <mergeCell ref="A1:M1"/>
    <mergeCell ref="T4:W4"/>
    <mergeCell ref="T13:W13"/>
    <mergeCell ref="W15:X15"/>
    <mergeCell ref="Y15:Z15"/>
    <mergeCell ref="AA15:AB15"/>
  </mergeCells>
  <phoneticPr fontId="18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landscape" r:id="rId1"/>
  <rowBreaks count="2" manualBreakCount="2">
    <brk id="40" max="15" man="1"/>
    <brk id="79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2">
    <tabColor theme="7" tint="0.39997558519241921"/>
  </sheetPr>
  <dimension ref="A1:G34"/>
  <sheetViews>
    <sheetView view="pageBreakPreview" zoomScaleNormal="100" zoomScaleSheetLayoutView="100" workbookViewId="0">
      <selection activeCell="Q18" sqref="Q18"/>
    </sheetView>
  </sheetViews>
  <sheetFormatPr defaultColWidth="8" defaultRowHeight="13.5"/>
  <cols>
    <col min="1" max="1" width="20.6640625" style="260" customWidth="1"/>
    <col min="2" max="7" width="9.77734375" style="260" customWidth="1"/>
    <col min="8" max="16384" width="8" style="260"/>
  </cols>
  <sheetData>
    <row r="1" spans="1:7">
      <c r="A1" s="1595" t="s">
        <v>1871</v>
      </c>
    </row>
    <row r="3" spans="1:7">
      <c r="A3" s="2060" t="s">
        <v>441</v>
      </c>
      <c r="B3" s="2060" t="s">
        <v>49</v>
      </c>
      <c r="C3" s="2060" t="s">
        <v>442</v>
      </c>
      <c r="D3" s="2060"/>
      <c r="E3" s="2060"/>
      <c r="F3" s="2060"/>
      <c r="G3" s="2060"/>
    </row>
    <row r="4" spans="1:7">
      <c r="A4" s="2060"/>
      <c r="B4" s="2060"/>
      <c r="C4" s="2060" t="s">
        <v>48</v>
      </c>
      <c r="D4" s="806" t="s">
        <v>443</v>
      </c>
      <c r="E4" s="806" t="s">
        <v>444</v>
      </c>
      <c r="F4" s="806" t="s">
        <v>445</v>
      </c>
      <c r="G4" s="806" t="s">
        <v>446</v>
      </c>
    </row>
    <row r="5" spans="1:7">
      <c r="A5" s="2060"/>
      <c r="B5" s="2060"/>
      <c r="C5" s="2060"/>
      <c r="D5" s="806" t="s">
        <v>447</v>
      </c>
      <c r="E5" s="806" t="s">
        <v>447</v>
      </c>
      <c r="F5" s="806" t="s">
        <v>447</v>
      </c>
      <c r="G5" s="806" t="s">
        <v>447</v>
      </c>
    </row>
    <row r="6" spans="1:7">
      <c r="A6" s="807" t="s">
        <v>448</v>
      </c>
      <c r="B6" s="808"/>
      <c r="C6" s="809"/>
      <c r="D6" s="809"/>
      <c r="E6" s="809"/>
      <c r="F6" s="809"/>
      <c r="G6" s="809"/>
    </row>
    <row r="7" spans="1:7">
      <c r="A7" s="2061" t="s">
        <v>449</v>
      </c>
      <c r="B7" s="2062" t="s">
        <v>450</v>
      </c>
      <c r="C7" s="809">
        <v>0</v>
      </c>
      <c r="D7" s="809">
        <v>2.1</v>
      </c>
      <c r="E7" s="809">
        <v>3.1</v>
      </c>
      <c r="F7" s="809">
        <v>3.9</v>
      </c>
      <c r="G7" s="809">
        <v>5.2</v>
      </c>
    </row>
    <row r="8" spans="1:7">
      <c r="A8" s="2061"/>
      <c r="B8" s="2062"/>
      <c r="C8" s="809">
        <f>C7*$B$10</f>
        <v>0</v>
      </c>
      <c r="D8" s="809">
        <f>D7*$B$10</f>
        <v>2.1</v>
      </c>
      <c r="E8" s="809">
        <f>E7*$B$10</f>
        <v>3.1</v>
      </c>
      <c r="F8" s="809">
        <f>F7*$B$10</f>
        <v>3.9</v>
      </c>
      <c r="G8" s="809">
        <f>G7*$B$10</f>
        <v>5.2</v>
      </c>
    </row>
    <row r="10" spans="1:7">
      <c r="A10" s="280" t="s">
        <v>451</v>
      </c>
      <c r="B10" s="280">
        <f>IF(COUNT(F14:F28)=0,1,PRODUCT(F14:F28))</f>
        <v>1</v>
      </c>
    </row>
    <row r="11" spans="1:7" ht="14.25" thickBot="1"/>
    <row r="12" spans="1:7">
      <c r="A12" s="810" t="s">
        <v>465</v>
      </c>
      <c r="B12" s="2065" t="s">
        <v>466</v>
      </c>
      <c r="C12" s="2065"/>
      <c r="D12" s="2065" t="s">
        <v>467</v>
      </c>
      <c r="E12" s="2066"/>
      <c r="F12" s="2067" t="s">
        <v>453</v>
      </c>
    </row>
    <row r="13" spans="1:7">
      <c r="A13" s="810" t="s">
        <v>452</v>
      </c>
      <c r="B13" s="811" t="s">
        <v>729</v>
      </c>
      <c r="C13" s="811" t="s">
        <v>730</v>
      </c>
      <c r="D13" s="811" t="s">
        <v>729</v>
      </c>
      <c r="E13" s="812" t="s">
        <v>730</v>
      </c>
      <c r="F13" s="2068"/>
    </row>
    <row r="14" spans="1:7">
      <c r="A14" s="810" t="s">
        <v>454</v>
      </c>
      <c r="B14" s="813">
        <f>VLOOKUP($A$21,$A$20:$E$22,2,FALSE)</f>
        <v>1</v>
      </c>
      <c r="C14" s="813">
        <f>VLOOKUP($A$21,$A$20:$E$22,3,FALSE)</f>
        <v>0.6</v>
      </c>
      <c r="D14" s="813">
        <f>VLOOKUP($A$21,$A$20:$E$22,4,FALSE)</f>
        <v>1.4</v>
      </c>
      <c r="E14" s="813">
        <f>VLOOKUP($A$21,$A$20:$E$22,5,FALSE)</f>
        <v>1</v>
      </c>
      <c r="F14" s="2063" t="str">
        <f>IFERROR(ROUND(SUMPRODUCT(B14:E14,B15:E15)/SUM(B15:E15),1),"")</f>
        <v/>
      </c>
    </row>
    <row r="15" spans="1:7" ht="14.25" thickBot="1">
      <c r="A15" s="810" t="s">
        <v>455</v>
      </c>
      <c r="B15" s="282">
        <v>0</v>
      </c>
      <c r="C15" s="282" t="e">
        <f>'산근2-0 (현장조사물량산출)'!F12/1000</f>
        <v>#REF!</v>
      </c>
      <c r="D15" s="282">
        <v>0</v>
      </c>
      <c r="E15" s="282">
        <v>0</v>
      </c>
      <c r="F15" s="2064"/>
    </row>
    <row r="17" spans="1:6">
      <c r="A17" s="814" t="s">
        <v>731</v>
      </c>
      <c r="B17" s="815"/>
      <c r="C17" s="815"/>
      <c r="D17" s="815"/>
      <c r="E17" s="815"/>
    </row>
    <row r="18" spans="1:6">
      <c r="A18" s="283" t="s">
        <v>463</v>
      </c>
      <c r="B18" s="2066" t="s">
        <v>732</v>
      </c>
      <c r="C18" s="2069"/>
      <c r="D18" s="2066" t="s">
        <v>733</v>
      </c>
      <c r="E18" s="2069"/>
    </row>
    <row r="19" spans="1:6">
      <c r="A19" s="283" t="s">
        <v>452</v>
      </c>
      <c r="B19" s="811" t="s">
        <v>729</v>
      </c>
      <c r="C19" s="811" t="s">
        <v>730</v>
      </c>
      <c r="D19" s="811" t="s">
        <v>729</v>
      </c>
      <c r="E19" s="811" t="s">
        <v>734</v>
      </c>
    </row>
    <row r="20" spans="1:6">
      <c r="A20" s="284" t="s">
        <v>456</v>
      </c>
      <c r="B20" s="816">
        <v>1</v>
      </c>
      <c r="C20" s="816">
        <v>0.7</v>
      </c>
      <c r="D20" s="816">
        <v>1.3</v>
      </c>
      <c r="E20" s="816">
        <v>1</v>
      </c>
    </row>
    <row r="21" spans="1:6">
      <c r="A21" s="284" t="s">
        <v>457</v>
      </c>
      <c r="B21" s="816">
        <v>1</v>
      </c>
      <c r="C21" s="816">
        <v>0.6</v>
      </c>
      <c r="D21" s="816">
        <v>1.4</v>
      </c>
      <c r="E21" s="816">
        <v>1</v>
      </c>
    </row>
    <row r="22" spans="1:6">
      <c r="A22" s="284" t="s">
        <v>735</v>
      </c>
      <c r="B22" s="813">
        <v>1</v>
      </c>
      <c r="C22" s="813">
        <v>0.6</v>
      </c>
      <c r="D22" s="813">
        <v>1.4</v>
      </c>
      <c r="E22" s="813">
        <v>1</v>
      </c>
    </row>
    <row r="25" spans="1:6" ht="14.25" thickBot="1"/>
    <row r="26" spans="1:6">
      <c r="A26" s="810" t="s">
        <v>458</v>
      </c>
      <c r="B26" s="811" t="s">
        <v>459</v>
      </c>
      <c r="C26" s="811" t="s">
        <v>460</v>
      </c>
      <c r="D26" s="811" t="s">
        <v>461</v>
      </c>
      <c r="E26" s="811" t="s">
        <v>462</v>
      </c>
      <c r="F26" s="817" t="s">
        <v>453</v>
      </c>
    </row>
    <row r="27" spans="1:6">
      <c r="A27" s="810" t="s">
        <v>454</v>
      </c>
      <c r="B27" s="813">
        <f>VLOOKUP($A$33,$A$32:$E$34,2,FALSE)</f>
        <v>1</v>
      </c>
      <c r="C27" s="813">
        <f>VLOOKUP($A$33,$A$32:$E$34,3,FALSE)</f>
        <v>1.3</v>
      </c>
      <c r="D27" s="813">
        <f>VLOOKUP($A$33,$A$32:$E$34,4,FALSE)</f>
        <v>0.6</v>
      </c>
      <c r="E27" s="813">
        <f>VLOOKUP($A$33,$A$32:$E$34,5,FALSE)</f>
        <v>0.2</v>
      </c>
      <c r="F27" s="2063" t="str">
        <f>IFERROR(ROUND(SUMPRODUCT(B27:E27,B28:E28)/SUM(B28:E28),1),"")</f>
        <v/>
      </c>
    </row>
    <row r="28" spans="1:6" ht="14.25" thickBot="1">
      <c r="A28" s="810" t="s">
        <v>455</v>
      </c>
      <c r="B28" s="282">
        <v>0</v>
      </c>
      <c r="C28" s="282" t="e">
        <f>C15</f>
        <v>#REF!</v>
      </c>
      <c r="D28" s="282">
        <v>0</v>
      </c>
      <c r="E28" s="387">
        <v>0</v>
      </c>
      <c r="F28" s="2064"/>
    </row>
    <row r="30" spans="1:6">
      <c r="A30" s="814" t="s">
        <v>736</v>
      </c>
      <c r="B30" s="815"/>
      <c r="C30" s="815"/>
      <c r="D30" s="815"/>
      <c r="E30" s="815"/>
    </row>
    <row r="31" spans="1:6">
      <c r="A31" s="283" t="s">
        <v>463</v>
      </c>
      <c r="B31" s="811" t="s">
        <v>459</v>
      </c>
      <c r="C31" s="811" t="s">
        <v>460</v>
      </c>
      <c r="D31" s="811" t="s">
        <v>461</v>
      </c>
      <c r="E31" s="386" t="s">
        <v>462</v>
      </c>
    </row>
    <row r="32" spans="1:6">
      <c r="A32" s="284" t="s">
        <v>456</v>
      </c>
      <c r="B32" s="816">
        <v>1</v>
      </c>
      <c r="C32" s="816">
        <v>1.1000000000000001</v>
      </c>
      <c r="D32" s="816" t="s">
        <v>464</v>
      </c>
      <c r="E32" s="818" t="s">
        <v>464</v>
      </c>
    </row>
    <row r="33" spans="1:5">
      <c r="A33" s="284" t="s">
        <v>457</v>
      </c>
      <c r="B33" s="281">
        <v>1</v>
      </c>
      <c r="C33" s="281">
        <v>1.3</v>
      </c>
      <c r="D33" s="284">
        <v>0.6</v>
      </c>
      <c r="E33" s="284">
        <v>0.2</v>
      </c>
    </row>
    <row r="34" spans="1:5">
      <c r="A34" s="284" t="s">
        <v>735</v>
      </c>
      <c r="B34" s="281">
        <v>1</v>
      </c>
      <c r="C34" s="281">
        <v>1.3</v>
      </c>
      <c r="D34" s="284">
        <v>0.6</v>
      </c>
      <c r="E34" s="284">
        <v>0.2</v>
      </c>
    </row>
  </sheetData>
  <mergeCells count="13">
    <mergeCell ref="F27:F28"/>
    <mergeCell ref="B12:C12"/>
    <mergeCell ref="D12:E12"/>
    <mergeCell ref="F12:F13"/>
    <mergeCell ref="F14:F15"/>
    <mergeCell ref="B18:C18"/>
    <mergeCell ref="D18:E18"/>
    <mergeCell ref="A3:A5"/>
    <mergeCell ref="B3:B5"/>
    <mergeCell ref="C3:G3"/>
    <mergeCell ref="C4:C5"/>
    <mergeCell ref="A7:A8"/>
    <mergeCell ref="B7:B8"/>
  </mergeCells>
  <phoneticPr fontId="18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98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7">
    <tabColor theme="7" tint="0.39997558519241921"/>
  </sheetPr>
  <dimension ref="A1:Q49"/>
  <sheetViews>
    <sheetView view="pageBreakPreview" zoomScale="85" zoomScaleNormal="70" zoomScaleSheetLayoutView="85" workbookViewId="0">
      <selection activeCell="Q18" sqref="Q18"/>
    </sheetView>
  </sheetViews>
  <sheetFormatPr defaultColWidth="8.88671875" defaultRowHeight="24.95" customHeight="1"/>
  <cols>
    <col min="1" max="1" width="15.77734375" style="956" customWidth="1"/>
    <col min="2" max="3" width="6.77734375" style="956" customWidth="1"/>
    <col min="4" max="5" width="7.6640625" style="956" customWidth="1"/>
    <col min="6" max="6" width="8.21875" style="956" bestFit="1" customWidth="1"/>
    <col min="7" max="10" width="5.77734375" style="956" customWidth="1"/>
    <col min="11" max="11" width="5.77734375" style="957" customWidth="1"/>
    <col min="12" max="12" width="5.33203125" style="957" customWidth="1"/>
    <col min="13" max="16384" width="8.88671875" style="957"/>
  </cols>
  <sheetData>
    <row r="1" spans="1:13" ht="24.95" customHeight="1">
      <c r="A1" s="956" t="s">
        <v>1872</v>
      </c>
    </row>
    <row r="2" spans="1:13" s="959" customFormat="1" ht="49.9" customHeight="1">
      <c r="A2" s="2088" t="s">
        <v>813</v>
      </c>
      <c r="B2" s="2088"/>
      <c r="C2" s="2088"/>
      <c r="D2" s="2088"/>
      <c r="E2" s="2088"/>
      <c r="F2" s="2088"/>
      <c r="G2" s="2088"/>
      <c r="H2" s="2088"/>
      <c r="I2" s="2088"/>
      <c r="J2" s="2088"/>
      <c r="K2" s="2088"/>
      <c r="L2" s="958"/>
    </row>
    <row r="3" spans="1:13" s="959" customFormat="1" ht="21" customHeight="1">
      <c r="A3" s="960"/>
      <c r="B3" s="960"/>
      <c r="C3" s="960"/>
      <c r="D3" s="960"/>
      <c r="E3" s="960"/>
      <c r="F3" s="960"/>
      <c r="G3" s="960"/>
      <c r="H3" s="960"/>
      <c r="I3" s="960"/>
      <c r="J3" s="960"/>
      <c r="K3" s="961"/>
      <c r="L3" s="958"/>
    </row>
    <row r="4" spans="1:13" s="959" customFormat="1" ht="21" customHeight="1">
      <c r="A4" s="962" t="s">
        <v>814</v>
      </c>
      <c r="B4" s="960"/>
      <c r="C4" s="960"/>
      <c r="D4" s="960"/>
      <c r="E4" s="960"/>
    </row>
    <row r="5" spans="1:13" s="959" customFormat="1" ht="21" customHeight="1">
      <c r="A5" s="963"/>
      <c r="B5" s="2089"/>
      <c r="C5" s="2089"/>
      <c r="D5" s="964"/>
      <c r="E5" s="965"/>
      <c r="F5" s="966"/>
      <c r="G5" s="967"/>
      <c r="H5" s="968"/>
      <c r="I5" s="969"/>
      <c r="J5" s="970"/>
      <c r="K5" s="971"/>
      <c r="L5" s="958"/>
    </row>
    <row r="6" spans="1:13" s="959" customFormat="1" ht="36" customHeight="1">
      <c r="A6" s="2090" t="s">
        <v>815</v>
      </c>
      <c r="B6" s="2091"/>
      <c r="C6" s="2091"/>
      <c r="D6" s="2091"/>
      <c r="E6" s="2091"/>
      <c r="F6" s="2091"/>
      <c r="G6" s="2091"/>
      <c r="H6" s="2091"/>
      <c r="I6" s="2091"/>
      <c r="J6" s="2092"/>
      <c r="K6" s="972"/>
      <c r="L6" s="958"/>
    </row>
    <row r="7" spans="1:13" s="959" customFormat="1" ht="21" customHeight="1">
      <c r="A7" s="973" t="s">
        <v>816</v>
      </c>
      <c r="B7" s="974"/>
      <c r="C7" s="974"/>
      <c r="D7" s="974"/>
      <c r="E7" s="974"/>
      <c r="F7" s="974"/>
      <c r="G7" s="974"/>
      <c r="H7" s="974"/>
      <c r="I7" s="974"/>
      <c r="J7" s="975"/>
      <c r="K7" s="973"/>
      <c r="L7" s="958"/>
    </row>
    <row r="8" spans="1:13" s="959" customFormat="1" ht="21" customHeight="1">
      <c r="A8" s="976"/>
      <c r="B8" s="977"/>
      <c r="C8" s="978"/>
      <c r="D8" s="979"/>
      <c r="E8" s="979"/>
      <c r="F8" s="980"/>
      <c r="G8" s="981"/>
      <c r="H8" s="982"/>
      <c r="I8" s="983"/>
      <c r="J8" s="984"/>
      <c r="K8" s="971"/>
      <c r="L8" s="958"/>
    </row>
    <row r="9" spans="1:13" s="959" customFormat="1" ht="21" customHeight="1">
      <c r="A9" s="985"/>
      <c r="B9" s="986"/>
      <c r="C9" s="986"/>
      <c r="D9" s="986"/>
      <c r="E9" s="986"/>
      <c r="F9" s="987"/>
      <c r="G9" s="988"/>
      <c r="H9" s="989"/>
      <c r="I9" s="990"/>
      <c r="J9" s="960"/>
    </row>
    <row r="10" spans="1:13" s="959" customFormat="1" ht="21" customHeight="1">
      <c r="A10" s="962" t="s">
        <v>817</v>
      </c>
      <c r="B10" s="988"/>
      <c r="C10" s="989"/>
      <c r="D10" s="990"/>
      <c r="E10" s="991"/>
      <c r="F10" s="990"/>
      <c r="G10" s="992"/>
      <c r="H10" s="988"/>
      <c r="I10" s="988"/>
      <c r="J10" s="988"/>
      <c r="K10" s="992"/>
      <c r="L10" s="993"/>
    </row>
    <row r="11" spans="1:13" s="1000" customFormat="1" ht="27.95" customHeight="1">
      <c r="A11" s="994" t="s">
        <v>818</v>
      </c>
      <c r="B11" s="995"/>
      <c r="C11" s="995"/>
      <c r="D11" s="995"/>
      <c r="E11" s="995"/>
      <c r="F11" s="996"/>
      <c r="G11" s="997"/>
      <c r="H11" s="998"/>
      <c r="I11" s="998"/>
      <c r="J11" s="998"/>
      <c r="K11" s="998"/>
      <c r="L11" s="999"/>
    </row>
    <row r="12" spans="1:13" s="1000" customFormat="1" ht="27.95" customHeight="1">
      <c r="A12" s="994" t="s">
        <v>819</v>
      </c>
      <c r="B12" s="995"/>
      <c r="C12" s="995"/>
      <c r="D12" s="995"/>
      <c r="E12" s="995"/>
      <c r="F12" s="996"/>
      <c r="G12" s="997"/>
      <c r="H12" s="998"/>
      <c r="I12" s="998"/>
      <c r="J12" s="998"/>
      <c r="K12" s="998"/>
      <c r="L12" s="999"/>
    </row>
    <row r="13" spans="1:13" s="1000" customFormat="1" ht="27.95" customHeight="1">
      <c r="A13" s="1001" t="s">
        <v>564</v>
      </c>
      <c r="B13" s="2093" t="s">
        <v>237</v>
      </c>
      <c r="C13" s="2094"/>
      <c r="D13" s="2093" t="s">
        <v>856</v>
      </c>
      <c r="E13" s="2095"/>
      <c r="F13" s="2094"/>
      <c r="G13" s="997"/>
      <c r="H13" s="998"/>
      <c r="I13" s="998"/>
      <c r="J13" s="998"/>
      <c r="K13" s="998"/>
      <c r="L13" s="999"/>
    </row>
    <row r="14" spans="1:13" s="1000" customFormat="1" ht="27.95" customHeight="1">
      <c r="A14" s="1002" t="s">
        <v>820</v>
      </c>
      <c r="B14" s="2086" t="s">
        <v>821</v>
      </c>
      <c r="C14" s="2080"/>
      <c r="D14" s="2078">
        <v>7.0000000000000007E-2</v>
      </c>
      <c r="E14" s="2079"/>
      <c r="F14" s="2080"/>
      <c r="G14" s="997"/>
      <c r="H14" s="998"/>
      <c r="I14" s="998"/>
      <c r="J14" s="998"/>
      <c r="K14" s="998"/>
      <c r="L14" s="999"/>
    </row>
    <row r="15" spans="1:13" s="1000" customFormat="1" ht="27.95" customHeight="1">
      <c r="A15" s="1002" t="s">
        <v>822</v>
      </c>
      <c r="B15" s="2086" t="s">
        <v>823</v>
      </c>
      <c r="C15" s="2080"/>
      <c r="D15" s="2078">
        <v>0.06</v>
      </c>
      <c r="E15" s="2079"/>
      <c r="F15" s="2080"/>
      <c r="G15" s="997"/>
      <c r="H15" s="998"/>
      <c r="I15" s="998"/>
      <c r="J15" s="998"/>
      <c r="K15" s="998"/>
      <c r="L15" s="999"/>
      <c r="M15" s="1003"/>
    </row>
    <row r="16" spans="1:13" s="1000" customFormat="1" ht="24.95" customHeight="1">
      <c r="A16" s="994"/>
      <c r="B16" s="1004"/>
      <c r="C16" s="1004"/>
      <c r="D16" s="1004"/>
      <c r="E16" s="1004"/>
      <c r="F16" s="1004"/>
      <c r="G16" s="997"/>
      <c r="H16" s="998"/>
      <c r="I16" s="998"/>
      <c r="J16" s="998"/>
      <c r="K16" s="998"/>
      <c r="L16" s="999"/>
    </row>
    <row r="17" spans="1:14" s="1000" customFormat="1" ht="24.95" customHeight="1">
      <c r="A17" s="994" t="s">
        <v>824</v>
      </c>
      <c r="B17" s="1004"/>
      <c r="C17" s="1004"/>
      <c r="D17" s="1004"/>
      <c r="E17" s="1004"/>
      <c r="F17" s="1004"/>
      <c r="G17" s="997"/>
      <c r="H17" s="998"/>
      <c r="I17" s="998"/>
      <c r="J17" s="998"/>
      <c r="K17" s="998"/>
      <c r="L17" s="999"/>
    </row>
    <row r="18" spans="1:14" s="1000" customFormat="1" ht="24.95" customHeight="1">
      <c r="A18" s="1001" t="s">
        <v>825</v>
      </c>
      <c r="B18" s="2087" t="s">
        <v>826</v>
      </c>
      <c r="C18" s="2087"/>
      <c r="D18" s="2087" t="s">
        <v>856</v>
      </c>
      <c r="E18" s="2087"/>
      <c r="F18" s="2087"/>
      <c r="G18" s="997"/>
      <c r="H18" s="998"/>
      <c r="I18" s="998"/>
      <c r="J18" s="998"/>
      <c r="K18" s="998"/>
      <c r="L18" s="999"/>
    </row>
    <row r="19" spans="1:14" s="1000" customFormat="1" ht="24.95" customHeight="1">
      <c r="A19" s="1005" t="s">
        <v>827</v>
      </c>
      <c r="B19" s="2077">
        <v>4800</v>
      </c>
      <c r="C19" s="2077"/>
      <c r="D19" s="2078">
        <v>0.12</v>
      </c>
      <c r="E19" s="2079"/>
      <c r="F19" s="2080"/>
      <c r="G19" s="997"/>
      <c r="H19" s="998"/>
      <c r="I19" s="998"/>
      <c r="J19" s="998"/>
      <c r="K19" s="998"/>
      <c r="L19" s="999"/>
    </row>
    <row r="20" spans="1:14" s="1000" customFormat="1" ht="24.95" customHeight="1">
      <c r="A20" s="1005" t="s">
        <v>828</v>
      </c>
      <c r="B20" s="2077">
        <v>7500</v>
      </c>
      <c r="C20" s="2077"/>
      <c r="D20" s="2078">
        <v>0.14000000000000001</v>
      </c>
      <c r="E20" s="2079"/>
      <c r="F20" s="2080"/>
      <c r="G20" s="997"/>
      <c r="H20" s="998"/>
      <c r="I20" s="998"/>
      <c r="J20" s="998"/>
      <c r="K20" s="998"/>
      <c r="L20" s="999"/>
    </row>
    <row r="21" spans="1:14" s="1000" customFormat="1" ht="24.95" customHeight="1">
      <c r="A21" s="1005" t="s">
        <v>829</v>
      </c>
      <c r="B21" s="2077">
        <v>10800</v>
      </c>
      <c r="C21" s="2077"/>
      <c r="D21" s="2078">
        <v>0.19</v>
      </c>
      <c r="E21" s="2079"/>
      <c r="F21" s="2080"/>
      <c r="G21" s="997"/>
      <c r="H21" s="998"/>
      <c r="I21" s="998"/>
      <c r="J21" s="998"/>
      <c r="K21" s="998"/>
      <c r="L21" s="999"/>
    </row>
    <row r="22" spans="1:14" s="1000" customFormat="1" ht="24.95" customHeight="1">
      <c r="A22" s="1005" t="s">
        <v>830</v>
      </c>
      <c r="B22" s="2077">
        <v>30000</v>
      </c>
      <c r="C22" s="2077"/>
      <c r="D22" s="2078">
        <v>0.35</v>
      </c>
      <c r="E22" s="2079"/>
      <c r="F22" s="2080"/>
      <c r="G22" s="997"/>
      <c r="H22" s="998"/>
      <c r="I22" s="998"/>
      <c r="J22" s="998"/>
      <c r="K22" s="998"/>
      <c r="L22" s="999"/>
    </row>
    <row r="23" spans="1:14" s="1000" customFormat="1" ht="24.95" customHeight="1">
      <c r="A23" s="1005" t="s">
        <v>831</v>
      </c>
      <c r="B23" s="2077">
        <v>43200</v>
      </c>
      <c r="C23" s="2077"/>
      <c r="D23" s="2078">
        <v>0.43</v>
      </c>
      <c r="E23" s="2079"/>
      <c r="F23" s="2080"/>
      <c r="G23" s="997"/>
      <c r="H23" s="998"/>
      <c r="I23" s="998"/>
      <c r="J23" s="998"/>
      <c r="K23" s="998"/>
      <c r="L23" s="999"/>
    </row>
    <row r="24" spans="1:14" s="1000" customFormat="1" ht="24.95" customHeight="1">
      <c r="A24" s="1248" t="s">
        <v>832</v>
      </c>
      <c r="B24" s="2081">
        <v>120000</v>
      </c>
      <c r="C24" s="2081"/>
      <c r="D24" s="2082">
        <v>0.91</v>
      </c>
      <c r="E24" s="2083"/>
      <c r="F24" s="2084"/>
      <c r="G24" s="997"/>
      <c r="H24" s="998"/>
      <c r="I24" s="998"/>
      <c r="J24" s="998"/>
      <c r="K24" s="998"/>
      <c r="L24" s="999"/>
    </row>
    <row r="25" spans="1:14" s="1000" customFormat="1" ht="24.95" customHeight="1">
      <c r="A25" s="1005" t="s">
        <v>833</v>
      </c>
      <c r="B25" s="2077">
        <v>172800</v>
      </c>
      <c r="C25" s="2077"/>
      <c r="D25" s="2078">
        <v>1.28</v>
      </c>
      <c r="E25" s="2079"/>
      <c r="F25" s="2080"/>
      <c r="G25" s="997"/>
      <c r="H25" s="998"/>
      <c r="I25" s="998"/>
      <c r="J25" s="998"/>
      <c r="K25" s="998"/>
      <c r="L25" s="999"/>
    </row>
    <row r="26" spans="1:14" s="1000" customFormat="1" ht="24.95" customHeight="1">
      <c r="A26" s="1005" t="s">
        <v>834</v>
      </c>
      <c r="B26" s="2077">
        <v>750000</v>
      </c>
      <c r="C26" s="2077"/>
      <c r="D26" s="2078">
        <v>2.56</v>
      </c>
      <c r="E26" s="2079"/>
      <c r="F26" s="2080"/>
      <c r="G26" s="997"/>
      <c r="H26" s="998"/>
      <c r="I26" s="998"/>
      <c r="J26" s="998"/>
      <c r="K26" s="998"/>
      <c r="L26" s="999"/>
    </row>
    <row r="27" spans="1:14" s="1000" customFormat="1" ht="24.95" customHeight="1">
      <c r="A27" s="1006" t="s">
        <v>835</v>
      </c>
      <c r="B27" s="995"/>
      <c r="C27" s="995"/>
      <c r="D27" s="995"/>
      <c r="E27" s="995"/>
      <c r="F27" s="996"/>
      <c r="G27" s="997"/>
      <c r="H27" s="998"/>
      <c r="I27" s="998"/>
      <c r="J27" s="998"/>
      <c r="K27" s="998"/>
      <c r="L27" s="999"/>
    </row>
    <row r="28" spans="1:14" s="1000" customFormat="1" ht="24.95" customHeight="1">
      <c r="A28" s="974"/>
      <c r="B28" s="995"/>
      <c r="C28" s="995"/>
      <c r="D28" s="995"/>
      <c r="E28" s="995"/>
      <c r="F28" s="996"/>
      <c r="G28" s="997"/>
      <c r="H28" s="998"/>
      <c r="I28" s="998"/>
      <c r="J28" s="998"/>
      <c r="K28" s="998"/>
      <c r="L28" s="999"/>
    </row>
    <row r="29" spans="1:14" ht="24.95" customHeight="1">
      <c r="A29" s="962" t="s">
        <v>836</v>
      </c>
      <c r="F29" s="1004"/>
      <c r="G29" s="1004"/>
      <c r="H29" s="1004"/>
      <c r="I29" s="1004"/>
      <c r="J29" s="1004"/>
      <c r="K29" s="1007"/>
    </row>
    <row r="30" spans="1:14" s="956" customFormat="1" ht="24.95" customHeight="1">
      <c r="A30" s="1008" t="s">
        <v>837</v>
      </c>
      <c r="B30" s="1008" t="s">
        <v>237</v>
      </c>
      <c r="C30" s="1008" t="s">
        <v>838</v>
      </c>
      <c r="D30" s="1008" t="s">
        <v>1083</v>
      </c>
      <c r="E30" s="1008" t="s">
        <v>839</v>
      </c>
      <c r="F30" s="1008" t="s">
        <v>840</v>
      </c>
      <c r="G30" s="2085" t="s">
        <v>238</v>
      </c>
      <c r="H30" s="2085"/>
      <c r="I30" s="2085"/>
      <c r="J30" s="2085"/>
      <c r="K30" s="2085"/>
      <c r="L30" s="957"/>
      <c r="M30" s="959" t="s">
        <v>380</v>
      </c>
      <c r="N30" s="1009">
        <f>'산근3 노임'!B28</f>
        <v>0</v>
      </c>
    </row>
    <row r="31" spans="1:14" s="956" customFormat="1" ht="24.95" customHeight="1">
      <c r="A31" s="1010" t="s">
        <v>841</v>
      </c>
      <c r="B31" s="1010" t="s">
        <v>842</v>
      </c>
      <c r="C31" s="1010" t="e">
        <f>ROUNDDOWN(3+C32/2,0)</f>
        <v>#REF!</v>
      </c>
      <c r="D31" s="1010" t="e">
        <f>ROUNDUP(C31*0.5,0)</f>
        <v>#REF!</v>
      </c>
      <c r="E31" s="1011">
        <f>N31</f>
        <v>0</v>
      </c>
      <c r="F31" s="1012" t="e">
        <f>TRUNC(D31*E31)</f>
        <v>#REF!</v>
      </c>
      <c r="G31" s="2070" t="s">
        <v>843</v>
      </c>
      <c r="H31" s="2070"/>
      <c r="I31" s="2070"/>
      <c r="J31" s="2070"/>
      <c r="K31" s="2070"/>
      <c r="L31" s="957"/>
      <c r="M31" s="959">
        <f>$D$14</f>
        <v>7.0000000000000007E-2</v>
      </c>
      <c r="N31" s="1009">
        <f>TRUNC(M31*N30)</f>
        <v>0</v>
      </c>
    </row>
    <row r="32" spans="1:14" s="956" customFormat="1" ht="24.95" customHeight="1">
      <c r="A32" s="1010" t="s">
        <v>844</v>
      </c>
      <c r="B32" s="1010" t="s">
        <v>36</v>
      </c>
      <c r="C32" s="1010" t="e">
        <f>ROUND('산근2-0 (현장조사물량산출)'!F14/1000,2)</f>
        <v>#REF!</v>
      </c>
      <c r="D32" s="1010" t="e">
        <f>ROUNDUP(C32*0.5,0)</f>
        <v>#REF!</v>
      </c>
      <c r="E32" s="1011">
        <f>N32</f>
        <v>0</v>
      </c>
      <c r="F32" s="1012" t="e">
        <f>TRUNC(D32*E32)</f>
        <v>#REF!</v>
      </c>
      <c r="G32" s="2070" t="s">
        <v>845</v>
      </c>
      <c r="H32" s="2070"/>
      <c r="I32" s="2070"/>
      <c r="J32" s="2070"/>
      <c r="K32" s="2070"/>
      <c r="L32" s="957"/>
      <c r="M32" s="959">
        <f>$D$15</f>
        <v>0.06</v>
      </c>
      <c r="N32" s="1009">
        <f>TRUNC(M32*N30)</f>
        <v>0</v>
      </c>
    </row>
    <row r="33" spans="1:17" s="956" customFormat="1" ht="24.95" customHeight="1">
      <c r="A33" s="1010" t="s">
        <v>846</v>
      </c>
      <c r="B33" s="1010" t="s">
        <v>847</v>
      </c>
      <c r="C33" s="1249" t="e">
        <f>ROUND(N35/B24,2)</f>
        <v>#REF!</v>
      </c>
      <c r="D33" s="1010" t="e">
        <f>ROUNDUP(C33*0.2,0)</f>
        <v>#REF!</v>
      </c>
      <c r="E33" s="1011">
        <f>N33</f>
        <v>0</v>
      </c>
      <c r="F33" s="1012" t="e">
        <f>TRUNC(D33*E33)</f>
        <v>#REF!</v>
      </c>
      <c r="G33" s="2070" t="s">
        <v>848</v>
      </c>
      <c r="H33" s="2070"/>
      <c r="I33" s="2070"/>
      <c r="J33" s="2070"/>
      <c r="K33" s="2070"/>
      <c r="L33" s="957"/>
      <c r="M33" s="959">
        <f>D24</f>
        <v>0.91</v>
      </c>
      <c r="N33" s="1009">
        <f>TRUNC(M33*N30)</f>
        <v>0</v>
      </c>
    </row>
    <row r="34" spans="1:17" s="956" customFormat="1" ht="24.95" customHeight="1">
      <c r="A34" s="2071" t="s">
        <v>849</v>
      </c>
      <c r="B34" s="2072"/>
      <c r="C34" s="2072"/>
      <c r="D34" s="2072"/>
      <c r="E34" s="2073"/>
      <c r="F34" s="1012" t="e">
        <f>SUM(F31:F33)</f>
        <v>#REF!</v>
      </c>
      <c r="G34" s="2070"/>
      <c r="H34" s="2070"/>
      <c r="I34" s="2070"/>
      <c r="J34" s="2070"/>
      <c r="K34" s="2070"/>
      <c r="L34" s="957"/>
      <c r="M34" s="959"/>
      <c r="N34" s="1009"/>
    </row>
    <row r="35" spans="1:17" s="956" customFormat="1" ht="24.95" customHeight="1">
      <c r="A35" s="1010" t="s">
        <v>850</v>
      </c>
      <c r="B35" s="1010" t="s">
        <v>214</v>
      </c>
      <c r="C35" s="1010">
        <v>1</v>
      </c>
      <c r="D35" s="1010"/>
      <c r="E35" s="1013"/>
      <c r="F35" s="1014" t="e">
        <f>TRUNC(F34*1.1)</f>
        <v>#REF!</v>
      </c>
      <c r="G35" s="2070" t="s">
        <v>851</v>
      </c>
      <c r="H35" s="2070"/>
      <c r="I35" s="2070"/>
      <c r="J35" s="2070"/>
      <c r="K35" s="2070"/>
      <c r="L35" s="957"/>
      <c r="M35" s="959" t="s">
        <v>852</v>
      </c>
      <c r="N35" s="1009" t="e">
        <f>'산근2-0 (현장조사물량산출)'!E5</f>
        <v>#REF!</v>
      </c>
    </row>
    <row r="36" spans="1:17" s="956" customFormat="1" ht="24.95" customHeight="1">
      <c r="A36" s="1010" t="s">
        <v>853</v>
      </c>
      <c r="B36" s="1010" t="s">
        <v>214</v>
      </c>
      <c r="C36" s="1010">
        <v>1</v>
      </c>
      <c r="D36" s="1010"/>
      <c r="E36" s="1013"/>
      <c r="F36" s="1011" t="e">
        <f>TRUNC((F34+F35)*0.13)</f>
        <v>#REF!</v>
      </c>
      <c r="G36" s="2070" t="s">
        <v>854</v>
      </c>
      <c r="H36" s="2070"/>
      <c r="I36" s="2070"/>
      <c r="J36" s="2070"/>
      <c r="K36" s="2070"/>
      <c r="L36" s="957"/>
      <c r="M36" s="957"/>
    </row>
    <row r="37" spans="1:17" s="956" customFormat="1" ht="24.95" customHeight="1">
      <c r="A37" s="2074" t="s">
        <v>855</v>
      </c>
      <c r="B37" s="2075"/>
      <c r="C37" s="2075"/>
      <c r="D37" s="2075"/>
      <c r="E37" s="2076"/>
      <c r="F37" s="1015" t="e">
        <f>TRUNC(SUM(F34:F36),-4)</f>
        <v>#REF!</v>
      </c>
      <c r="G37" s="2070"/>
      <c r="H37" s="2070"/>
      <c r="I37" s="2070"/>
      <c r="J37" s="2070"/>
      <c r="K37" s="2070"/>
      <c r="L37" s="957"/>
      <c r="M37" s="957"/>
    </row>
    <row r="38" spans="1:17" s="956" customFormat="1" ht="27.95" customHeight="1">
      <c r="A38" s="987"/>
      <c r="B38" s="987"/>
      <c r="C38" s="987"/>
      <c r="D38" s="1016"/>
      <c r="E38" s="1017"/>
      <c r="K38" s="957"/>
      <c r="L38" s="957"/>
      <c r="O38" s="1018"/>
      <c r="P38" s="1018"/>
      <c r="Q38" s="1018"/>
    </row>
    <row r="39" spans="1:17" s="956" customFormat="1" ht="27.95" customHeight="1">
      <c r="A39" s="987"/>
      <c r="B39" s="987"/>
      <c r="C39" s="1019"/>
      <c r="D39" s="1016"/>
      <c r="E39" s="1017"/>
      <c r="K39" s="957"/>
      <c r="L39" s="957"/>
      <c r="O39" s="1018"/>
      <c r="P39" s="1020"/>
      <c r="Q39" s="1020"/>
    </row>
    <row r="40" spans="1:17" s="956" customFormat="1" ht="27.95" customHeight="1">
      <c r="A40" s="987"/>
      <c r="B40" s="987"/>
      <c r="C40" s="987"/>
      <c r="D40" s="1016"/>
      <c r="E40" s="1017"/>
      <c r="K40" s="957"/>
      <c r="L40" s="1021"/>
      <c r="O40" s="1018"/>
      <c r="P40" s="1020"/>
      <c r="Q40" s="1020"/>
    </row>
    <row r="41" spans="1:17" s="956" customFormat="1" ht="27.95" customHeight="1">
      <c r="A41" s="987"/>
      <c r="E41" s="1017"/>
      <c r="K41" s="957"/>
      <c r="L41" s="957"/>
    </row>
    <row r="42" spans="1:17" s="956" customFormat="1" ht="27.95" customHeight="1">
      <c r="A42" s="987"/>
      <c r="E42" s="1022"/>
      <c r="K42" s="957"/>
      <c r="L42" s="957"/>
    </row>
    <row r="43" spans="1:17" s="956" customFormat="1" ht="27.95" customHeight="1">
      <c r="A43" s="987"/>
      <c r="E43" s="1016"/>
      <c r="K43" s="957"/>
      <c r="L43" s="957"/>
    </row>
    <row r="44" spans="1:17" s="956" customFormat="1" ht="27.95" customHeight="1">
      <c r="A44" s="987"/>
      <c r="E44" s="1017"/>
      <c r="K44" s="957"/>
      <c r="L44" s="957"/>
    </row>
    <row r="45" spans="1:17" s="956" customFormat="1" ht="27.95" customHeight="1">
      <c r="K45" s="957"/>
      <c r="L45" s="957"/>
    </row>
    <row r="46" spans="1:17" s="956" customFormat="1" ht="27.95" customHeight="1">
      <c r="K46" s="957"/>
      <c r="L46" s="957"/>
    </row>
    <row r="47" spans="1:17" s="956" customFormat="1" ht="27.95" customHeight="1">
      <c r="K47" s="957"/>
      <c r="L47" s="957"/>
    </row>
    <row r="48" spans="1:17" s="956" customFormat="1" ht="27.95" customHeight="1">
      <c r="K48" s="957"/>
      <c r="L48" s="957"/>
    </row>
    <row r="49" spans="11:12" s="956" customFormat="1" ht="27.95" customHeight="1">
      <c r="K49" s="957"/>
      <c r="L49" s="957"/>
    </row>
  </sheetData>
  <mergeCells count="37">
    <mergeCell ref="B14:C14"/>
    <mergeCell ref="D14:F14"/>
    <mergeCell ref="A2:K2"/>
    <mergeCell ref="B5:C5"/>
    <mergeCell ref="A6:J6"/>
    <mergeCell ref="B13:C13"/>
    <mergeCell ref="D13:F13"/>
    <mergeCell ref="B15:C15"/>
    <mergeCell ref="D15:F15"/>
    <mergeCell ref="B18:C18"/>
    <mergeCell ref="D18:F18"/>
    <mergeCell ref="B19:C19"/>
    <mergeCell ref="D19:F19"/>
    <mergeCell ref="B20:C20"/>
    <mergeCell ref="D20:F20"/>
    <mergeCell ref="B21:C21"/>
    <mergeCell ref="D21:F21"/>
    <mergeCell ref="B22:C22"/>
    <mergeCell ref="D22:F22"/>
    <mergeCell ref="G33:K33"/>
    <mergeCell ref="B23:C23"/>
    <mergeCell ref="D23:F23"/>
    <mergeCell ref="B24:C24"/>
    <mergeCell ref="D24:F24"/>
    <mergeCell ref="B25:C25"/>
    <mergeCell ref="D25:F25"/>
    <mergeCell ref="B26:C26"/>
    <mergeCell ref="D26:F26"/>
    <mergeCell ref="G30:K30"/>
    <mergeCell ref="G31:K31"/>
    <mergeCell ref="G32:K32"/>
    <mergeCell ref="G34:K34"/>
    <mergeCell ref="G35:K35"/>
    <mergeCell ref="G36:K36"/>
    <mergeCell ref="G37:K37"/>
    <mergeCell ref="A34:E34"/>
    <mergeCell ref="A37:E37"/>
  </mergeCells>
  <phoneticPr fontId="181" type="noConversion"/>
  <printOptions horizontalCentered="1"/>
  <pageMargins left="0.39370078740157483" right="0.39370078740157483" top="0.39370078740157483" bottom="0.39370078740157483" header="0" footer="0"/>
  <pageSetup paperSize="9" scale="82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5">
    <tabColor theme="8" tint="0.39997558519241921"/>
  </sheetPr>
  <dimension ref="A1:O182"/>
  <sheetViews>
    <sheetView view="pageBreakPreview" zoomScale="85" zoomScaleNormal="100" zoomScaleSheetLayoutView="85" workbookViewId="0">
      <selection activeCell="Q18" sqref="Q18"/>
    </sheetView>
  </sheetViews>
  <sheetFormatPr defaultColWidth="8" defaultRowHeight="25.35" customHeight="1"/>
  <cols>
    <col min="1" max="1" width="14.109375" style="241" customWidth="1"/>
    <col min="2" max="2" width="14.44140625" style="241" customWidth="1"/>
    <col min="3" max="3" width="7.77734375" style="501" customWidth="1"/>
    <col min="4" max="4" width="4.77734375" style="501" customWidth="1"/>
    <col min="5" max="5" width="11.77734375" style="501" customWidth="1"/>
    <col min="6" max="12" width="11.77734375" style="502" customWidth="1"/>
    <col min="13" max="13" width="7.77734375" style="241" customWidth="1"/>
    <col min="14" max="14" width="8" style="241"/>
    <col min="15" max="15" width="13" style="241" bestFit="1" customWidth="1"/>
    <col min="16" max="17" width="9" style="241" bestFit="1" customWidth="1"/>
    <col min="18" max="16384" width="8" style="241"/>
  </cols>
  <sheetData>
    <row r="1" spans="1:15" ht="18.95" customHeight="1">
      <c r="A1" s="1854" t="s">
        <v>255</v>
      </c>
      <c r="B1" s="1856" t="s">
        <v>256</v>
      </c>
      <c r="C1" s="2098" t="s">
        <v>257</v>
      </c>
      <c r="D1" s="1858" t="s">
        <v>258</v>
      </c>
      <c r="E1" s="1881" t="s">
        <v>39</v>
      </c>
      <c r="F1" s="1881"/>
      <c r="G1" s="388" t="s">
        <v>259</v>
      </c>
      <c r="H1" s="388"/>
      <c r="I1" s="388" t="s">
        <v>260</v>
      </c>
      <c r="J1" s="388"/>
      <c r="K1" s="388" t="s">
        <v>261</v>
      </c>
      <c r="L1" s="388"/>
      <c r="M1" s="2096" t="s">
        <v>262</v>
      </c>
      <c r="O1" s="442" t="s">
        <v>535</v>
      </c>
    </row>
    <row r="2" spans="1:15" ht="18.95" customHeight="1">
      <c r="A2" s="1855"/>
      <c r="B2" s="1857"/>
      <c r="C2" s="2099"/>
      <c r="D2" s="1859"/>
      <c r="E2" s="392" t="s">
        <v>263</v>
      </c>
      <c r="F2" s="392" t="s">
        <v>147</v>
      </c>
      <c r="G2" s="392" t="s">
        <v>263</v>
      </c>
      <c r="H2" s="392" t="s">
        <v>147</v>
      </c>
      <c r="I2" s="392" t="s">
        <v>263</v>
      </c>
      <c r="J2" s="392" t="s">
        <v>147</v>
      </c>
      <c r="K2" s="392" t="s">
        <v>263</v>
      </c>
      <c r="L2" s="392" t="s">
        <v>147</v>
      </c>
      <c r="M2" s="2097"/>
      <c r="O2" s="442">
        <v>1</v>
      </c>
    </row>
    <row r="3" spans="1:15" ht="18.95" customHeight="1">
      <c r="A3" s="443" t="s">
        <v>536</v>
      </c>
      <c r="B3" s="444"/>
      <c r="C3" s="445"/>
      <c r="D3" s="445"/>
      <c r="E3" s="446"/>
      <c r="F3" s="446"/>
      <c r="G3" s="446"/>
      <c r="H3" s="446"/>
      <c r="I3" s="446"/>
      <c r="J3" s="446"/>
      <c r="K3" s="446"/>
      <c r="L3" s="446"/>
      <c r="M3" s="447"/>
    </row>
    <row r="4" spans="1:15" ht="18.95" customHeight="1">
      <c r="A4" s="448" t="s">
        <v>1873</v>
      </c>
      <c r="B4" s="449"/>
      <c r="C4" s="450"/>
      <c r="D4" s="451"/>
      <c r="E4" s="452"/>
      <c r="F4" s="452"/>
      <c r="G4" s="452"/>
      <c r="H4" s="452"/>
      <c r="I4" s="452"/>
      <c r="J4" s="452"/>
      <c r="K4" s="452"/>
      <c r="L4" s="452"/>
      <c r="M4" s="453"/>
    </row>
    <row r="5" spans="1:15" ht="18.95" customHeight="1">
      <c r="A5" s="454" t="s">
        <v>161</v>
      </c>
      <c r="B5" s="455"/>
      <c r="C5" s="456">
        <v>0.18</v>
      </c>
      <c r="D5" s="455" t="s">
        <v>264</v>
      </c>
      <c r="E5" s="457">
        <f t="shared" ref="E5:E11" si="0">+I5+G5+K5</f>
        <v>295138</v>
      </c>
      <c r="F5" s="457">
        <f t="shared" ref="F5:F16" si="1">H5+J5+L5</f>
        <v>53124</v>
      </c>
      <c r="G5" s="457">
        <f>'산근3 노임'!$B$8</f>
        <v>295138</v>
      </c>
      <c r="H5" s="457">
        <f t="shared" ref="H5:H16" si="2">INT($C5*G5)</f>
        <v>53124</v>
      </c>
      <c r="I5" s="457"/>
      <c r="J5" s="457">
        <f t="shared" ref="J5:J11" si="3">INT($C5*I5)</f>
        <v>0</v>
      </c>
      <c r="K5" s="457"/>
      <c r="L5" s="457">
        <f t="shared" ref="L5:L14" si="4">INT($C5*K5)</f>
        <v>0</v>
      </c>
      <c r="M5" s="453"/>
    </row>
    <row r="6" spans="1:15" ht="18.95" customHeight="1">
      <c r="A6" s="454" t="s">
        <v>265</v>
      </c>
      <c r="B6" s="455"/>
      <c r="C6" s="456">
        <v>0.35</v>
      </c>
      <c r="D6" s="455" t="s">
        <v>264</v>
      </c>
      <c r="E6" s="457">
        <f t="shared" si="0"/>
        <v>0</v>
      </c>
      <c r="F6" s="457">
        <f t="shared" si="1"/>
        <v>0</v>
      </c>
      <c r="G6" s="457"/>
      <c r="H6" s="457">
        <f t="shared" si="2"/>
        <v>0</v>
      </c>
      <c r="I6" s="457"/>
      <c r="J6" s="457">
        <f t="shared" si="3"/>
        <v>0</v>
      </c>
      <c r="K6" s="457">
        <f>'산근3 노임'!$B$17</f>
        <v>0</v>
      </c>
      <c r="L6" s="457">
        <f t="shared" si="4"/>
        <v>0</v>
      </c>
      <c r="M6" s="453"/>
    </row>
    <row r="7" spans="1:15" ht="18.95" customHeight="1">
      <c r="A7" s="454" t="s">
        <v>266</v>
      </c>
      <c r="B7" s="455"/>
      <c r="C7" s="456">
        <v>0.25</v>
      </c>
      <c r="D7" s="455" t="s">
        <v>264</v>
      </c>
      <c r="E7" s="457">
        <f t="shared" si="0"/>
        <v>0</v>
      </c>
      <c r="F7" s="457">
        <f t="shared" si="1"/>
        <v>0</v>
      </c>
      <c r="G7" s="457"/>
      <c r="H7" s="457">
        <f t="shared" si="2"/>
        <v>0</v>
      </c>
      <c r="I7" s="457"/>
      <c r="J7" s="457">
        <f t="shared" si="3"/>
        <v>0</v>
      </c>
      <c r="K7" s="457">
        <f>'산근3 노임'!$B$18</f>
        <v>0</v>
      </c>
      <c r="L7" s="457">
        <f t="shared" si="4"/>
        <v>0</v>
      </c>
      <c r="M7" s="453"/>
    </row>
    <row r="8" spans="1:15" ht="18.95" customHeight="1">
      <c r="A8" s="454" t="s">
        <v>267</v>
      </c>
      <c r="B8" s="455"/>
      <c r="C8" s="456">
        <v>0.35</v>
      </c>
      <c r="D8" s="455" t="s">
        <v>264</v>
      </c>
      <c r="E8" s="457">
        <f t="shared" si="0"/>
        <v>0</v>
      </c>
      <c r="F8" s="457">
        <f t="shared" si="1"/>
        <v>0</v>
      </c>
      <c r="G8" s="457"/>
      <c r="H8" s="457">
        <f t="shared" si="2"/>
        <v>0</v>
      </c>
      <c r="I8" s="457"/>
      <c r="J8" s="457">
        <f t="shared" si="3"/>
        <v>0</v>
      </c>
      <c r="K8" s="457">
        <f>'산근3 노임'!$B$19</f>
        <v>0</v>
      </c>
      <c r="L8" s="457">
        <f t="shared" si="4"/>
        <v>0</v>
      </c>
      <c r="M8" s="453"/>
    </row>
    <row r="9" spans="1:15" ht="18.95" customHeight="1">
      <c r="A9" s="454" t="s">
        <v>268</v>
      </c>
      <c r="B9" s="458"/>
      <c r="C9" s="456">
        <v>0.01</v>
      </c>
      <c r="D9" s="455" t="s">
        <v>269</v>
      </c>
      <c r="E9" s="457">
        <f t="shared" si="0"/>
        <v>110000</v>
      </c>
      <c r="F9" s="457">
        <f t="shared" si="1"/>
        <v>1100</v>
      </c>
      <c r="G9" s="457"/>
      <c r="H9" s="457">
        <f t="shared" si="2"/>
        <v>0</v>
      </c>
      <c r="I9" s="457">
        <f>'산근3-1(지반조사 단가)'!$C$3</f>
        <v>110000</v>
      </c>
      <c r="J9" s="457">
        <f t="shared" si="3"/>
        <v>1100</v>
      </c>
      <c r="K9" s="457"/>
      <c r="L9" s="457">
        <f t="shared" si="4"/>
        <v>0</v>
      </c>
      <c r="M9" s="453"/>
    </row>
    <row r="10" spans="1:15" ht="18.95" customHeight="1">
      <c r="A10" s="454" t="s">
        <v>270</v>
      </c>
      <c r="B10" s="459"/>
      <c r="C10" s="456">
        <v>2.5000000000000001E-2</v>
      </c>
      <c r="D10" s="460" t="s">
        <v>271</v>
      </c>
      <c r="E10" s="457">
        <f t="shared" si="0"/>
        <v>30000</v>
      </c>
      <c r="F10" s="457">
        <f t="shared" si="1"/>
        <v>750</v>
      </c>
      <c r="G10" s="457"/>
      <c r="H10" s="457">
        <f t="shared" si="2"/>
        <v>0</v>
      </c>
      <c r="I10" s="457">
        <f>'산근3-1(지반조사 단가)'!$C$5</f>
        <v>30000</v>
      </c>
      <c r="J10" s="457">
        <f t="shared" si="3"/>
        <v>750</v>
      </c>
      <c r="K10" s="457"/>
      <c r="L10" s="457">
        <f t="shared" si="4"/>
        <v>0</v>
      </c>
      <c r="M10" s="453"/>
    </row>
    <row r="11" spans="1:15" ht="18.95" customHeight="1">
      <c r="A11" s="454" t="s">
        <v>272</v>
      </c>
      <c r="B11" s="459"/>
      <c r="C11" s="456">
        <v>0.01</v>
      </c>
      <c r="D11" s="460" t="s">
        <v>269</v>
      </c>
      <c r="E11" s="457">
        <f t="shared" si="0"/>
        <v>50000</v>
      </c>
      <c r="F11" s="457">
        <f t="shared" si="1"/>
        <v>500</v>
      </c>
      <c r="G11" s="457"/>
      <c r="H11" s="457">
        <f t="shared" si="2"/>
        <v>0</v>
      </c>
      <c r="I11" s="457">
        <f>'산근3-1(지반조사 단가)'!$C$7</f>
        <v>50000</v>
      </c>
      <c r="J11" s="457">
        <f t="shared" si="3"/>
        <v>500</v>
      </c>
      <c r="K11" s="457"/>
      <c r="L11" s="457">
        <f t="shared" si="4"/>
        <v>0</v>
      </c>
      <c r="M11" s="453"/>
    </row>
    <row r="12" spans="1:15" ht="18.95" customHeight="1">
      <c r="A12" s="454" t="s">
        <v>273</v>
      </c>
      <c r="B12" s="459"/>
      <c r="C12" s="456">
        <v>0.01</v>
      </c>
      <c r="D12" s="460" t="s">
        <v>269</v>
      </c>
      <c r="E12" s="457">
        <f>+I12+G12+K12</f>
        <v>35000</v>
      </c>
      <c r="F12" s="457">
        <f>H12+J12+L12</f>
        <v>350</v>
      </c>
      <c r="G12" s="457"/>
      <c r="H12" s="457">
        <f>INT($C12*G12)</f>
        <v>0</v>
      </c>
      <c r="I12" s="457">
        <f>'산근3-1(지반조사 단가)'!$C$8</f>
        <v>35000</v>
      </c>
      <c r="J12" s="457">
        <f>INT($C12*I12)</f>
        <v>350</v>
      </c>
      <c r="K12" s="457"/>
      <c r="L12" s="457">
        <f>INT($C12*K12)</f>
        <v>0</v>
      </c>
      <c r="M12" s="453"/>
    </row>
    <row r="13" spans="1:15" ht="18.95" customHeight="1">
      <c r="A13" s="454" t="s">
        <v>274</v>
      </c>
      <c r="B13" s="459"/>
      <c r="C13" s="456">
        <v>0.01</v>
      </c>
      <c r="D13" s="460" t="s">
        <v>269</v>
      </c>
      <c r="E13" s="457">
        <f>+I13+G13+K13</f>
        <v>130000</v>
      </c>
      <c r="F13" s="457">
        <f>H13+J13+L13</f>
        <v>1300</v>
      </c>
      <c r="G13" s="457"/>
      <c r="H13" s="457">
        <f>INT($C13*G13)</f>
        <v>0</v>
      </c>
      <c r="I13" s="457">
        <f>'산근3-1(지반조사 단가)'!$C$9</f>
        <v>130000</v>
      </c>
      <c r="J13" s="457">
        <f>INT($C13*I13)</f>
        <v>1300</v>
      </c>
      <c r="K13" s="457"/>
      <c r="L13" s="457">
        <f>INT($C13*K13)</f>
        <v>0</v>
      </c>
      <c r="M13" s="453"/>
    </row>
    <row r="14" spans="1:15" ht="18.95" customHeight="1">
      <c r="A14" s="454" t="s">
        <v>275</v>
      </c>
      <c r="B14" s="459"/>
      <c r="C14" s="456">
        <v>7.7</v>
      </c>
      <c r="D14" s="455" t="s">
        <v>276</v>
      </c>
      <c r="E14" s="457">
        <f>G14+I14+K14</f>
        <v>1506</v>
      </c>
      <c r="F14" s="457">
        <f t="shared" si="1"/>
        <v>11596</v>
      </c>
      <c r="G14" s="457"/>
      <c r="H14" s="457">
        <f t="shared" si="2"/>
        <v>0</v>
      </c>
      <c r="I14" s="457"/>
      <c r="J14" s="457">
        <f>INT($C14*I14)</f>
        <v>0</v>
      </c>
      <c r="K14" s="457">
        <f>'산근3-1(지반조사 단가)'!$C$14</f>
        <v>1506</v>
      </c>
      <c r="L14" s="457">
        <f t="shared" si="4"/>
        <v>11596</v>
      </c>
      <c r="M14" s="461"/>
    </row>
    <row r="15" spans="1:15" ht="18.95" customHeight="1">
      <c r="A15" s="454" t="s">
        <v>277</v>
      </c>
      <c r="B15" s="459" t="s">
        <v>278</v>
      </c>
      <c r="C15" s="462">
        <v>16</v>
      </c>
      <c r="D15" s="455" t="s">
        <v>54</v>
      </c>
      <c r="E15" s="457">
        <f>G15+I15+K15</f>
        <v>0</v>
      </c>
      <c r="F15" s="457">
        <f t="shared" si="1"/>
        <v>1855</v>
      </c>
      <c r="G15" s="457"/>
      <c r="H15" s="457">
        <f t="shared" si="2"/>
        <v>0</v>
      </c>
      <c r="I15" s="457"/>
      <c r="J15" s="457">
        <f>TRUNC(J14*(C15/100))</f>
        <v>0</v>
      </c>
      <c r="K15" s="457"/>
      <c r="L15" s="457">
        <f>TRUNC(L14*(C15/100))</f>
        <v>1855</v>
      </c>
      <c r="M15" s="461"/>
    </row>
    <row r="16" spans="1:15" ht="18.95" customHeight="1">
      <c r="A16" s="463" t="s">
        <v>279</v>
      </c>
      <c r="B16" s="459" t="s">
        <v>280</v>
      </c>
      <c r="C16" s="456">
        <v>1.33</v>
      </c>
      <c r="D16" s="455" t="s">
        <v>281</v>
      </c>
      <c r="E16" s="457">
        <f>G16+I16+K16</f>
        <v>28041</v>
      </c>
      <c r="F16" s="457">
        <f t="shared" si="1"/>
        <v>37294</v>
      </c>
      <c r="G16" s="457"/>
      <c r="H16" s="457">
        <f t="shared" si="2"/>
        <v>0</v>
      </c>
      <c r="I16" s="457"/>
      <c r="J16" s="457">
        <f>INT($C16*I16)</f>
        <v>0</v>
      </c>
      <c r="K16" s="457">
        <f>'산근3-1(지반조사 단가)'!$C$17</f>
        <v>28041</v>
      </c>
      <c r="L16" s="457">
        <f>INT($C16*K16)</f>
        <v>37294</v>
      </c>
      <c r="M16" s="461"/>
    </row>
    <row r="17" spans="1:13" ht="18.95" customHeight="1">
      <c r="A17" s="454" t="s">
        <v>537</v>
      </c>
      <c r="B17" s="455"/>
      <c r="C17" s="464"/>
      <c r="D17" s="455"/>
      <c r="E17" s="465"/>
      <c r="F17" s="457">
        <f>SUM(H17,J17,L17)</f>
        <v>107869</v>
      </c>
      <c r="G17" s="457"/>
      <c r="H17" s="457">
        <f>SUM(H5:H16)</f>
        <v>53124</v>
      </c>
      <c r="I17" s="457"/>
      <c r="J17" s="457">
        <f>SUM(J5:J16)</f>
        <v>4000</v>
      </c>
      <c r="K17" s="457"/>
      <c r="L17" s="457">
        <f>SUM(L5:L16)</f>
        <v>50745</v>
      </c>
      <c r="M17" s="461"/>
    </row>
    <row r="18" spans="1:13" ht="18.95" customHeight="1">
      <c r="A18" s="466">
        <f>$O$2</f>
        <v>1</v>
      </c>
      <c r="B18" s="455"/>
      <c r="C18" s="464"/>
      <c r="D18" s="455"/>
      <c r="E18" s="457"/>
      <c r="F18" s="457">
        <f>SUM(H18,J18,L18)</f>
        <v>107869</v>
      </c>
      <c r="G18" s="457"/>
      <c r="H18" s="457">
        <f>INT($A$18*H17)</f>
        <v>53124</v>
      </c>
      <c r="I18" s="457"/>
      <c r="J18" s="457">
        <f>INT($A$18*J17)</f>
        <v>4000</v>
      </c>
      <c r="K18" s="457"/>
      <c r="L18" s="457">
        <f>INT($A$18*L17)</f>
        <v>50745</v>
      </c>
      <c r="M18" s="461"/>
    </row>
    <row r="19" spans="1:13" ht="18.95" customHeight="1">
      <c r="A19" s="448" t="s">
        <v>1874</v>
      </c>
      <c r="B19" s="449"/>
      <c r="C19" s="450"/>
      <c r="D19" s="451"/>
      <c r="E19" s="457"/>
      <c r="F19" s="457"/>
      <c r="G19" s="457"/>
      <c r="H19" s="457"/>
      <c r="I19" s="457"/>
      <c r="J19" s="457"/>
      <c r="K19" s="457"/>
      <c r="L19" s="457"/>
      <c r="M19" s="461"/>
    </row>
    <row r="20" spans="1:13" ht="18.95" customHeight="1">
      <c r="A20" s="454" t="s">
        <v>161</v>
      </c>
      <c r="B20" s="455"/>
      <c r="C20" s="456">
        <v>0.21</v>
      </c>
      <c r="D20" s="455" t="s">
        <v>264</v>
      </c>
      <c r="E20" s="457">
        <f t="shared" ref="E20:F31" si="5">G20+I20+K20</f>
        <v>295138</v>
      </c>
      <c r="F20" s="457">
        <f t="shared" si="5"/>
        <v>61978</v>
      </c>
      <c r="G20" s="457">
        <f>'산근3 노임'!$B$8</f>
        <v>295138</v>
      </c>
      <c r="H20" s="457">
        <f t="shared" ref="H20:H31" si="6">INT($C20*G20)</f>
        <v>61978</v>
      </c>
      <c r="I20" s="457"/>
      <c r="J20" s="457">
        <f t="shared" ref="J20:J28" si="7">INT($C20*I20)</f>
        <v>0</v>
      </c>
      <c r="K20" s="457"/>
      <c r="L20" s="457">
        <f t="shared" ref="L20:L29" si="8">INT($C20*K20)</f>
        <v>0</v>
      </c>
      <c r="M20" s="461"/>
    </row>
    <row r="21" spans="1:13" ht="18.95" customHeight="1">
      <c r="A21" s="454" t="s">
        <v>265</v>
      </c>
      <c r="B21" s="455"/>
      <c r="C21" s="456">
        <v>0.4</v>
      </c>
      <c r="D21" s="455" t="s">
        <v>264</v>
      </c>
      <c r="E21" s="457">
        <f t="shared" si="5"/>
        <v>0</v>
      </c>
      <c r="F21" s="457">
        <f t="shared" si="5"/>
        <v>0</v>
      </c>
      <c r="G21" s="457"/>
      <c r="H21" s="457">
        <f t="shared" si="6"/>
        <v>0</v>
      </c>
      <c r="I21" s="457"/>
      <c r="J21" s="457">
        <f t="shared" si="7"/>
        <v>0</v>
      </c>
      <c r="K21" s="457">
        <f>'산근3 노임'!$B$17</f>
        <v>0</v>
      </c>
      <c r="L21" s="457">
        <f t="shared" si="8"/>
        <v>0</v>
      </c>
      <c r="M21" s="461"/>
    </row>
    <row r="22" spans="1:13" ht="18.95" customHeight="1">
      <c r="A22" s="454" t="s">
        <v>266</v>
      </c>
      <c r="B22" s="455"/>
      <c r="C22" s="456">
        <v>0.28999999999999998</v>
      </c>
      <c r="D22" s="455" t="s">
        <v>264</v>
      </c>
      <c r="E22" s="457">
        <f t="shared" si="5"/>
        <v>0</v>
      </c>
      <c r="F22" s="457">
        <f t="shared" si="5"/>
        <v>0</v>
      </c>
      <c r="G22" s="457"/>
      <c r="H22" s="457">
        <f t="shared" si="6"/>
        <v>0</v>
      </c>
      <c r="I22" s="457"/>
      <c r="J22" s="457">
        <f t="shared" si="7"/>
        <v>0</v>
      </c>
      <c r="K22" s="457">
        <f>'산근3 노임'!$B$18</f>
        <v>0</v>
      </c>
      <c r="L22" s="457">
        <f t="shared" si="8"/>
        <v>0</v>
      </c>
      <c r="M22" s="461"/>
    </row>
    <row r="23" spans="1:13" ht="18.95" customHeight="1">
      <c r="A23" s="454" t="s">
        <v>267</v>
      </c>
      <c r="B23" s="455"/>
      <c r="C23" s="456">
        <v>0.4</v>
      </c>
      <c r="D23" s="455" t="s">
        <v>264</v>
      </c>
      <c r="E23" s="457">
        <f t="shared" si="5"/>
        <v>0</v>
      </c>
      <c r="F23" s="457">
        <f t="shared" si="5"/>
        <v>0</v>
      </c>
      <c r="G23" s="457"/>
      <c r="H23" s="457">
        <f t="shared" si="6"/>
        <v>0</v>
      </c>
      <c r="I23" s="457"/>
      <c r="J23" s="457">
        <f t="shared" si="7"/>
        <v>0</v>
      </c>
      <c r="K23" s="457">
        <f>'산근3 노임'!$B$19</f>
        <v>0</v>
      </c>
      <c r="L23" s="457">
        <f t="shared" si="8"/>
        <v>0</v>
      </c>
      <c r="M23" s="453"/>
    </row>
    <row r="24" spans="1:13" ht="18.95" customHeight="1">
      <c r="A24" s="454" t="s">
        <v>268</v>
      </c>
      <c r="B24" s="458"/>
      <c r="C24" s="456">
        <v>2.5000000000000001E-2</v>
      </c>
      <c r="D24" s="455" t="s">
        <v>269</v>
      </c>
      <c r="E24" s="457">
        <f>+I24+G24+K24</f>
        <v>110000</v>
      </c>
      <c r="F24" s="457">
        <f t="shared" si="5"/>
        <v>2750</v>
      </c>
      <c r="G24" s="457"/>
      <c r="H24" s="457">
        <f t="shared" si="6"/>
        <v>0</v>
      </c>
      <c r="I24" s="457">
        <f>'산근3-1(지반조사 단가)'!$C$3</f>
        <v>110000</v>
      </c>
      <c r="J24" s="457">
        <f t="shared" si="7"/>
        <v>2750</v>
      </c>
      <c r="K24" s="457"/>
      <c r="L24" s="457">
        <f t="shared" si="8"/>
        <v>0</v>
      </c>
      <c r="M24" s="453"/>
    </row>
    <row r="25" spans="1:13" ht="18.95" customHeight="1">
      <c r="A25" s="454" t="s">
        <v>270</v>
      </c>
      <c r="B25" s="459"/>
      <c r="C25" s="456">
        <v>0.05</v>
      </c>
      <c r="D25" s="460" t="s">
        <v>271</v>
      </c>
      <c r="E25" s="457">
        <f>+I25+G25+K25</f>
        <v>30000</v>
      </c>
      <c r="F25" s="457">
        <f t="shared" si="5"/>
        <v>1500</v>
      </c>
      <c r="G25" s="457"/>
      <c r="H25" s="457">
        <f t="shared" si="6"/>
        <v>0</v>
      </c>
      <c r="I25" s="457">
        <f>'산근3-1(지반조사 단가)'!$C$5</f>
        <v>30000</v>
      </c>
      <c r="J25" s="457">
        <f t="shared" si="7"/>
        <v>1500</v>
      </c>
      <c r="K25" s="457"/>
      <c r="L25" s="457">
        <f t="shared" si="8"/>
        <v>0</v>
      </c>
      <c r="M25" s="453"/>
    </row>
    <row r="26" spans="1:13" ht="18.95" customHeight="1">
      <c r="A26" s="454" t="s">
        <v>272</v>
      </c>
      <c r="B26" s="459"/>
      <c r="C26" s="456">
        <v>2.5000000000000001E-2</v>
      </c>
      <c r="D26" s="460" t="s">
        <v>269</v>
      </c>
      <c r="E26" s="457">
        <f>+I26+G26+K26</f>
        <v>50000</v>
      </c>
      <c r="F26" s="457">
        <f t="shared" si="5"/>
        <v>1250</v>
      </c>
      <c r="G26" s="457"/>
      <c r="H26" s="457">
        <f t="shared" si="6"/>
        <v>0</v>
      </c>
      <c r="I26" s="457">
        <f>'산근3-1(지반조사 단가)'!$C$7</f>
        <v>50000</v>
      </c>
      <c r="J26" s="457">
        <f t="shared" si="7"/>
        <v>1250</v>
      </c>
      <c r="K26" s="457"/>
      <c r="L26" s="457">
        <f t="shared" si="8"/>
        <v>0</v>
      </c>
      <c r="M26" s="453"/>
    </row>
    <row r="27" spans="1:13" ht="18.95" customHeight="1">
      <c r="A27" s="454" t="s">
        <v>273</v>
      </c>
      <c r="B27" s="459"/>
      <c r="C27" s="456">
        <v>2.5000000000000001E-2</v>
      </c>
      <c r="D27" s="460" t="s">
        <v>269</v>
      </c>
      <c r="E27" s="457">
        <f>+I27+G27+K27</f>
        <v>35000</v>
      </c>
      <c r="F27" s="457">
        <f t="shared" si="5"/>
        <v>875</v>
      </c>
      <c r="G27" s="457"/>
      <c r="H27" s="457">
        <f t="shared" si="6"/>
        <v>0</v>
      </c>
      <c r="I27" s="457">
        <f>'산근3-1(지반조사 단가)'!$C$8</f>
        <v>35000</v>
      </c>
      <c r="J27" s="457">
        <f t="shared" si="7"/>
        <v>875</v>
      </c>
      <c r="K27" s="457"/>
      <c r="L27" s="457">
        <f t="shared" si="8"/>
        <v>0</v>
      </c>
      <c r="M27" s="453"/>
    </row>
    <row r="28" spans="1:13" ht="18.95" customHeight="1">
      <c r="A28" s="454" t="s">
        <v>274</v>
      </c>
      <c r="B28" s="459"/>
      <c r="C28" s="456">
        <v>2.5000000000000001E-2</v>
      </c>
      <c r="D28" s="460" t="s">
        <v>269</v>
      </c>
      <c r="E28" s="457">
        <f>+I28+G28+K28</f>
        <v>130000</v>
      </c>
      <c r="F28" s="457">
        <f t="shared" si="5"/>
        <v>3250</v>
      </c>
      <c r="G28" s="457"/>
      <c r="H28" s="457">
        <f t="shared" si="6"/>
        <v>0</v>
      </c>
      <c r="I28" s="457">
        <f>'산근3-1(지반조사 단가)'!$C$9</f>
        <v>130000</v>
      </c>
      <c r="J28" s="457">
        <f t="shared" si="7"/>
        <v>3250</v>
      </c>
      <c r="K28" s="457"/>
      <c r="L28" s="457">
        <f t="shared" si="8"/>
        <v>0</v>
      </c>
      <c r="M28" s="453"/>
    </row>
    <row r="29" spans="1:13" ht="18.95" customHeight="1">
      <c r="A29" s="454" t="s">
        <v>275</v>
      </c>
      <c r="B29" s="459"/>
      <c r="C29" s="456">
        <v>9.6</v>
      </c>
      <c r="D29" s="455" t="s">
        <v>276</v>
      </c>
      <c r="E29" s="457">
        <f>G29+I29+K29</f>
        <v>1506</v>
      </c>
      <c r="F29" s="457">
        <f t="shared" si="5"/>
        <v>14457</v>
      </c>
      <c r="G29" s="457"/>
      <c r="H29" s="457">
        <f t="shared" si="6"/>
        <v>0</v>
      </c>
      <c r="I29" s="457"/>
      <c r="J29" s="457">
        <f>INT($C29*I29)</f>
        <v>0</v>
      </c>
      <c r="K29" s="457">
        <f>'산근3-1(지반조사 단가)'!$C$14</f>
        <v>1506</v>
      </c>
      <c r="L29" s="457">
        <f t="shared" si="8"/>
        <v>14457</v>
      </c>
      <c r="M29" s="453"/>
    </row>
    <row r="30" spans="1:13" ht="18.95" customHeight="1">
      <c r="A30" s="454" t="s">
        <v>277</v>
      </c>
      <c r="B30" s="459" t="s">
        <v>278</v>
      </c>
      <c r="C30" s="462">
        <v>16</v>
      </c>
      <c r="D30" s="455" t="s">
        <v>54</v>
      </c>
      <c r="E30" s="457">
        <f>G30+I30+K30</f>
        <v>0</v>
      </c>
      <c r="F30" s="457">
        <f t="shared" si="5"/>
        <v>2313</v>
      </c>
      <c r="G30" s="457"/>
      <c r="H30" s="457">
        <f t="shared" si="6"/>
        <v>0</v>
      </c>
      <c r="I30" s="457"/>
      <c r="J30" s="457">
        <f>TRUNC(J29*(C30/100))</f>
        <v>0</v>
      </c>
      <c r="K30" s="457"/>
      <c r="L30" s="457">
        <f>TRUNC(L29*(C30/100))</f>
        <v>2313</v>
      </c>
      <c r="M30" s="467"/>
    </row>
    <row r="31" spans="1:13" ht="18.95" customHeight="1">
      <c r="A31" s="463" t="s">
        <v>279</v>
      </c>
      <c r="B31" s="459" t="s">
        <v>280</v>
      </c>
      <c r="C31" s="456">
        <v>1.66</v>
      </c>
      <c r="D31" s="455" t="s">
        <v>281</v>
      </c>
      <c r="E31" s="457">
        <f>G31+I31+K31</f>
        <v>28041</v>
      </c>
      <c r="F31" s="457">
        <f t="shared" si="5"/>
        <v>46548</v>
      </c>
      <c r="G31" s="457"/>
      <c r="H31" s="457">
        <f t="shared" si="6"/>
        <v>0</v>
      </c>
      <c r="I31" s="457"/>
      <c r="J31" s="457">
        <f>INT($C31*I31)</f>
        <v>0</v>
      </c>
      <c r="K31" s="457">
        <f>'산근3-1(지반조사 단가)'!$C$17</f>
        <v>28041</v>
      </c>
      <c r="L31" s="457">
        <f>INT($C31*K31)</f>
        <v>46548</v>
      </c>
      <c r="M31" s="467"/>
    </row>
    <row r="32" spans="1:13" ht="18.95" customHeight="1">
      <c r="A32" s="454" t="s">
        <v>537</v>
      </c>
      <c r="B32" s="455"/>
      <c r="C32" s="464"/>
      <c r="D32" s="455"/>
      <c r="E32" s="465"/>
      <c r="F32" s="457">
        <f>SUM(H32,J32,L32)</f>
        <v>134921</v>
      </c>
      <c r="G32" s="457"/>
      <c r="H32" s="457">
        <f>SUM(H20:H31)</f>
        <v>61978</v>
      </c>
      <c r="I32" s="457"/>
      <c r="J32" s="457">
        <f>SUM(J20:J31)</f>
        <v>9625</v>
      </c>
      <c r="K32" s="457"/>
      <c r="L32" s="457">
        <f>SUM(L20:L31)</f>
        <v>63318</v>
      </c>
      <c r="M32" s="468"/>
    </row>
    <row r="33" spans="1:13" ht="18.95" customHeight="1">
      <c r="A33" s="414">
        <f>$O$2</f>
        <v>1</v>
      </c>
      <c r="B33" s="469"/>
      <c r="C33" s="470"/>
      <c r="D33" s="469"/>
      <c r="E33" s="471"/>
      <c r="F33" s="471">
        <f>SUM(H33,J33,L33)</f>
        <v>134921</v>
      </c>
      <c r="G33" s="471"/>
      <c r="H33" s="471">
        <f>INT($A$18*H32)</f>
        <v>61978</v>
      </c>
      <c r="I33" s="471"/>
      <c r="J33" s="471">
        <f>INT($A$18*J32)</f>
        <v>9625</v>
      </c>
      <c r="K33" s="471"/>
      <c r="L33" s="471">
        <f>INT($A$18*L32)</f>
        <v>63318</v>
      </c>
      <c r="M33" s="472"/>
    </row>
    <row r="34" spans="1:13" ht="18.95" customHeight="1">
      <c r="A34" s="474" t="s">
        <v>1875</v>
      </c>
      <c r="B34" s="475"/>
      <c r="C34" s="476"/>
      <c r="D34" s="477"/>
      <c r="E34" s="478"/>
      <c r="F34" s="478"/>
      <c r="G34" s="478"/>
      <c r="H34" s="478"/>
      <c r="I34" s="478"/>
      <c r="J34" s="478"/>
      <c r="K34" s="478"/>
      <c r="L34" s="478"/>
      <c r="M34" s="479"/>
    </row>
    <row r="35" spans="1:13" ht="18.95" customHeight="1">
      <c r="A35" s="454" t="s">
        <v>161</v>
      </c>
      <c r="B35" s="455"/>
      <c r="C35" s="456">
        <v>0.45</v>
      </c>
      <c r="D35" s="455" t="s">
        <v>264</v>
      </c>
      <c r="E35" s="457">
        <f t="shared" ref="E35:F46" si="9">G35+I35+K35</f>
        <v>295138</v>
      </c>
      <c r="F35" s="457">
        <f t="shared" si="9"/>
        <v>132812</v>
      </c>
      <c r="G35" s="457">
        <f>'산근3 노임'!$B$8</f>
        <v>295138</v>
      </c>
      <c r="H35" s="457">
        <f t="shared" ref="H35:H46" si="10">INT($C35*G35)</f>
        <v>132812</v>
      </c>
      <c r="I35" s="457"/>
      <c r="J35" s="457">
        <f t="shared" ref="J35:J43" si="11">INT($C35*I35)</f>
        <v>0</v>
      </c>
      <c r="K35" s="457"/>
      <c r="L35" s="457">
        <f t="shared" ref="L35:L44" si="12">INT($C35*K35)</f>
        <v>0</v>
      </c>
      <c r="M35" s="467"/>
    </row>
    <row r="36" spans="1:13" ht="18.95" customHeight="1">
      <c r="A36" s="454" t="s">
        <v>265</v>
      </c>
      <c r="B36" s="455"/>
      <c r="C36" s="456">
        <v>0.72</v>
      </c>
      <c r="D36" s="455" t="s">
        <v>264</v>
      </c>
      <c r="E36" s="457">
        <f t="shared" si="9"/>
        <v>0</v>
      </c>
      <c r="F36" s="457">
        <f t="shared" si="9"/>
        <v>0</v>
      </c>
      <c r="G36" s="457">
        <f>G21</f>
        <v>0</v>
      </c>
      <c r="H36" s="457">
        <f t="shared" si="10"/>
        <v>0</v>
      </c>
      <c r="I36" s="457"/>
      <c r="J36" s="457">
        <f t="shared" si="11"/>
        <v>0</v>
      </c>
      <c r="K36" s="457">
        <f>'산근3 노임'!$B$17</f>
        <v>0</v>
      </c>
      <c r="L36" s="457">
        <f t="shared" si="12"/>
        <v>0</v>
      </c>
      <c r="M36" s="467"/>
    </row>
    <row r="37" spans="1:13" ht="18.95" customHeight="1">
      <c r="A37" s="454" t="s">
        <v>266</v>
      </c>
      <c r="B37" s="455"/>
      <c r="C37" s="456">
        <v>0.63</v>
      </c>
      <c r="D37" s="455" t="s">
        <v>264</v>
      </c>
      <c r="E37" s="457">
        <f t="shared" si="9"/>
        <v>0</v>
      </c>
      <c r="F37" s="457">
        <f t="shared" si="9"/>
        <v>0</v>
      </c>
      <c r="G37" s="457">
        <f>G22</f>
        <v>0</v>
      </c>
      <c r="H37" s="457">
        <f t="shared" si="10"/>
        <v>0</v>
      </c>
      <c r="I37" s="457"/>
      <c r="J37" s="457">
        <f t="shared" si="11"/>
        <v>0</v>
      </c>
      <c r="K37" s="457">
        <f>'산근3 노임'!$B$18</f>
        <v>0</v>
      </c>
      <c r="L37" s="457">
        <f t="shared" si="12"/>
        <v>0</v>
      </c>
      <c r="M37" s="467"/>
    </row>
    <row r="38" spans="1:13" ht="18.95" customHeight="1">
      <c r="A38" s="454" t="s">
        <v>267</v>
      </c>
      <c r="B38" s="455"/>
      <c r="C38" s="456">
        <v>0.72</v>
      </c>
      <c r="D38" s="455" t="s">
        <v>264</v>
      </c>
      <c r="E38" s="457">
        <f t="shared" si="9"/>
        <v>0</v>
      </c>
      <c r="F38" s="457">
        <f t="shared" si="9"/>
        <v>0</v>
      </c>
      <c r="G38" s="457">
        <f>G23</f>
        <v>0</v>
      </c>
      <c r="H38" s="457">
        <f t="shared" si="10"/>
        <v>0</v>
      </c>
      <c r="I38" s="457"/>
      <c r="J38" s="457">
        <f t="shared" si="11"/>
        <v>0</v>
      </c>
      <c r="K38" s="457">
        <f>'산근3 노임'!$B$19</f>
        <v>0</v>
      </c>
      <c r="L38" s="457">
        <f t="shared" si="12"/>
        <v>0</v>
      </c>
      <c r="M38" s="467"/>
    </row>
    <row r="39" spans="1:13" ht="18.95" customHeight="1">
      <c r="A39" s="454" t="s">
        <v>268</v>
      </c>
      <c r="B39" s="458"/>
      <c r="C39" s="456">
        <v>0.05</v>
      </c>
      <c r="D39" s="455" t="s">
        <v>269</v>
      </c>
      <c r="E39" s="457">
        <f>+I39+G39+K39</f>
        <v>110000</v>
      </c>
      <c r="F39" s="457">
        <f t="shared" si="9"/>
        <v>5500</v>
      </c>
      <c r="G39" s="457"/>
      <c r="H39" s="457">
        <f t="shared" si="10"/>
        <v>0</v>
      </c>
      <c r="I39" s="457">
        <f>'산근3-1(지반조사 단가)'!$C$3</f>
        <v>110000</v>
      </c>
      <c r="J39" s="457">
        <f t="shared" si="11"/>
        <v>5500</v>
      </c>
      <c r="K39" s="457"/>
      <c r="L39" s="457">
        <f t="shared" si="12"/>
        <v>0</v>
      </c>
      <c r="M39" s="467"/>
    </row>
    <row r="40" spans="1:13" ht="18.95" customHeight="1">
      <c r="A40" s="454" t="s">
        <v>270</v>
      </c>
      <c r="B40" s="459"/>
      <c r="C40" s="456">
        <v>0.5</v>
      </c>
      <c r="D40" s="460" t="s">
        <v>271</v>
      </c>
      <c r="E40" s="457">
        <f>+I40+G40+K40</f>
        <v>30000</v>
      </c>
      <c r="F40" s="457">
        <f t="shared" si="9"/>
        <v>15000</v>
      </c>
      <c r="G40" s="457"/>
      <c r="H40" s="457">
        <f t="shared" si="10"/>
        <v>0</v>
      </c>
      <c r="I40" s="457">
        <f>'산근3-1(지반조사 단가)'!$C$5</f>
        <v>30000</v>
      </c>
      <c r="J40" s="457">
        <f t="shared" si="11"/>
        <v>15000</v>
      </c>
      <c r="K40" s="457"/>
      <c r="L40" s="457">
        <f t="shared" si="12"/>
        <v>0</v>
      </c>
      <c r="M40" s="467"/>
    </row>
    <row r="41" spans="1:13" ht="18.95" customHeight="1">
      <c r="A41" s="454" t="s">
        <v>272</v>
      </c>
      <c r="B41" s="459"/>
      <c r="C41" s="456">
        <v>0.05</v>
      </c>
      <c r="D41" s="460" t="s">
        <v>269</v>
      </c>
      <c r="E41" s="457">
        <f>+I41+G41+K41</f>
        <v>50000</v>
      </c>
      <c r="F41" s="457">
        <f t="shared" si="9"/>
        <v>2500</v>
      </c>
      <c r="G41" s="457"/>
      <c r="H41" s="457">
        <f t="shared" si="10"/>
        <v>0</v>
      </c>
      <c r="I41" s="457">
        <f>'산근3-1(지반조사 단가)'!$C$7</f>
        <v>50000</v>
      </c>
      <c r="J41" s="457">
        <f t="shared" si="11"/>
        <v>2500</v>
      </c>
      <c r="K41" s="457"/>
      <c r="L41" s="457">
        <f t="shared" si="12"/>
        <v>0</v>
      </c>
      <c r="M41" s="467"/>
    </row>
    <row r="42" spans="1:13" ht="18.95" customHeight="1">
      <c r="A42" s="454" t="s">
        <v>273</v>
      </c>
      <c r="B42" s="459"/>
      <c r="C42" s="456">
        <v>0.05</v>
      </c>
      <c r="D42" s="460" t="s">
        <v>269</v>
      </c>
      <c r="E42" s="457">
        <f>+I42+G42+K42</f>
        <v>35000</v>
      </c>
      <c r="F42" s="457">
        <f t="shared" si="9"/>
        <v>1750</v>
      </c>
      <c r="G42" s="457"/>
      <c r="H42" s="457">
        <f t="shared" si="10"/>
        <v>0</v>
      </c>
      <c r="I42" s="457">
        <f>'산근3-1(지반조사 단가)'!$C$8</f>
        <v>35000</v>
      </c>
      <c r="J42" s="457">
        <f t="shared" si="11"/>
        <v>1750</v>
      </c>
      <c r="K42" s="457"/>
      <c r="L42" s="457">
        <f t="shared" si="12"/>
        <v>0</v>
      </c>
      <c r="M42" s="467"/>
    </row>
    <row r="43" spans="1:13" ht="18.95" customHeight="1">
      <c r="A43" s="454" t="s">
        <v>274</v>
      </c>
      <c r="B43" s="459"/>
      <c r="C43" s="456">
        <v>0.05</v>
      </c>
      <c r="D43" s="460" t="s">
        <v>269</v>
      </c>
      <c r="E43" s="457">
        <f>+I43+G43+K43</f>
        <v>130000</v>
      </c>
      <c r="F43" s="457">
        <f t="shared" si="9"/>
        <v>6500</v>
      </c>
      <c r="G43" s="457"/>
      <c r="H43" s="457">
        <f t="shared" si="10"/>
        <v>0</v>
      </c>
      <c r="I43" s="457">
        <f>'산근3-1(지반조사 단가)'!$C$9</f>
        <v>130000</v>
      </c>
      <c r="J43" s="457">
        <f t="shared" si="11"/>
        <v>6500</v>
      </c>
      <c r="K43" s="457"/>
      <c r="L43" s="457">
        <f t="shared" si="12"/>
        <v>0</v>
      </c>
      <c r="M43" s="467"/>
    </row>
    <row r="44" spans="1:13" ht="18.95" customHeight="1">
      <c r="A44" s="454" t="s">
        <v>275</v>
      </c>
      <c r="B44" s="459"/>
      <c r="C44" s="456">
        <v>16.5</v>
      </c>
      <c r="D44" s="455" t="s">
        <v>276</v>
      </c>
      <c r="E44" s="457">
        <f>G44+I44+K44</f>
        <v>1506</v>
      </c>
      <c r="F44" s="457">
        <f t="shared" si="9"/>
        <v>24849</v>
      </c>
      <c r="G44" s="457"/>
      <c r="H44" s="457">
        <f t="shared" si="10"/>
        <v>0</v>
      </c>
      <c r="I44" s="457"/>
      <c r="J44" s="457">
        <f>INT($C44*I44)</f>
        <v>0</v>
      </c>
      <c r="K44" s="457">
        <f>'산근3-1(지반조사 단가)'!$C$14</f>
        <v>1506</v>
      </c>
      <c r="L44" s="457">
        <f t="shared" si="12"/>
        <v>24849</v>
      </c>
      <c r="M44" s="467"/>
    </row>
    <row r="45" spans="1:13" ht="18.95" customHeight="1">
      <c r="A45" s="454" t="s">
        <v>277</v>
      </c>
      <c r="B45" s="459" t="s">
        <v>278</v>
      </c>
      <c r="C45" s="462">
        <v>16</v>
      </c>
      <c r="D45" s="455" t="s">
        <v>54</v>
      </c>
      <c r="E45" s="457">
        <f>G45+I45+K45</f>
        <v>0</v>
      </c>
      <c r="F45" s="457">
        <f t="shared" si="9"/>
        <v>3975</v>
      </c>
      <c r="G45" s="457"/>
      <c r="H45" s="457">
        <f t="shared" si="10"/>
        <v>0</v>
      </c>
      <c r="I45" s="457"/>
      <c r="J45" s="457">
        <f>TRUNC(J44*(C45/100))</f>
        <v>0</v>
      </c>
      <c r="K45" s="457"/>
      <c r="L45" s="457">
        <f>TRUNC(L44*(C45/100))</f>
        <v>3975</v>
      </c>
      <c r="M45" s="467"/>
    </row>
    <row r="46" spans="1:13" ht="18.95" customHeight="1">
      <c r="A46" s="463" t="s">
        <v>279</v>
      </c>
      <c r="B46" s="459" t="s">
        <v>280</v>
      </c>
      <c r="C46" s="456">
        <v>2.85</v>
      </c>
      <c r="D46" s="455" t="s">
        <v>281</v>
      </c>
      <c r="E46" s="457">
        <f>G46+I46+K46</f>
        <v>28041</v>
      </c>
      <c r="F46" s="457">
        <f t="shared" si="9"/>
        <v>79916</v>
      </c>
      <c r="G46" s="457"/>
      <c r="H46" s="457">
        <f t="shared" si="10"/>
        <v>0</v>
      </c>
      <c r="I46" s="457"/>
      <c r="J46" s="457">
        <f>INT($C46*I46)</f>
        <v>0</v>
      </c>
      <c r="K46" s="457">
        <f>'산근3-1(지반조사 단가)'!$C$17</f>
        <v>28041</v>
      </c>
      <c r="L46" s="457">
        <f>INT($C46*K46)</f>
        <v>79916</v>
      </c>
      <c r="M46" s="467"/>
    </row>
    <row r="47" spans="1:13" ht="18.95" customHeight="1">
      <c r="A47" s="454" t="s">
        <v>537</v>
      </c>
      <c r="B47" s="455"/>
      <c r="C47" s="464"/>
      <c r="D47" s="455"/>
      <c r="E47" s="465"/>
      <c r="F47" s="457">
        <f>SUM(H47,J47,L47)</f>
        <v>272802</v>
      </c>
      <c r="G47" s="457"/>
      <c r="H47" s="457">
        <f>SUM(H35:H46)</f>
        <v>132812</v>
      </c>
      <c r="I47" s="457"/>
      <c r="J47" s="457">
        <f>SUM(J35:J46)</f>
        <v>31250</v>
      </c>
      <c r="K47" s="457"/>
      <c r="L47" s="457">
        <f>SUM(L35:L46)</f>
        <v>108740</v>
      </c>
      <c r="M47" s="467"/>
    </row>
    <row r="48" spans="1:13" ht="18.95" customHeight="1">
      <c r="A48" s="466">
        <f>$O$2</f>
        <v>1</v>
      </c>
      <c r="B48" s="455"/>
      <c r="C48" s="464"/>
      <c r="D48" s="455"/>
      <c r="E48" s="457"/>
      <c r="F48" s="457">
        <f>SUM(H48,J48,L48)</f>
        <v>272802</v>
      </c>
      <c r="G48" s="457"/>
      <c r="H48" s="457">
        <f>INT($A$18*H47)</f>
        <v>132812</v>
      </c>
      <c r="I48" s="457"/>
      <c r="J48" s="457">
        <f>INT($A$18*J47)</f>
        <v>31250</v>
      </c>
      <c r="K48" s="457"/>
      <c r="L48" s="457">
        <f>INT($A$18*L47)</f>
        <v>108740</v>
      </c>
      <c r="M48" s="461"/>
    </row>
    <row r="49" spans="1:13" ht="18.95" customHeight="1">
      <c r="A49" s="448" t="s">
        <v>1876</v>
      </c>
      <c r="B49" s="449"/>
      <c r="C49" s="450"/>
      <c r="D49" s="451"/>
      <c r="E49" s="457"/>
      <c r="F49" s="457"/>
      <c r="G49" s="457"/>
      <c r="H49" s="457"/>
      <c r="I49" s="457"/>
      <c r="J49" s="457"/>
      <c r="K49" s="457"/>
      <c r="L49" s="457"/>
      <c r="M49" s="480"/>
    </row>
    <row r="50" spans="1:13" ht="18.95" customHeight="1">
      <c r="A50" s="454" t="s">
        <v>161</v>
      </c>
      <c r="B50" s="455"/>
      <c r="C50" s="456">
        <v>0.19</v>
      </c>
      <c r="D50" s="455" t="s">
        <v>41</v>
      </c>
      <c r="E50" s="457">
        <f t="shared" ref="E50:F60" si="13">G50+I50+K50</f>
        <v>295138</v>
      </c>
      <c r="F50" s="457">
        <f t="shared" si="13"/>
        <v>56076</v>
      </c>
      <c r="G50" s="457">
        <f>'산근3 노임'!$B$8</f>
        <v>295138</v>
      </c>
      <c r="H50" s="457">
        <f>TRUNC(C50*G50)</f>
        <v>56076</v>
      </c>
      <c r="I50" s="457"/>
      <c r="J50" s="457"/>
      <c r="K50" s="457"/>
      <c r="L50" s="457"/>
      <c r="M50" s="480"/>
    </row>
    <row r="51" spans="1:13" ht="18.95" customHeight="1">
      <c r="A51" s="454" t="s">
        <v>265</v>
      </c>
      <c r="B51" s="455"/>
      <c r="C51" s="456">
        <v>0.35</v>
      </c>
      <c r="D51" s="455" t="s">
        <v>41</v>
      </c>
      <c r="E51" s="457">
        <f t="shared" si="13"/>
        <v>0</v>
      </c>
      <c r="F51" s="457">
        <f t="shared" si="13"/>
        <v>0</v>
      </c>
      <c r="G51" s="457"/>
      <c r="H51" s="457">
        <f>TRUNC(C51*G51)</f>
        <v>0</v>
      </c>
      <c r="I51" s="457"/>
      <c r="J51" s="457"/>
      <c r="K51" s="457">
        <f>'산근3 노임'!$B$17</f>
        <v>0</v>
      </c>
      <c r="L51" s="457">
        <f t="shared" ref="L51:L58" si="14">INT($C51*K51)</f>
        <v>0</v>
      </c>
      <c r="M51" s="467"/>
    </row>
    <row r="52" spans="1:13" ht="18.95" customHeight="1">
      <c r="A52" s="454" t="s">
        <v>266</v>
      </c>
      <c r="B52" s="455"/>
      <c r="C52" s="456">
        <v>0.26</v>
      </c>
      <c r="D52" s="455" t="s">
        <v>41</v>
      </c>
      <c r="E52" s="457">
        <f t="shared" si="13"/>
        <v>0</v>
      </c>
      <c r="F52" s="457">
        <f t="shared" si="13"/>
        <v>0</v>
      </c>
      <c r="G52" s="457"/>
      <c r="H52" s="457">
        <f>TRUNC(C52*G52)</f>
        <v>0</v>
      </c>
      <c r="I52" s="457"/>
      <c r="J52" s="457"/>
      <c r="K52" s="457">
        <f>'산근3 노임'!$B$18</f>
        <v>0</v>
      </c>
      <c r="L52" s="457">
        <f t="shared" si="14"/>
        <v>0</v>
      </c>
      <c r="M52" s="467"/>
    </row>
    <row r="53" spans="1:13" ht="18.95" customHeight="1">
      <c r="A53" s="454" t="s">
        <v>267</v>
      </c>
      <c r="B53" s="455"/>
      <c r="C53" s="456">
        <v>0.35</v>
      </c>
      <c r="D53" s="455" t="s">
        <v>41</v>
      </c>
      <c r="E53" s="457">
        <f t="shared" si="13"/>
        <v>0</v>
      </c>
      <c r="F53" s="457">
        <f t="shared" si="13"/>
        <v>0</v>
      </c>
      <c r="G53" s="457"/>
      <c r="H53" s="457">
        <f>TRUNC(C53*G53)</f>
        <v>0</v>
      </c>
      <c r="I53" s="457"/>
      <c r="J53" s="457"/>
      <c r="K53" s="457">
        <f>'산근3 노임'!$B$19</f>
        <v>0</v>
      </c>
      <c r="L53" s="457">
        <f t="shared" si="14"/>
        <v>0</v>
      </c>
      <c r="M53" s="467"/>
    </row>
    <row r="54" spans="1:13" ht="18.95" customHeight="1">
      <c r="A54" s="454" t="s">
        <v>282</v>
      </c>
      <c r="B54" s="458"/>
      <c r="C54" s="456">
        <v>0.02</v>
      </c>
      <c r="D54" s="455" t="s">
        <v>269</v>
      </c>
      <c r="E54" s="457">
        <f>+I54+G54+K54</f>
        <v>550000</v>
      </c>
      <c r="F54" s="457">
        <f t="shared" si="13"/>
        <v>11000</v>
      </c>
      <c r="G54" s="457"/>
      <c r="H54" s="457">
        <f t="shared" ref="H54:H60" si="15">INT($C54*G54)</f>
        <v>0</v>
      </c>
      <c r="I54" s="457">
        <f>'산근3-1(지반조사 단가)'!$C$4</f>
        <v>550000</v>
      </c>
      <c r="J54" s="457">
        <f>INT($C54*I54)</f>
        <v>11000</v>
      </c>
      <c r="K54" s="457"/>
      <c r="L54" s="457">
        <f t="shared" si="14"/>
        <v>0</v>
      </c>
      <c r="M54" s="467"/>
    </row>
    <row r="55" spans="1:13" ht="18.95" customHeight="1">
      <c r="A55" s="454" t="s">
        <v>270</v>
      </c>
      <c r="B55" s="459"/>
      <c r="C55" s="456">
        <v>0.8</v>
      </c>
      <c r="D55" s="460" t="s">
        <v>271</v>
      </c>
      <c r="E55" s="457">
        <f>+I55+G55+K55</f>
        <v>30000</v>
      </c>
      <c r="F55" s="457">
        <f t="shared" si="13"/>
        <v>24000</v>
      </c>
      <c r="G55" s="457"/>
      <c r="H55" s="457">
        <f t="shared" si="15"/>
        <v>0</v>
      </c>
      <c r="I55" s="457">
        <f>'산근3-1(지반조사 단가)'!$C$5</f>
        <v>30000</v>
      </c>
      <c r="J55" s="457">
        <f>INT($C55*I55)</f>
        <v>24000</v>
      </c>
      <c r="K55" s="457"/>
      <c r="L55" s="457">
        <f t="shared" si="14"/>
        <v>0</v>
      </c>
      <c r="M55" s="467"/>
    </row>
    <row r="56" spans="1:13" ht="18.95" customHeight="1">
      <c r="A56" s="454" t="s">
        <v>283</v>
      </c>
      <c r="B56" s="459"/>
      <c r="C56" s="456">
        <v>0.02</v>
      </c>
      <c r="D56" s="460" t="s">
        <v>269</v>
      </c>
      <c r="E56" s="457">
        <f>+I56+G56+K56</f>
        <v>50000</v>
      </c>
      <c r="F56" s="457">
        <f t="shared" si="13"/>
        <v>1000</v>
      </c>
      <c r="G56" s="457"/>
      <c r="H56" s="457">
        <f t="shared" si="15"/>
        <v>0</v>
      </c>
      <c r="I56" s="457">
        <f>'산근3-1(지반조사 단가)'!$C$10</f>
        <v>50000</v>
      </c>
      <c r="J56" s="457">
        <f>INT($C56*I56)</f>
        <v>1000</v>
      </c>
      <c r="K56" s="457"/>
      <c r="L56" s="457">
        <f t="shared" si="14"/>
        <v>0</v>
      </c>
      <c r="M56" s="467"/>
    </row>
    <row r="57" spans="1:13" ht="18.95" customHeight="1">
      <c r="A57" s="454" t="s">
        <v>284</v>
      </c>
      <c r="B57" s="459"/>
      <c r="C57" s="456">
        <v>0.1</v>
      </c>
      <c r="D57" s="460" t="s">
        <v>269</v>
      </c>
      <c r="E57" s="457">
        <f>+I57+G57+K57</f>
        <v>17000</v>
      </c>
      <c r="F57" s="457">
        <f t="shared" si="13"/>
        <v>1700</v>
      </c>
      <c r="G57" s="457"/>
      <c r="H57" s="457">
        <f t="shared" si="15"/>
        <v>0</v>
      </c>
      <c r="I57" s="457">
        <f>'산근3-1(지반조사 단가)'!$C$11</f>
        <v>17000</v>
      </c>
      <c r="J57" s="457">
        <f>INT($C57*I57)</f>
        <v>1700</v>
      </c>
      <c r="K57" s="457"/>
      <c r="L57" s="457">
        <f t="shared" si="14"/>
        <v>0</v>
      </c>
      <c r="M57" s="453"/>
    </row>
    <row r="58" spans="1:13" ht="18.95" customHeight="1">
      <c r="A58" s="454" t="s">
        <v>275</v>
      </c>
      <c r="B58" s="459"/>
      <c r="C58" s="456">
        <v>8.4</v>
      </c>
      <c r="D58" s="455" t="s">
        <v>276</v>
      </c>
      <c r="E58" s="457">
        <f>G58+I58+K58</f>
        <v>1506</v>
      </c>
      <c r="F58" s="457">
        <f t="shared" si="13"/>
        <v>12650</v>
      </c>
      <c r="G58" s="457"/>
      <c r="H58" s="457">
        <f t="shared" si="15"/>
        <v>0</v>
      </c>
      <c r="I58" s="457"/>
      <c r="J58" s="457">
        <f>INT($C58*I58)</f>
        <v>0</v>
      </c>
      <c r="K58" s="457">
        <f>'산근3-1(지반조사 단가)'!$C$14</f>
        <v>1506</v>
      </c>
      <c r="L58" s="457">
        <f t="shared" si="14"/>
        <v>12650</v>
      </c>
      <c r="M58" s="453"/>
    </row>
    <row r="59" spans="1:13" ht="18.95" customHeight="1">
      <c r="A59" s="454" t="s">
        <v>277</v>
      </c>
      <c r="B59" s="459" t="s">
        <v>278</v>
      </c>
      <c r="C59" s="462">
        <v>16</v>
      </c>
      <c r="D59" s="455" t="s">
        <v>54</v>
      </c>
      <c r="E59" s="457">
        <f>G59+I59+K59</f>
        <v>0</v>
      </c>
      <c r="F59" s="457">
        <f t="shared" si="13"/>
        <v>2024</v>
      </c>
      <c r="G59" s="457"/>
      <c r="H59" s="457">
        <f t="shared" si="15"/>
        <v>0</v>
      </c>
      <c r="I59" s="457"/>
      <c r="J59" s="457">
        <f>TRUNC(J58*(C59/100))</f>
        <v>0</v>
      </c>
      <c r="K59" s="457"/>
      <c r="L59" s="457">
        <f>TRUNC(L58*(C59/100))</f>
        <v>2024</v>
      </c>
      <c r="M59" s="481"/>
    </row>
    <row r="60" spans="1:13" ht="18.95" customHeight="1">
      <c r="A60" s="463" t="s">
        <v>279</v>
      </c>
      <c r="B60" s="459" t="s">
        <v>280</v>
      </c>
      <c r="C60" s="456">
        <v>1.45</v>
      </c>
      <c r="D60" s="455" t="s">
        <v>281</v>
      </c>
      <c r="E60" s="457">
        <f>G60+I60+K60</f>
        <v>28041</v>
      </c>
      <c r="F60" s="457">
        <f t="shared" si="13"/>
        <v>40659</v>
      </c>
      <c r="G60" s="457"/>
      <c r="H60" s="457">
        <f t="shared" si="15"/>
        <v>0</v>
      </c>
      <c r="I60" s="457"/>
      <c r="J60" s="457">
        <f>INT($C60*I60)</f>
        <v>0</v>
      </c>
      <c r="K60" s="457">
        <f>'산근3-1(지반조사 단가)'!$C$17</f>
        <v>28041</v>
      </c>
      <c r="L60" s="457">
        <f>INT($C60*K60)</f>
        <v>40659</v>
      </c>
      <c r="M60" s="481"/>
    </row>
    <row r="61" spans="1:13" ht="18.95" customHeight="1">
      <c r="A61" s="454" t="s">
        <v>537</v>
      </c>
      <c r="B61" s="455"/>
      <c r="C61" s="464"/>
      <c r="D61" s="455"/>
      <c r="E61" s="465"/>
      <c r="F61" s="457">
        <f>SUM(H61,J61,L61)</f>
        <v>149109</v>
      </c>
      <c r="G61" s="457"/>
      <c r="H61" s="457">
        <f>SUM(H50:H60)</f>
        <v>56076</v>
      </c>
      <c r="I61" s="457"/>
      <c r="J61" s="457">
        <f>SUM(J50:J60)</f>
        <v>37700</v>
      </c>
      <c r="K61" s="457"/>
      <c r="L61" s="457">
        <f>SUM(L50:L60)</f>
        <v>55333</v>
      </c>
      <c r="M61" s="482"/>
    </row>
    <row r="62" spans="1:13" ht="18.95" customHeight="1">
      <c r="A62" s="466">
        <f>$O$2</f>
        <v>1</v>
      </c>
      <c r="B62" s="455"/>
      <c r="C62" s="464"/>
      <c r="D62" s="455"/>
      <c r="E62" s="457"/>
      <c r="F62" s="457">
        <f>SUM(H62,J62,L62)</f>
        <v>149109</v>
      </c>
      <c r="G62" s="457"/>
      <c r="H62" s="457">
        <f>INT($A$18*H61)</f>
        <v>56076</v>
      </c>
      <c r="I62" s="457"/>
      <c r="J62" s="457">
        <f>INT($A$18*J61)</f>
        <v>37700</v>
      </c>
      <c r="K62" s="457"/>
      <c r="L62" s="457">
        <f>INT($A$18*L61)</f>
        <v>55333</v>
      </c>
      <c r="M62" s="473"/>
    </row>
    <row r="63" spans="1:13" ht="18.95" customHeight="1">
      <c r="A63" s="474" t="s">
        <v>1877</v>
      </c>
      <c r="B63" s="475"/>
      <c r="C63" s="476"/>
      <c r="D63" s="477"/>
      <c r="E63" s="478"/>
      <c r="F63" s="478"/>
      <c r="G63" s="478"/>
      <c r="H63" s="478"/>
      <c r="I63" s="478"/>
      <c r="J63" s="478"/>
      <c r="K63" s="478"/>
      <c r="L63" s="478"/>
      <c r="M63" s="483"/>
    </row>
    <row r="64" spans="1:13" ht="18.95" customHeight="1">
      <c r="A64" s="454" t="s">
        <v>161</v>
      </c>
      <c r="B64" s="455"/>
      <c r="C64" s="456">
        <v>0.21</v>
      </c>
      <c r="D64" s="455" t="s">
        <v>41</v>
      </c>
      <c r="E64" s="457">
        <f>G64+I64+K64</f>
        <v>295138</v>
      </c>
      <c r="F64" s="457">
        <f t="shared" ref="F64:F74" si="16">H64+J64+L64</f>
        <v>61978</v>
      </c>
      <c r="G64" s="457">
        <f>'산근3 노임'!$B$8</f>
        <v>295138</v>
      </c>
      <c r="H64" s="457">
        <f>TRUNC(C64*G64)</f>
        <v>61978</v>
      </c>
      <c r="I64" s="457"/>
      <c r="J64" s="457"/>
      <c r="K64" s="457"/>
      <c r="L64" s="457"/>
      <c r="M64" s="480"/>
    </row>
    <row r="65" spans="1:13" ht="18.95" customHeight="1">
      <c r="A65" s="454" t="s">
        <v>265</v>
      </c>
      <c r="B65" s="455"/>
      <c r="C65" s="456">
        <v>0.37</v>
      </c>
      <c r="D65" s="455" t="s">
        <v>41</v>
      </c>
      <c r="E65" s="457">
        <f>G65+I65+K65</f>
        <v>0</v>
      </c>
      <c r="F65" s="457">
        <f t="shared" si="16"/>
        <v>0</v>
      </c>
      <c r="G65" s="457"/>
      <c r="H65" s="457">
        <f>TRUNC(C65*G65)</f>
        <v>0</v>
      </c>
      <c r="I65" s="457"/>
      <c r="J65" s="457"/>
      <c r="K65" s="457">
        <f>'산근3 노임'!$B$17</f>
        <v>0</v>
      </c>
      <c r="L65" s="457">
        <f t="shared" ref="L65:L72" si="17">INT($C65*K65)</f>
        <v>0</v>
      </c>
      <c r="M65" s="467"/>
    </row>
    <row r="66" spans="1:13" ht="18.95" customHeight="1">
      <c r="A66" s="454" t="s">
        <v>266</v>
      </c>
      <c r="B66" s="455"/>
      <c r="C66" s="456">
        <v>0.28000000000000003</v>
      </c>
      <c r="D66" s="455" t="s">
        <v>41</v>
      </c>
      <c r="E66" s="457">
        <f>G66+I66+K66</f>
        <v>0</v>
      </c>
      <c r="F66" s="457">
        <f t="shared" si="16"/>
        <v>0</v>
      </c>
      <c r="G66" s="457"/>
      <c r="H66" s="457">
        <f>TRUNC(C66*G66)</f>
        <v>0</v>
      </c>
      <c r="I66" s="457"/>
      <c r="J66" s="457"/>
      <c r="K66" s="457">
        <f>'산근3 노임'!$B$18</f>
        <v>0</v>
      </c>
      <c r="L66" s="457">
        <f t="shared" si="17"/>
        <v>0</v>
      </c>
      <c r="M66" s="467"/>
    </row>
    <row r="67" spans="1:13" ht="18.95" customHeight="1">
      <c r="A67" s="454" t="s">
        <v>267</v>
      </c>
      <c r="B67" s="455"/>
      <c r="C67" s="456">
        <v>0.37</v>
      </c>
      <c r="D67" s="455" t="s">
        <v>41</v>
      </c>
      <c r="E67" s="457">
        <f>G67+I67+K67</f>
        <v>0</v>
      </c>
      <c r="F67" s="457">
        <f t="shared" si="16"/>
        <v>0</v>
      </c>
      <c r="G67" s="457"/>
      <c r="H67" s="457">
        <f>TRUNC(C67*G67)</f>
        <v>0</v>
      </c>
      <c r="I67" s="457"/>
      <c r="J67" s="457"/>
      <c r="K67" s="457">
        <f>'산근3 노임'!$B$19</f>
        <v>0</v>
      </c>
      <c r="L67" s="457">
        <f t="shared" si="17"/>
        <v>0</v>
      </c>
      <c r="M67" s="467"/>
    </row>
    <row r="68" spans="1:13" ht="18.95" customHeight="1">
      <c r="A68" s="454" t="s">
        <v>282</v>
      </c>
      <c r="B68" s="458"/>
      <c r="C68" s="456">
        <v>2.5000000000000001E-2</v>
      </c>
      <c r="D68" s="455" t="s">
        <v>269</v>
      </c>
      <c r="E68" s="457">
        <f>+I68+G68+K68</f>
        <v>550000</v>
      </c>
      <c r="F68" s="457">
        <f t="shared" si="16"/>
        <v>13750</v>
      </c>
      <c r="G68" s="457"/>
      <c r="H68" s="457">
        <f t="shared" ref="H68:H74" si="18">INT($C68*G68)</f>
        <v>0</v>
      </c>
      <c r="I68" s="457">
        <f>'산근3-1(지반조사 단가)'!$C$4</f>
        <v>550000</v>
      </c>
      <c r="J68" s="457">
        <f>INT($C68*I68)</f>
        <v>13750</v>
      </c>
      <c r="K68" s="457"/>
      <c r="L68" s="457">
        <f t="shared" si="17"/>
        <v>0</v>
      </c>
      <c r="M68" s="467"/>
    </row>
    <row r="69" spans="1:13" ht="18.95" customHeight="1">
      <c r="A69" s="454" t="s">
        <v>270</v>
      </c>
      <c r="B69" s="459"/>
      <c r="C69" s="456">
        <v>1</v>
      </c>
      <c r="D69" s="460" t="s">
        <v>271</v>
      </c>
      <c r="E69" s="457">
        <f>+I69+G69+K69</f>
        <v>30000</v>
      </c>
      <c r="F69" s="457">
        <f t="shared" si="16"/>
        <v>30000</v>
      </c>
      <c r="G69" s="457"/>
      <c r="H69" s="457">
        <f t="shared" si="18"/>
        <v>0</v>
      </c>
      <c r="I69" s="457">
        <f>'산근3-1(지반조사 단가)'!$C$5</f>
        <v>30000</v>
      </c>
      <c r="J69" s="457">
        <f>INT($C69*I69)</f>
        <v>30000</v>
      </c>
      <c r="K69" s="457"/>
      <c r="L69" s="457">
        <f t="shared" si="17"/>
        <v>0</v>
      </c>
      <c r="M69" s="467"/>
    </row>
    <row r="70" spans="1:13" ht="18.95" customHeight="1">
      <c r="A70" s="454" t="s">
        <v>283</v>
      </c>
      <c r="B70" s="459"/>
      <c r="C70" s="456">
        <v>2.5000000000000001E-2</v>
      </c>
      <c r="D70" s="460" t="s">
        <v>269</v>
      </c>
      <c r="E70" s="457">
        <f>+I70+G70+K70</f>
        <v>50000</v>
      </c>
      <c r="F70" s="457">
        <f t="shared" si="16"/>
        <v>1250</v>
      </c>
      <c r="G70" s="457"/>
      <c r="H70" s="457">
        <f t="shared" si="18"/>
        <v>0</v>
      </c>
      <c r="I70" s="457">
        <f>'산근3-1(지반조사 단가)'!$C$10</f>
        <v>50000</v>
      </c>
      <c r="J70" s="457">
        <f>INT($C70*I70)</f>
        <v>1250</v>
      </c>
      <c r="K70" s="457"/>
      <c r="L70" s="457">
        <f t="shared" si="17"/>
        <v>0</v>
      </c>
      <c r="M70" s="467"/>
    </row>
    <row r="71" spans="1:13" ht="18.95" customHeight="1">
      <c r="A71" s="454" t="s">
        <v>284</v>
      </c>
      <c r="B71" s="459"/>
      <c r="C71" s="456">
        <v>0.1</v>
      </c>
      <c r="D71" s="460" t="s">
        <v>269</v>
      </c>
      <c r="E71" s="457">
        <f>+I71+G71+K71</f>
        <v>17000</v>
      </c>
      <c r="F71" s="457">
        <f t="shared" si="16"/>
        <v>1700</v>
      </c>
      <c r="G71" s="457"/>
      <c r="H71" s="457">
        <f t="shared" si="18"/>
        <v>0</v>
      </c>
      <c r="I71" s="457">
        <f>'산근3-1(지반조사 단가)'!$C$11</f>
        <v>17000</v>
      </c>
      <c r="J71" s="457">
        <f>INT($C71*I71)</f>
        <v>1700</v>
      </c>
      <c r="K71" s="457"/>
      <c r="L71" s="457">
        <f t="shared" si="17"/>
        <v>0</v>
      </c>
      <c r="M71" s="453"/>
    </row>
    <row r="72" spans="1:13" ht="18.95" customHeight="1">
      <c r="A72" s="454" t="s">
        <v>275</v>
      </c>
      <c r="B72" s="459"/>
      <c r="C72" s="456">
        <v>9.6</v>
      </c>
      <c r="D72" s="455" t="s">
        <v>276</v>
      </c>
      <c r="E72" s="457">
        <f>G72+I72+K72</f>
        <v>1506</v>
      </c>
      <c r="F72" s="457">
        <f t="shared" si="16"/>
        <v>14457</v>
      </c>
      <c r="G72" s="457"/>
      <c r="H72" s="457">
        <f t="shared" si="18"/>
        <v>0</v>
      </c>
      <c r="I72" s="457"/>
      <c r="J72" s="457">
        <f>INT($C72*I72)</f>
        <v>0</v>
      </c>
      <c r="K72" s="457">
        <f>'산근3-1(지반조사 단가)'!$C$14</f>
        <v>1506</v>
      </c>
      <c r="L72" s="457">
        <f t="shared" si="17"/>
        <v>14457</v>
      </c>
      <c r="M72" s="453"/>
    </row>
    <row r="73" spans="1:13" ht="18.95" customHeight="1">
      <c r="A73" s="454" t="s">
        <v>277</v>
      </c>
      <c r="B73" s="459" t="s">
        <v>278</v>
      </c>
      <c r="C73" s="462">
        <v>16</v>
      </c>
      <c r="D73" s="455" t="s">
        <v>54</v>
      </c>
      <c r="E73" s="457">
        <f>G73+I73+K73</f>
        <v>0</v>
      </c>
      <c r="F73" s="457">
        <f t="shared" si="16"/>
        <v>2313</v>
      </c>
      <c r="G73" s="457"/>
      <c r="H73" s="457">
        <f t="shared" si="18"/>
        <v>0</v>
      </c>
      <c r="I73" s="457"/>
      <c r="J73" s="457">
        <f>TRUNC(J72*(C73/100))</f>
        <v>0</v>
      </c>
      <c r="K73" s="457"/>
      <c r="L73" s="457">
        <f>TRUNC(L72*(C73/100))</f>
        <v>2313</v>
      </c>
      <c r="M73" s="481"/>
    </row>
    <row r="74" spans="1:13" ht="18.95" customHeight="1">
      <c r="A74" s="463" t="s">
        <v>279</v>
      </c>
      <c r="B74" s="459" t="s">
        <v>280</v>
      </c>
      <c r="C74" s="456">
        <v>1.66</v>
      </c>
      <c r="D74" s="455" t="s">
        <v>281</v>
      </c>
      <c r="E74" s="457">
        <f>G74+I74+K74</f>
        <v>28041</v>
      </c>
      <c r="F74" s="457">
        <f t="shared" si="16"/>
        <v>46548</v>
      </c>
      <c r="G74" s="457"/>
      <c r="H74" s="457">
        <f t="shared" si="18"/>
        <v>0</v>
      </c>
      <c r="I74" s="457"/>
      <c r="J74" s="457">
        <f>INT($C74*I74)</f>
        <v>0</v>
      </c>
      <c r="K74" s="457">
        <f>'산근3-1(지반조사 단가)'!$C$17</f>
        <v>28041</v>
      </c>
      <c r="L74" s="457">
        <f>INT($C74*K74)</f>
        <v>46548</v>
      </c>
      <c r="M74" s="481"/>
    </row>
    <row r="75" spans="1:13" ht="18.95" customHeight="1">
      <c r="A75" s="454" t="s">
        <v>537</v>
      </c>
      <c r="B75" s="455"/>
      <c r="C75" s="464"/>
      <c r="D75" s="455"/>
      <c r="E75" s="465"/>
      <c r="F75" s="457">
        <f>SUM(H75,J75,L75)</f>
        <v>171996</v>
      </c>
      <c r="G75" s="457"/>
      <c r="H75" s="457">
        <f>SUM(H64:H74)</f>
        <v>61978</v>
      </c>
      <c r="I75" s="457"/>
      <c r="J75" s="457">
        <f>SUM(J64:J74)</f>
        <v>46700</v>
      </c>
      <c r="K75" s="457"/>
      <c r="L75" s="457">
        <f>SUM(L64:L74)</f>
        <v>63318</v>
      </c>
      <c r="M75" s="484"/>
    </row>
    <row r="76" spans="1:13" ht="18.95" customHeight="1">
      <c r="A76" s="466">
        <f>$O$2</f>
        <v>1</v>
      </c>
      <c r="B76" s="455"/>
      <c r="C76" s="464"/>
      <c r="D76" s="455"/>
      <c r="E76" s="457"/>
      <c r="F76" s="457">
        <f>SUM(H76,J76,L76)</f>
        <v>171996</v>
      </c>
      <c r="G76" s="457"/>
      <c r="H76" s="457">
        <f>INT($A$18*H75)</f>
        <v>61978</v>
      </c>
      <c r="I76" s="457"/>
      <c r="J76" s="457">
        <f>INT($A$18*J75)</f>
        <v>46700</v>
      </c>
      <c r="K76" s="457"/>
      <c r="L76" s="457">
        <f>INT($A$18*L75)</f>
        <v>63318</v>
      </c>
      <c r="M76" s="461"/>
    </row>
    <row r="77" spans="1:13" ht="18.95" customHeight="1">
      <c r="A77" s="454"/>
      <c r="B77" s="455"/>
      <c r="C77" s="464"/>
      <c r="D77" s="455"/>
      <c r="E77" s="457"/>
      <c r="F77" s="457"/>
      <c r="G77" s="457"/>
      <c r="H77" s="457"/>
      <c r="I77" s="457"/>
      <c r="J77" s="457"/>
      <c r="K77" s="457"/>
      <c r="L77" s="457"/>
      <c r="M77" s="461"/>
    </row>
    <row r="78" spans="1:13" ht="18.95" customHeight="1">
      <c r="A78" s="448" t="s">
        <v>1878</v>
      </c>
      <c r="B78" s="455"/>
      <c r="C78" s="464"/>
      <c r="D78" s="455"/>
      <c r="E78" s="457"/>
      <c r="F78" s="457"/>
      <c r="G78" s="457"/>
      <c r="H78" s="457"/>
      <c r="I78" s="457"/>
      <c r="J78" s="457"/>
      <c r="K78" s="457"/>
      <c r="L78" s="457"/>
      <c r="M78" s="453"/>
    </row>
    <row r="79" spans="1:13" ht="18.95" customHeight="1">
      <c r="A79" s="454" t="s">
        <v>161</v>
      </c>
      <c r="B79" s="455"/>
      <c r="C79" s="485">
        <v>0.02</v>
      </c>
      <c r="D79" s="455" t="s">
        <v>41</v>
      </c>
      <c r="E79" s="457">
        <f t="shared" ref="E79:F87" si="19">G79+I79+K79</f>
        <v>295138</v>
      </c>
      <c r="F79" s="457">
        <f t="shared" si="19"/>
        <v>5902</v>
      </c>
      <c r="G79" s="457">
        <f>'산근3 노임'!$B$8</f>
        <v>295138</v>
      </c>
      <c r="H79" s="457">
        <f>TRUNC(C79*G79)</f>
        <v>5902</v>
      </c>
      <c r="I79" s="457"/>
      <c r="J79" s="457"/>
      <c r="K79" s="457"/>
      <c r="L79" s="457"/>
      <c r="M79" s="453"/>
    </row>
    <row r="80" spans="1:13" ht="18.95" customHeight="1">
      <c r="A80" s="454" t="s">
        <v>265</v>
      </c>
      <c r="B80" s="455"/>
      <c r="C80" s="485">
        <v>7.0000000000000007E-2</v>
      </c>
      <c r="D80" s="455" t="s">
        <v>41</v>
      </c>
      <c r="E80" s="457">
        <f t="shared" si="19"/>
        <v>0</v>
      </c>
      <c r="F80" s="457">
        <f t="shared" si="19"/>
        <v>0</v>
      </c>
      <c r="G80" s="457">
        <f>G51</f>
        <v>0</v>
      </c>
      <c r="H80" s="457">
        <f>TRUNC(C80*G80)</f>
        <v>0</v>
      </c>
      <c r="I80" s="457"/>
      <c r="J80" s="457"/>
      <c r="K80" s="457">
        <f>'산근3 노임'!$B$17</f>
        <v>0</v>
      </c>
      <c r="L80" s="457">
        <f>INT($C80*K80)</f>
        <v>0</v>
      </c>
      <c r="M80" s="453"/>
    </row>
    <row r="81" spans="1:13" ht="18.95" customHeight="1">
      <c r="A81" s="454" t="s">
        <v>266</v>
      </c>
      <c r="B81" s="455"/>
      <c r="C81" s="485">
        <v>0.06</v>
      </c>
      <c r="D81" s="455" t="s">
        <v>41</v>
      </c>
      <c r="E81" s="457">
        <f t="shared" si="19"/>
        <v>0</v>
      </c>
      <c r="F81" s="457">
        <f t="shared" si="19"/>
        <v>0</v>
      </c>
      <c r="G81" s="457">
        <f>G52</f>
        <v>0</v>
      </c>
      <c r="H81" s="457">
        <f>TRUNC(C81*G81)</f>
        <v>0</v>
      </c>
      <c r="I81" s="457"/>
      <c r="J81" s="457"/>
      <c r="K81" s="457">
        <f>'산근3 노임'!$B$18</f>
        <v>0</v>
      </c>
      <c r="L81" s="457">
        <f>INT($C81*K81)</f>
        <v>0</v>
      </c>
      <c r="M81" s="453"/>
    </row>
    <row r="82" spans="1:13" ht="18.95" customHeight="1">
      <c r="A82" s="454" t="s">
        <v>267</v>
      </c>
      <c r="B82" s="455"/>
      <c r="C82" s="485">
        <v>7.0000000000000007E-2</v>
      </c>
      <c r="D82" s="455" t="s">
        <v>41</v>
      </c>
      <c r="E82" s="457">
        <f t="shared" si="19"/>
        <v>0</v>
      </c>
      <c r="F82" s="457">
        <f t="shared" si="19"/>
        <v>0</v>
      </c>
      <c r="G82" s="457">
        <f>G53</f>
        <v>0</v>
      </c>
      <c r="H82" s="457">
        <f>TRUNC(C82*G82)</f>
        <v>0</v>
      </c>
      <c r="I82" s="457"/>
      <c r="J82" s="457"/>
      <c r="K82" s="457">
        <f>'산근3 노임'!$B$19</f>
        <v>0</v>
      </c>
      <c r="L82" s="457">
        <f>INT($C82*K82)</f>
        <v>0</v>
      </c>
      <c r="M82" s="453"/>
    </row>
    <row r="83" spans="1:13" ht="18.95" customHeight="1">
      <c r="A83" s="454" t="s">
        <v>285</v>
      </c>
      <c r="B83" s="455" t="s">
        <v>286</v>
      </c>
      <c r="C83" s="485">
        <v>0.1</v>
      </c>
      <c r="D83" s="455" t="s">
        <v>271</v>
      </c>
      <c r="E83" s="457">
        <f t="shared" si="19"/>
        <v>15000</v>
      </c>
      <c r="F83" s="457">
        <f t="shared" si="19"/>
        <v>1500</v>
      </c>
      <c r="G83" s="457"/>
      <c r="H83" s="457"/>
      <c r="I83" s="457">
        <f>'산근3-1(지반조사 단가)'!$C$12</f>
        <v>15000</v>
      </c>
      <c r="J83" s="457">
        <f>TRUNC(C83*I83)</f>
        <v>1500</v>
      </c>
      <c r="K83" s="457"/>
      <c r="L83" s="457"/>
      <c r="M83" s="453"/>
    </row>
    <row r="84" spans="1:13" ht="18.95" customHeight="1">
      <c r="A84" s="454" t="s">
        <v>287</v>
      </c>
      <c r="B84" s="455" t="s">
        <v>288</v>
      </c>
      <c r="C84" s="485">
        <v>1.4999999999999999E-2</v>
      </c>
      <c r="D84" s="455" t="s">
        <v>271</v>
      </c>
      <c r="E84" s="457">
        <f t="shared" si="19"/>
        <v>270000</v>
      </c>
      <c r="F84" s="457">
        <f t="shared" si="19"/>
        <v>4050</v>
      </c>
      <c r="G84" s="457"/>
      <c r="H84" s="457"/>
      <c r="I84" s="457">
        <f>'산근3-1(지반조사 단가)'!$C$13</f>
        <v>270000</v>
      </c>
      <c r="J84" s="457">
        <f>TRUNC(C84*I84)</f>
        <v>4050</v>
      </c>
      <c r="K84" s="457"/>
      <c r="L84" s="457"/>
      <c r="M84" s="453"/>
    </row>
    <row r="85" spans="1:13" ht="18.95" customHeight="1">
      <c r="A85" s="454" t="s">
        <v>275</v>
      </c>
      <c r="B85" s="455"/>
      <c r="C85" s="485">
        <v>2.9</v>
      </c>
      <c r="D85" s="455" t="s">
        <v>289</v>
      </c>
      <c r="E85" s="457">
        <f t="shared" si="19"/>
        <v>1506</v>
      </c>
      <c r="F85" s="457">
        <f t="shared" si="19"/>
        <v>4367</v>
      </c>
      <c r="G85" s="457"/>
      <c r="H85" s="457"/>
      <c r="I85" s="457"/>
      <c r="J85" s="457"/>
      <c r="K85" s="457">
        <f>'산근3-1(지반조사 단가)'!$C$14</f>
        <v>1506</v>
      </c>
      <c r="L85" s="457">
        <f>TRUNC(C85*K85)</f>
        <v>4367</v>
      </c>
      <c r="M85" s="453"/>
    </row>
    <row r="86" spans="1:13" ht="18.95" customHeight="1">
      <c r="A86" s="454" t="s">
        <v>290</v>
      </c>
      <c r="B86" s="455" t="s">
        <v>291</v>
      </c>
      <c r="C86" s="462">
        <v>16</v>
      </c>
      <c r="D86" s="455" t="s">
        <v>54</v>
      </c>
      <c r="E86" s="457">
        <f t="shared" si="19"/>
        <v>0</v>
      </c>
      <c r="F86" s="457">
        <f t="shared" si="19"/>
        <v>698</v>
      </c>
      <c r="G86" s="457"/>
      <c r="H86" s="457"/>
      <c r="I86" s="457"/>
      <c r="J86" s="457"/>
      <c r="K86" s="457"/>
      <c r="L86" s="457">
        <f>TRUNC(L85*(C86/100))</f>
        <v>698</v>
      </c>
      <c r="M86" s="453"/>
    </row>
    <row r="87" spans="1:13" ht="18.95" customHeight="1">
      <c r="A87" s="463" t="s">
        <v>279</v>
      </c>
      <c r="B87" s="459" t="s">
        <v>280</v>
      </c>
      <c r="C87" s="456">
        <v>0.5</v>
      </c>
      <c r="D87" s="455" t="s">
        <v>281</v>
      </c>
      <c r="E87" s="457">
        <f>G87+I87+K87</f>
        <v>28041</v>
      </c>
      <c r="F87" s="457">
        <f t="shared" si="19"/>
        <v>14020</v>
      </c>
      <c r="G87" s="457"/>
      <c r="H87" s="457">
        <f>INT($C87*G87)</f>
        <v>0</v>
      </c>
      <c r="I87" s="457"/>
      <c r="J87" s="457">
        <f>INT($C87*I87)</f>
        <v>0</v>
      </c>
      <c r="K87" s="457">
        <f>'산근3-1(지반조사 단가)'!$C$17</f>
        <v>28041</v>
      </c>
      <c r="L87" s="457">
        <f>INT($C87*K87)</f>
        <v>14020</v>
      </c>
      <c r="M87" s="481"/>
    </row>
    <row r="88" spans="1:13" ht="18.95" customHeight="1">
      <c r="A88" s="454" t="s">
        <v>537</v>
      </c>
      <c r="B88" s="455"/>
      <c r="C88" s="464"/>
      <c r="D88" s="455"/>
      <c r="E88" s="465"/>
      <c r="F88" s="457">
        <f>SUM(H88,J88,L88)</f>
        <v>30537</v>
      </c>
      <c r="G88" s="457"/>
      <c r="H88" s="457">
        <f>SUM(H79:H87)</f>
        <v>5902</v>
      </c>
      <c r="I88" s="457"/>
      <c r="J88" s="457">
        <f>SUM(J79:J87)</f>
        <v>5550</v>
      </c>
      <c r="K88" s="457"/>
      <c r="L88" s="457">
        <f>SUM(L79:L87)</f>
        <v>19085</v>
      </c>
      <c r="M88" s="486"/>
    </row>
    <row r="89" spans="1:13" ht="18.95" customHeight="1">
      <c r="A89" s="466">
        <f>$O$2</f>
        <v>1</v>
      </c>
      <c r="B89" s="455"/>
      <c r="C89" s="464"/>
      <c r="D89" s="455"/>
      <c r="E89" s="457"/>
      <c r="F89" s="457">
        <f>SUM(H89,J89,L89)</f>
        <v>30537</v>
      </c>
      <c r="G89" s="457"/>
      <c r="H89" s="457">
        <f>INT($A$18*H88)</f>
        <v>5902</v>
      </c>
      <c r="I89" s="457"/>
      <c r="J89" s="457">
        <f>INT($A$18*J88)</f>
        <v>5550</v>
      </c>
      <c r="K89" s="457"/>
      <c r="L89" s="457">
        <f>INT($A$18*L88)</f>
        <v>19085</v>
      </c>
      <c r="M89" s="473"/>
    </row>
    <row r="90" spans="1:13" ht="17.100000000000001" customHeight="1">
      <c r="A90" s="474" t="s">
        <v>1879</v>
      </c>
      <c r="B90" s="487"/>
      <c r="C90" s="488"/>
      <c r="D90" s="487"/>
      <c r="E90" s="478"/>
      <c r="F90" s="478"/>
      <c r="G90" s="478"/>
      <c r="H90" s="478"/>
      <c r="I90" s="478"/>
      <c r="J90" s="478"/>
      <c r="K90" s="478"/>
      <c r="L90" s="478"/>
      <c r="M90" s="489"/>
    </row>
    <row r="91" spans="1:13" ht="17.100000000000001" customHeight="1">
      <c r="A91" s="454" t="s">
        <v>265</v>
      </c>
      <c r="B91" s="455"/>
      <c r="C91" s="464">
        <v>1</v>
      </c>
      <c r="D91" s="455" t="s">
        <v>41</v>
      </c>
      <c r="E91" s="457">
        <f t="shared" ref="E91:F96" si="20">G91+I91+K91</f>
        <v>0</v>
      </c>
      <c r="F91" s="457">
        <f t="shared" si="20"/>
        <v>0</v>
      </c>
      <c r="G91" s="457"/>
      <c r="H91" s="457">
        <f>INT($C91*G91)</f>
        <v>0</v>
      </c>
      <c r="I91" s="457"/>
      <c r="J91" s="457">
        <f>INT($C91*I91)</f>
        <v>0</v>
      </c>
      <c r="K91" s="457">
        <f>'산근3 노임'!$B$17</f>
        <v>0</v>
      </c>
      <c r="L91" s="457">
        <f>INT($C91*K91)</f>
        <v>0</v>
      </c>
      <c r="M91" s="453"/>
    </row>
    <row r="92" spans="1:13" ht="17.100000000000001" customHeight="1">
      <c r="A92" s="454" t="s">
        <v>266</v>
      </c>
      <c r="B92" s="455"/>
      <c r="C92" s="464">
        <v>1</v>
      </c>
      <c r="D92" s="455" t="s">
        <v>41</v>
      </c>
      <c r="E92" s="457">
        <f t="shared" si="20"/>
        <v>0</v>
      </c>
      <c r="F92" s="457">
        <f t="shared" si="20"/>
        <v>0</v>
      </c>
      <c r="G92" s="457"/>
      <c r="H92" s="457">
        <f>INT($C92*G92)</f>
        <v>0</v>
      </c>
      <c r="I92" s="457"/>
      <c r="J92" s="457"/>
      <c r="K92" s="457">
        <f>'산근3 노임'!$B$18</f>
        <v>0</v>
      </c>
      <c r="L92" s="457">
        <f>INT($C92*K92)</f>
        <v>0</v>
      </c>
      <c r="M92" s="453"/>
    </row>
    <row r="93" spans="1:13" ht="17.100000000000001" customHeight="1">
      <c r="A93" s="454" t="s">
        <v>267</v>
      </c>
      <c r="B93" s="455"/>
      <c r="C93" s="464">
        <v>1</v>
      </c>
      <c r="D93" s="455" t="s">
        <v>41</v>
      </c>
      <c r="E93" s="457">
        <f t="shared" si="20"/>
        <v>0</v>
      </c>
      <c r="F93" s="457">
        <f t="shared" si="20"/>
        <v>0</v>
      </c>
      <c r="G93" s="457"/>
      <c r="H93" s="457">
        <f>INT($C93*G93)</f>
        <v>0</v>
      </c>
      <c r="I93" s="457"/>
      <c r="J93" s="457"/>
      <c r="K93" s="457">
        <f>'산근3 노임'!$B$19</f>
        <v>0</v>
      </c>
      <c r="L93" s="457">
        <f>INT($C93*K93)</f>
        <v>0</v>
      </c>
      <c r="M93" s="453"/>
    </row>
    <row r="94" spans="1:13" ht="17.100000000000001" customHeight="1">
      <c r="A94" s="454" t="s">
        <v>292</v>
      </c>
      <c r="B94" s="455"/>
      <c r="C94" s="485">
        <v>11.6</v>
      </c>
      <c r="D94" s="455" t="s">
        <v>289</v>
      </c>
      <c r="E94" s="457">
        <f t="shared" si="20"/>
        <v>1506</v>
      </c>
      <c r="F94" s="457">
        <f t="shared" si="20"/>
        <v>17469</v>
      </c>
      <c r="G94" s="457"/>
      <c r="H94" s="457"/>
      <c r="I94" s="457"/>
      <c r="J94" s="457">
        <f>INT($C94*I94)</f>
        <v>0</v>
      </c>
      <c r="K94" s="457">
        <f>'산근3-1(지반조사 단가)'!$C$14</f>
        <v>1506</v>
      </c>
      <c r="L94" s="457">
        <f>INT($C94*K94)</f>
        <v>17469</v>
      </c>
      <c r="M94" s="453"/>
    </row>
    <row r="95" spans="1:13" ht="17.100000000000001" customHeight="1">
      <c r="A95" s="454" t="s">
        <v>293</v>
      </c>
      <c r="B95" s="455" t="s">
        <v>294</v>
      </c>
      <c r="C95" s="464">
        <v>16</v>
      </c>
      <c r="D95" s="455" t="s">
        <v>54</v>
      </c>
      <c r="E95" s="457">
        <f t="shared" si="20"/>
        <v>0</v>
      </c>
      <c r="F95" s="457">
        <f t="shared" si="20"/>
        <v>2795</v>
      </c>
      <c r="G95" s="457"/>
      <c r="H95" s="457">
        <f>INT($C95*G95)</f>
        <v>0</v>
      </c>
      <c r="I95" s="457">
        <f>TRUNC(SUM(I94:I94))</f>
        <v>0</v>
      </c>
      <c r="J95" s="457">
        <f>TRUNC((C95/100)*I95)</f>
        <v>0</v>
      </c>
      <c r="K95" s="457"/>
      <c r="L95" s="457">
        <f>TRUNC(L94*(C95/100))</f>
        <v>2795</v>
      </c>
      <c r="M95" s="453"/>
    </row>
    <row r="96" spans="1:13" ht="17.100000000000001" customHeight="1">
      <c r="A96" s="463" t="s">
        <v>279</v>
      </c>
      <c r="B96" s="459" t="s">
        <v>280</v>
      </c>
      <c r="C96" s="456">
        <v>2</v>
      </c>
      <c r="D96" s="455" t="s">
        <v>281</v>
      </c>
      <c r="E96" s="457">
        <f>G96+I96+K96</f>
        <v>28041</v>
      </c>
      <c r="F96" s="457">
        <f t="shared" si="20"/>
        <v>56082</v>
      </c>
      <c r="G96" s="457"/>
      <c r="H96" s="457">
        <f>INT($C96*G96)</f>
        <v>0</v>
      </c>
      <c r="I96" s="457"/>
      <c r="J96" s="457">
        <f>INT($C96*I96)</f>
        <v>0</v>
      </c>
      <c r="K96" s="457">
        <f>'산근3-1(지반조사 단가)'!$C$17</f>
        <v>28041</v>
      </c>
      <c r="L96" s="457">
        <f>INT($C96*K96)</f>
        <v>56082</v>
      </c>
      <c r="M96" s="481"/>
    </row>
    <row r="97" spans="1:13" ht="17.100000000000001" customHeight="1">
      <c r="A97" s="454" t="s">
        <v>537</v>
      </c>
      <c r="B97" s="455"/>
      <c r="C97" s="464"/>
      <c r="D97" s="455"/>
      <c r="E97" s="465"/>
      <c r="F97" s="457">
        <f>SUM(H97,J97,L97)</f>
        <v>76346</v>
      </c>
      <c r="G97" s="457"/>
      <c r="H97" s="457">
        <f>SUM(H91:H96)</f>
        <v>0</v>
      </c>
      <c r="I97" s="457"/>
      <c r="J97" s="457">
        <f>SUM(J91:J96)</f>
        <v>0</v>
      </c>
      <c r="K97" s="457"/>
      <c r="L97" s="457">
        <f>SUM(L91:L96)</f>
        <v>76346</v>
      </c>
      <c r="M97" s="453"/>
    </row>
    <row r="98" spans="1:13" ht="17.100000000000001" customHeight="1">
      <c r="A98" s="466">
        <f>$O$2</f>
        <v>1</v>
      </c>
      <c r="B98" s="455"/>
      <c r="C98" s="464"/>
      <c r="D98" s="455"/>
      <c r="E98" s="457"/>
      <c r="F98" s="457">
        <f>SUM(H98,J98,L98)</f>
        <v>76346</v>
      </c>
      <c r="G98" s="457"/>
      <c r="H98" s="457">
        <f>INT($A$18*H97)</f>
        <v>0</v>
      </c>
      <c r="I98" s="457"/>
      <c r="J98" s="457">
        <f>INT($A$18*J97)</f>
        <v>0</v>
      </c>
      <c r="K98" s="457"/>
      <c r="L98" s="457">
        <f>INT($A$18*L97)</f>
        <v>76346</v>
      </c>
      <c r="M98" s="453"/>
    </row>
    <row r="99" spans="1:13" ht="17.100000000000001" customHeight="1">
      <c r="A99" s="448" t="s">
        <v>1880</v>
      </c>
      <c r="B99" s="455"/>
      <c r="C99" s="464"/>
      <c r="D99" s="455"/>
      <c r="E99" s="457"/>
      <c r="F99" s="457"/>
      <c r="G99" s="457"/>
      <c r="H99" s="457"/>
      <c r="I99" s="457"/>
      <c r="J99" s="457"/>
      <c r="K99" s="457"/>
      <c r="L99" s="457"/>
      <c r="M99" s="453"/>
    </row>
    <row r="100" spans="1:13" ht="17.100000000000001" customHeight="1">
      <c r="A100" s="454" t="s">
        <v>295</v>
      </c>
      <c r="B100" s="455"/>
      <c r="C100" s="464" t="e">
        <f>'산근3-0 (지반조사)'!$D$32</f>
        <v>#REF!</v>
      </c>
      <c r="D100" s="455" t="s">
        <v>296</v>
      </c>
      <c r="E100" s="457">
        <f t="shared" ref="E100:F107" si="21">G100+I100+K100</f>
        <v>237100</v>
      </c>
      <c r="F100" s="457" t="e">
        <f t="shared" si="21"/>
        <v>#REF!</v>
      </c>
      <c r="G100" s="457"/>
      <c r="H100" s="457" t="e">
        <f t="shared" ref="H100:H107" si="22">INT($C100*G100)</f>
        <v>#REF!</v>
      </c>
      <c r="I100" s="457"/>
      <c r="J100" s="457" t="e">
        <f t="shared" ref="J100:J107" si="23">INT($C100*I100)</f>
        <v>#REF!</v>
      </c>
      <c r="K100" s="457">
        <f>'산근3-1(지반조사 단가)'!$C$18</f>
        <v>237100</v>
      </c>
      <c r="L100" s="457" t="e">
        <f t="shared" ref="L100:L107" si="24">INT($C100*K100)</f>
        <v>#REF!</v>
      </c>
      <c r="M100" s="453"/>
    </row>
    <row r="101" spans="1:13" ht="17.100000000000001" customHeight="1">
      <c r="A101" s="454" t="s">
        <v>297</v>
      </c>
      <c r="B101" s="455"/>
      <c r="C101" s="464" t="e">
        <f>'산근3-0 (지반조사)'!$D$32</f>
        <v>#REF!</v>
      </c>
      <c r="D101" s="455" t="s">
        <v>296</v>
      </c>
      <c r="E101" s="457">
        <f t="shared" si="21"/>
        <v>16200</v>
      </c>
      <c r="F101" s="457" t="e">
        <f t="shared" si="21"/>
        <v>#REF!</v>
      </c>
      <c r="G101" s="457"/>
      <c r="H101" s="457" t="e">
        <f t="shared" si="22"/>
        <v>#REF!</v>
      </c>
      <c r="I101" s="457"/>
      <c r="J101" s="457" t="e">
        <f t="shared" si="23"/>
        <v>#REF!</v>
      </c>
      <c r="K101" s="457">
        <f>'산근3-1(지반조사 단가)'!$C$19</f>
        <v>16200</v>
      </c>
      <c r="L101" s="457" t="e">
        <f t="shared" si="24"/>
        <v>#REF!</v>
      </c>
      <c r="M101" s="453"/>
    </row>
    <row r="102" spans="1:13" ht="17.100000000000001" customHeight="1">
      <c r="A102" s="454" t="s">
        <v>298</v>
      </c>
      <c r="B102" s="455"/>
      <c r="C102" s="464" t="e">
        <f>'산근3-0 (지반조사)'!$D$32</f>
        <v>#REF!</v>
      </c>
      <c r="D102" s="455" t="s">
        <v>296</v>
      </c>
      <c r="E102" s="457">
        <f t="shared" si="21"/>
        <v>66600</v>
      </c>
      <c r="F102" s="457" t="e">
        <f t="shared" si="21"/>
        <v>#REF!</v>
      </c>
      <c r="G102" s="457"/>
      <c r="H102" s="457" t="e">
        <f t="shared" si="22"/>
        <v>#REF!</v>
      </c>
      <c r="I102" s="457"/>
      <c r="J102" s="457" t="e">
        <f t="shared" si="23"/>
        <v>#REF!</v>
      </c>
      <c r="K102" s="457">
        <f>'산근3-1(지반조사 단가)'!$C$20</f>
        <v>66600</v>
      </c>
      <c r="L102" s="457" t="e">
        <f t="shared" si="24"/>
        <v>#REF!</v>
      </c>
      <c r="M102" s="453"/>
    </row>
    <row r="103" spans="1:13" ht="17.100000000000001" customHeight="1">
      <c r="A103" s="454" t="s">
        <v>299</v>
      </c>
      <c r="B103" s="455"/>
      <c r="C103" s="464" t="e">
        <f>'산근3-0 (지반조사)'!$D$32</f>
        <v>#REF!</v>
      </c>
      <c r="D103" s="455" t="s">
        <v>296</v>
      </c>
      <c r="E103" s="457">
        <f t="shared" si="21"/>
        <v>69300</v>
      </c>
      <c r="F103" s="457" t="e">
        <f t="shared" si="21"/>
        <v>#REF!</v>
      </c>
      <c r="G103" s="457"/>
      <c r="H103" s="457" t="e">
        <f t="shared" si="22"/>
        <v>#REF!</v>
      </c>
      <c r="I103" s="457"/>
      <c r="J103" s="457" t="e">
        <f t="shared" si="23"/>
        <v>#REF!</v>
      </c>
      <c r="K103" s="457">
        <f>'산근3-1(지반조사 단가)'!$C$21</f>
        <v>69300</v>
      </c>
      <c r="L103" s="457" t="e">
        <f t="shared" si="24"/>
        <v>#REF!</v>
      </c>
      <c r="M103" s="453"/>
    </row>
    <row r="104" spans="1:13" ht="17.100000000000001" customHeight="1">
      <c r="A104" s="454" t="s">
        <v>300</v>
      </c>
      <c r="B104" s="455"/>
      <c r="C104" s="464" t="e">
        <f>'산근3-0 (지반조사)'!$D$32</f>
        <v>#REF!</v>
      </c>
      <c r="D104" s="455" t="s">
        <v>296</v>
      </c>
      <c r="E104" s="457">
        <f t="shared" si="21"/>
        <v>44900</v>
      </c>
      <c r="F104" s="457" t="e">
        <f t="shared" si="21"/>
        <v>#REF!</v>
      </c>
      <c r="G104" s="457"/>
      <c r="H104" s="457" t="e">
        <f t="shared" si="22"/>
        <v>#REF!</v>
      </c>
      <c r="I104" s="457"/>
      <c r="J104" s="457" t="e">
        <f t="shared" si="23"/>
        <v>#REF!</v>
      </c>
      <c r="K104" s="457">
        <f>'산근3-1(지반조사 단가)'!$C$22</f>
        <v>44900</v>
      </c>
      <c r="L104" s="457" t="e">
        <f t="shared" si="24"/>
        <v>#REF!</v>
      </c>
      <c r="M104" s="453"/>
    </row>
    <row r="105" spans="1:13" ht="17.100000000000001" customHeight="1">
      <c r="A105" s="463" t="s">
        <v>301</v>
      </c>
      <c r="B105" s="455"/>
      <c r="C105" s="464" t="e">
        <f>'산근3-0 (지반조사)'!$D$32</f>
        <v>#REF!</v>
      </c>
      <c r="D105" s="455" t="s">
        <v>296</v>
      </c>
      <c r="E105" s="457">
        <f t="shared" si="21"/>
        <v>42600</v>
      </c>
      <c r="F105" s="457" t="e">
        <f t="shared" si="21"/>
        <v>#REF!</v>
      </c>
      <c r="G105" s="457"/>
      <c r="H105" s="457" t="e">
        <f t="shared" si="22"/>
        <v>#REF!</v>
      </c>
      <c r="I105" s="457"/>
      <c r="J105" s="457" t="e">
        <f t="shared" si="23"/>
        <v>#REF!</v>
      </c>
      <c r="K105" s="457">
        <f>'산근3-1(지반조사 단가)'!$C$23</f>
        <v>42600</v>
      </c>
      <c r="L105" s="457" t="e">
        <f t="shared" si="24"/>
        <v>#REF!</v>
      </c>
      <c r="M105" s="453"/>
    </row>
    <row r="106" spans="1:13" ht="17.100000000000001" customHeight="1">
      <c r="A106" s="454" t="s">
        <v>302</v>
      </c>
      <c r="B106" s="455"/>
      <c r="C106" s="464" t="e">
        <f>'산근3-0 (지반조사)'!$D$32</f>
        <v>#REF!</v>
      </c>
      <c r="D106" s="455" t="s">
        <v>296</v>
      </c>
      <c r="E106" s="457">
        <f t="shared" si="21"/>
        <v>206500</v>
      </c>
      <c r="F106" s="457" t="e">
        <f t="shared" si="21"/>
        <v>#REF!</v>
      </c>
      <c r="G106" s="457"/>
      <c r="H106" s="457" t="e">
        <f t="shared" si="22"/>
        <v>#REF!</v>
      </c>
      <c r="I106" s="457"/>
      <c r="J106" s="457" t="e">
        <f t="shared" si="23"/>
        <v>#REF!</v>
      </c>
      <c r="K106" s="457">
        <f>'산근3-1(지반조사 단가)'!$C$24</f>
        <v>206500</v>
      </c>
      <c r="L106" s="457" t="e">
        <f t="shared" si="24"/>
        <v>#REF!</v>
      </c>
      <c r="M106" s="453"/>
    </row>
    <row r="107" spans="1:13" ht="17.100000000000001" customHeight="1">
      <c r="A107" s="454" t="s">
        <v>1095</v>
      </c>
      <c r="B107" s="455"/>
      <c r="C107" s="464" t="e">
        <f>'산근3-0 (지반조사)'!$D$32</f>
        <v>#REF!</v>
      </c>
      <c r="D107" s="455" t="s">
        <v>296</v>
      </c>
      <c r="E107" s="457">
        <f t="shared" si="21"/>
        <v>175000</v>
      </c>
      <c r="F107" s="457" t="e">
        <f t="shared" si="21"/>
        <v>#REF!</v>
      </c>
      <c r="G107" s="457"/>
      <c r="H107" s="457" t="e">
        <f t="shared" si="22"/>
        <v>#REF!</v>
      </c>
      <c r="I107" s="457"/>
      <c r="J107" s="457" t="e">
        <f t="shared" si="23"/>
        <v>#REF!</v>
      </c>
      <c r="K107" s="457">
        <f>'산근3-1(지반조사 단가)'!$C$25</f>
        <v>175000</v>
      </c>
      <c r="L107" s="457" t="e">
        <f t="shared" si="24"/>
        <v>#REF!</v>
      </c>
      <c r="M107" s="453"/>
    </row>
    <row r="108" spans="1:13" ht="17.100000000000001" customHeight="1">
      <c r="A108" s="454" t="s">
        <v>537</v>
      </c>
      <c r="B108" s="455"/>
      <c r="C108" s="464"/>
      <c r="D108" s="455"/>
      <c r="E108" s="465"/>
      <c r="F108" s="457" t="e">
        <f>SUM(H108,J108,L108)</f>
        <v>#REF!</v>
      </c>
      <c r="G108" s="457"/>
      <c r="H108" s="457" t="e">
        <f>SUM(H100:H107)</f>
        <v>#REF!</v>
      </c>
      <c r="I108" s="457"/>
      <c r="J108" s="457" t="e">
        <f>SUM(J100:J107)</f>
        <v>#REF!</v>
      </c>
      <c r="K108" s="457"/>
      <c r="L108" s="457" t="e">
        <f>SUM(L100:L107)</f>
        <v>#REF!</v>
      </c>
      <c r="M108" s="453"/>
    </row>
    <row r="109" spans="1:13" ht="17.100000000000001" customHeight="1">
      <c r="A109" s="466">
        <f>$O$2</f>
        <v>1</v>
      </c>
      <c r="B109" s="455"/>
      <c r="C109" s="464"/>
      <c r="D109" s="455"/>
      <c r="E109" s="457"/>
      <c r="F109" s="457" t="e">
        <f>SUM(H109,J109,L109)</f>
        <v>#REF!</v>
      </c>
      <c r="G109" s="457"/>
      <c r="H109" s="457" t="e">
        <f>INT($A$18*H108)</f>
        <v>#REF!</v>
      </c>
      <c r="I109" s="457"/>
      <c r="J109" s="457" t="e">
        <f>INT($A$18*J108)</f>
        <v>#REF!</v>
      </c>
      <c r="K109" s="457"/>
      <c r="L109" s="457" t="e">
        <f>INT($A$18*L108)</f>
        <v>#REF!</v>
      </c>
      <c r="M109" s="453"/>
    </row>
    <row r="110" spans="1:13" ht="17.100000000000001" customHeight="1">
      <c r="A110" s="490" t="s">
        <v>1881</v>
      </c>
      <c r="B110" s="491"/>
      <c r="C110" s="492"/>
      <c r="D110" s="493"/>
      <c r="E110" s="457"/>
      <c r="F110" s="457"/>
      <c r="G110" s="457"/>
      <c r="H110" s="457"/>
      <c r="I110" s="457"/>
      <c r="J110" s="457"/>
      <c r="K110" s="457"/>
      <c r="L110" s="457"/>
      <c r="M110" s="453"/>
    </row>
    <row r="111" spans="1:13" ht="17.100000000000001" customHeight="1">
      <c r="A111" s="493" t="s">
        <v>265</v>
      </c>
      <c r="B111" s="491"/>
      <c r="C111" s="494">
        <v>0.03</v>
      </c>
      <c r="D111" s="493" t="s">
        <v>41</v>
      </c>
      <c r="E111" s="457">
        <f t="shared" ref="E111:F115" si="25">G111+I111+K111</f>
        <v>0</v>
      </c>
      <c r="F111" s="457">
        <f t="shared" si="25"/>
        <v>0</v>
      </c>
      <c r="G111" s="457"/>
      <c r="H111" s="457">
        <f>INT($C111*G111)</f>
        <v>0</v>
      </c>
      <c r="I111" s="457"/>
      <c r="J111" s="457">
        <f>INT($C111*I111)</f>
        <v>0</v>
      </c>
      <c r="K111" s="457">
        <f>'산근3 노임'!$B$17</f>
        <v>0</v>
      </c>
      <c r="L111" s="457">
        <f>INT($C111*K111)</f>
        <v>0</v>
      </c>
      <c r="M111" s="833"/>
    </row>
    <row r="112" spans="1:13" ht="17.100000000000001" customHeight="1">
      <c r="A112" s="493" t="s">
        <v>267</v>
      </c>
      <c r="B112" s="495"/>
      <c r="C112" s="494">
        <v>0.15</v>
      </c>
      <c r="D112" s="496" t="s">
        <v>264</v>
      </c>
      <c r="E112" s="457">
        <f t="shared" si="25"/>
        <v>0</v>
      </c>
      <c r="F112" s="457">
        <f t="shared" si="25"/>
        <v>0</v>
      </c>
      <c r="G112" s="457"/>
      <c r="H112" s="457">
        <f>INT($C112*G112)</f>
        <v>0</v>
      </c>
      <c r="I112" s="457"/>
      <c r="J112" s="457">
        <f>INT($C112*I112)</f>
        <v>0</v>
      </c>
      <c r="K112" s="457">
        <f>'산근3 노임'!$B$19</f>
        <v>0</v>
      </c>
      <c r="L112" s="457">
        <f>INT($C112*K112)</f>
        <v>0</v>
      </c>
      <c r="M112" s="833"/>
    </row>
    <row r="113" spans="1:13" ht="17.100000000000001" customHeight="1">
      <c r="A113" s="455" t="s">
        <v>303</v>
      </c>
      <c r="B113" s="455" t="s">
        <v>304</v>
      </c>
      <c r="C113" s="497">
        <v>2</v>
      </c>
      <c r="D113" s="455" t="s">
        <v>305</v>
      </c>
      <c r="E113" s="457">
        <f t="shared" si="25"/>
        <v>4300</v>
      </c>
      <c r="F113" s="457">
        <f t="shared" si="25"/>
        <v>8600</v>
      </c>
      <c r="G113" s="457"/>
      <c r="H113" s="457">
        <f>INT($C113*G113)</f>
        <v>0</v>
      </c>
      <c r="I113" s="457">
        <f>'산근3-1(지반조사 단가)'!C16</f>
        <v>4300</v>
      </c>
      <c r="J113" s="457">
        <f>INT($C113*I113)</f>
        <v>8600</v>
      </c>
      <c r="K113" s="457"/>
      <c r="L113" s="457">
        <f>INT($C113*K113)</f>
        <v>0</v>
      </c>
      <c r="M113" s="833"/>
    </row>
    <row r="114" spans="1:13" ht="17.100000000000001" customHeight="1">
      <c r="A114" s="455" t="s">
        <v>306</v>
      </c>
      <c r="B114" s="455" t="s">
        <v>307</v>
      </c>
      <c r="C114" s="497">
        <v>3</v>
      </c>
      <c r="D114" s="455" t="s">
        <v>236</v>
      </c>
      <c r="E114" s="457">
        <f t="shared" si="25"/>
        <v>0</v>
      </c>
      <c r="F114" s="457">
        <f t="shared" si="25"/>
        <v>0</v>
      </c>
      <c r="G114" s="457"/>
      <c r="H114" s="457">
        <f>INT($C114*G114)</f>
        <v>0</v>
      </c>
      <c r="I114" s="457"/>
      <c r="J114" s="457">
        <f>INT($C114*I114)</f>
        <v>0</v>
      </c>
      <c r="K114" s="457">
        <f>SUM(L111:L112)</f>
        <v>0</v>
      </c>
      <c r="L114" s="457">
        <f>INT($C114/100*K114)</f>
        <v>0</v>
      </c>
      <c r="M114" s="833"/>
    </row>
    <row r="115" spans="1:13" ht="17.100000000000001" customHeight="1">
      <c r="A115" s="493" t="s">
        <v>39</v>
      </c>
      <c r="B115" s="495"/>
      <c r="C115" s="492"/>
      <c r="D115" s="496"/>
      <c r="E115" s="457">
        <f t="shared" si="25"/>
        <v>0</v>
      </c>
      <c r="F115" s="457">
        <f t="shared" si="25"/>
        <v>8600</v>
      </c>
      <c r="G115" s="457"/>
      <c r="H115" s="457">
        <f>SUM(H111:H114)</f>
        <v>0</v>
      </c>
      <c r="I115" s="457"/>
      <c r="J115" s="457">
        <f>SUM(J111:J114)</f>
        <v>8600</v>
      </c>
      <c r="K115" s="457"/>
      <c r="L115" s="457">
        <f>SUM(L111:L114)</f>
        <v>0</v>
      </c>
      <c r="M115" s="1313"/>
    </row>
    <row r="116" spans="1:13" ht="17.100000000000001" customHeight="1">
      <c r="A116" s="1314" t="s">
        <v>308</v>
      </c>
      <c r="B116" s="495"/>
      <c r="C116" s="497">
        <v>1</v>
      </c>
      <c r="D116" s="496" t="s">
        <v>309</v>
      </c>
      <c r="E116" s="457"/>
      <c r="F116" s="457">
        <f>H116+J116+L116</f>
        <v>860</v>
      </c>
      <c r="G116" s="457"/>
      <c r="H116" s="457">
        <f>ROUNDDOWN(H115/10,0)</f>
        <v>0</v>
      </c>
      <c r="I116" s="457"/>
      <c r="J116" s="457">
        <f>ROUNDDOWN(J115/10,0)</f>
        <v>860</v>
      </c>
      <c r="K116" s="457"/>
      <c r="L116" s="457">
        <f>ROUNDDOWN(L115/10,0)</f>
        <v>0</v>
      </c>
      <c r="M116" s="1313"/>
    </row>
    <row r="117" spans="1:13" ht="17.100000000000001" customHeight="1">
      <c r="A117" s="1315">
        <f>$O$2</f>
        <v>1</v>
      </c>
      <c r="B117" s="455"/>
      <c r="C117" s="464"/>
      <c r="D117" s="455"/>
      <c r="E117" s="457"/>
      <c r="F117" s="457">
        <f>SUM(H117,J117,L117)</f>
        <v>860</v>
      </c>
      <c r="G117" s="457"/>
      <c r="H117" s="457">
        <f>INT($A$18*H116)</f>
        <v>0</v>
      </c>
      <c r="I117" s="457"/>
      <c r="J117" s="457">
        <f>INT($A$18*J116)</f>
        <v>860</v>
      </c>
      <c r="K117" s="457"/>
      <c r="L117" s="457">
        <f>INT($A$18*L116)</f>
        <v>0</v>
      </c>
      <c r="M117" s="833"/>
    </row>
    <row r="118" spans="1:13" ht="17.100000000000001" customHeight="1">
      <c r="A118" s="1316" t="s">
        <v>1882</v>
      </c>
      <c r="B118" s="455"/>
      <c r="C118" s="464"/>
      <c r="D118" s="455"/>
      <c r="E118" s="457"/>
      <c r="F118" s="457"/>
      <c r="G118" s="457"/>
      <c r="H118" s="457"/>
      <c r="I118" s="457"/>
      <c r="J118" s="457"/>
      <c r="K118" s="457"/>
      <c r="L118" s="457"/>
      <c r="M118" s="833"/>
    </row>
    <row r="119" spans="1:13" ht="17.100000000000001" customHeight="1">
      <c r="A119" s="493" t="s">
        <v>381</v>
      </c>
      <c r="B119" s="455"/>
      <c r="C119" s="494">
        <v>0.15</v>
      </c>
      <c r="D119" s="455" t="s">
        <v>264</v>
      </c>
      <c r="E119" s="457">
        <f t="shared" ref="E119:F124" si="26">G119+I119+K119</f>
        <v>295138</v>
      </c>
      <c r="F119" s="457">
        <f t="shared" si="26"/>
        <v>0</v>
      </c>
      <c r="G119" s="457">
        <f>'산근3 노임'!$B$8</f>
        <v>295138</v>
      </c>
      <c r="H119" s="457">
        <f>INT($A$18*H118)</f>
        <v>0</v>
      </c>
      <c r="I119" s="457"/>
      <c r="J119" s="457"/>
      <c r="K119" s="457"/>
      <c r="L119" s="457">
        <f>INT($C119*K119)</f>
        <v>0</v>
      </c>
      <c r="M119" s="833"/>
    </row>
    <row r="120" spans="1:13" ht="17.100000000000001" customHeight="1">
      <c r="A120" s="493" t="s">
        <v>1087</v>
      </c>
      <c r="B120" s="455"/>
      <c r="C120" s="494">
        <v>0.35</v>
      </c>
      <c r="D120" s="455" t="s">
        <v>264</v>
      </c>
      <c r="E120" s="457">
        <f t="shared" si="26"/>
        <v>250087</v>
      </c>
      <c r="F120" s="457">
        <f t="shared" si="26"/>
        <v>0</v>
      </c>
      <c r="G120" s="457">
        <f>'산근3 노임'!$B$11</f>
        <v>250087</v>
      </c>
      <c r="H120" s="457">
        <f>INT($A$18*H119)</f>
        <v>0</v>
      </c>
      <c r="I120" s="457"/>
      <c r="J120" s="457"/>
      <c r="K120" s="457"/>
      <c r="L120" s="457">
        <f>INT($C120*K120)</f>
        <v>0</v>
      </c>
      <c r="M120" s="833"/>
    </row>
    <row r="121" spans="1:13" ht="17.100000000000001" customHeight="1">
      <c r="A121" s="493" t="s">
        <v>266</v>
      </c>
      <c r="B121" s="455"/>
      <c r="C121" s="494">
        <v>0.35</v>
      </c>
      <c r="D121" s="455" t="s">
        <v>264</v>
      </c>
      <c r="E121" s="457">
        <f t="shared" si="26"/>
        <v>0</v>
      </c>
      <c r="F121" s="457">
        <f t="shared" si="26"/>
        <v>0</v>
      </c>
      <c r="G121" s="457"/>
      <c r="H121" s="457"/>
      <c r="I121" s="457"/>
      <c r="J121" s="457"/>
      <c r="K121" s="457">
        <f>'산근3 노임'!$B$18</f>
        <v>0</v>
      </c>
      <c r="L121" s="457">
        <f>INT($C121*K121)</f>
        <v>0</v>
      </c>
      <c r="M121" s="833"/>
    </row>
    <row r="122" spans="1:13" ht="17.100000000000001" customHeight="1">
      <c r="A122" s="493" t="s">
        <v>267</v>
      </c>
      <c r="B122" s="455"/>
      <c r="C122" s="494">
        <v>0.7</v>
      </c>
      <c r="D122" s="455" t="s">
        <v>264</v>
      </c>
      <c r="E122" s="457">
        <f t="shared" si="26"/>
        <v>0</v>
      </c>
      <c r="F122" s="457">
        <f t="shared" si="26"/>
        <v>0</v>
      </c>
      <c r="G122" s="457"/>
      <c r="H122" s="457"/>
      <c r="I122" s="457"/>
      <c r="J122" s="457"/>
      <c r="K122" s="457">
        <f>'산근3 노임'!$B$19</f>
        <v>0</v>
      </c>
      <c r="L122" s="457">
        <f>INT($C122*K122)</f>
        <v>0</v>
      </c>
      <c r="M122" s="833"/>
    </row>
    <row r="123" spans="1:13" ht="17.100000000000001" customHeight="1">
      <c r="A123" s="493" t="s">
        <v>1085</v>
      </c>
      <c r="B123" s="455" t="s">
        <v>307</v>
      </c>
      <c r="C123" s="494">
        <v>3</v>
      </c>
      <c r="D123" s="455" t="s">
        <v>1086</v>
      </c>
      <c r="E123" s="457">
        <f t="shared" si="26"/>
        <v>0</v>
      </c>
      <c r="F123" s="457">
        <f t="shared" si="26"/>
        <v>0</v>
      </c>
      <c r="G123" s="457"/>
      <c r="H123" s="457"/>
      <c r="I123" s="457"/>
      <c r="J123" s="457"/>
      <c r="K123" s="457">
        <f>SUM(K119:K122)</f>
        <v>0</v>
      </c>
      <c r="L123" s="457">
        <f>INT($C123*K123/100)</f>
        <v>0</v>
      </c>
      <c r="M123" s="833"/>
    </row>
    <row r="124" spans="1:13" ht="17.100000000000001" customHeight="1">
      <c r="A124" s="1315" t="s">
        <v>235</v>
      </c>
      <c r="B124" s="455"/>
      <c r="C124" s="464"/>
      <c r="D124" s="455"/>
      <c r="E124" s="457">
        <f t="shared" si="26"/>
        <v>0</v>
      </c>
      <c r="F124" s="457">
        <f t="shared" si="26"/>
        <v>0</v>
      </c>
      <c r="G124" s="457"/>
      <c r="H124" s="457">
        <f>SUM(H119:H123)</f>
        <v>0</v>
      </c>
      <c r="I124" s="457"/>
      <c r="J124" s="457">
        <f>SUM(J119:J123)</f>
        <v>0</v>
      </c>
      <c r="K124" s="457"/>
      <c r="L124" s="457">
        <f>SUM(L119:L123)</f>
        <v>0</v>
      </c>
      <c r="M124" s="833"/>
    </row>
    <row r="125" spans="1:13" ht="17.100000000000001" customHeight="1">
      <c r="A125" s="1315">
        <f>$O$2</f>
        <v>1</v>
      </c>
      <c r="B125" s="455"/>
      <c r="C125" s="464"/>
      <c r="D125" s="455"/>
      <c r="E125" s="457"/>
      <c r="F125" s="457">
        <f>SUM(H125,J125,L125)</f>
        <v>0</v>
      </c>
      <c r="G125" s="457"/>
      <c r="H125" s="457">
        <f>INT($A$18*H124)</f>
        <v>0</v>
      </c>
      <c r="I125" s="457"/>
      <c r="J125" s="457">
        <f>INT($A$18*J124)</f>
        <v>0</v>
      </c>
      <c r="K125" s="457"/>
      <c r="L125" s="457">
        <f>INT($A$18*L124)</f>
        <v>0</v>
      </c>
      <c r="M125" s="833"/>
    </row>
    <row r="126" spans="1:13" ht="25.35" customHeight="1">
      <c r="A126" s="498"/>
      <c r="B126" s="498"/>
      <c r="C126" s="499"/>
      <c r="D126" s="499"/>
      <c r="E126" s="499"/>
      <c r="F126" s="500"/>
      <c r="G126" s="500"/>
      <c r="H126" s="500"/>
      <c r="I126" s="500"/>
      <c r="J126" s="500"/>
      <c r="K126" s="500"/>
      <c r="L126" s="500"/>
      <c r="M126" s="498"/>
    </row>
    <row r="127" spans="1:13" ht="25.35" customHeight="1">
      <c r="A127" s="498"/>
      <c r="B127" s="498"/>
      <c r="C127" s="499"/>
      <c r="D127" s="499"/>
      <c r="E127" s="499"/>
      <c r="F127" s="500"/>
      <c r="G127" s="500"/>
      <c r="H127" s="500"/>
      <c r="I127" s="500"/>
      <c r="J127" s="500"/>
      <c r="K127" s="500"/>
      <c r="L127" s="500"/>
      <c r="M127" s="498"/>
    </row>
    <row r="128" spans="1:13" ht="25.35" customHeight="1">
      <c r="A128" s="498"/>
      <c r="B128" s="498"/>
      <c r="C128" s="499"/>
      <c r="D128" s="499"/>
      <c r="E128" s="499"/>
      <c r="F128" s="500"/>
      <c r="G128" s="500"/>
      <c r="H128" s="500"/>
      <c r="I128" s="500"/>
      <c r="J128" s="500"/>
      <c r="K128" s="500"/>
      <c r="L128" s="500"/>
      <c r="M128" s="498"/>
    </row>
    <row r="129" spans="1:13" ht="25.35" customHeight="1">
      <c r="A129" s="498"/>
      <c r="B129" s="498"/>
      <c r="C129" s="499"/>
      <c r="D129" s="499"/>
      <c r="E129" s="499"/>
      <c r="F129" s="500"/>
      <c r="G129" s="500"/>
      <c r="H129" s="500"/>
      <c r="I129" s="500"/>
      <c r="J129" s="500"/>
      <c r="K129" s="500"/>
      <c r="L129" s="500"/>
      <c r="M129" s="498"/>
    </row>
    <row r="130" spans="1:13" ht="25.35" customHeight="1">
      <c r="A130" s="498"/>
      <c r="B130" s="498"/>
      <c r="C130" s="499"/>
      <c r="D130" s="499"/>
      <c r="E130" s="499"/>
      <c r="F130" s="500"/>
      <c r="G130" s="500"/>
      <c r="H130" s="500"/>
      <c r="I130" s="500"/>
      <c r="J130" s="500"/>
      <c r="K130" s="500"/>
      <c r="L130" s="500"/>
      <c r="M130" s="498"/>
    </row>
    <row r="131" spans="1:13" ht="25.35" customHeight="1">
      <c r="A131" s="498"/>
      <c r="B131" s="498"/>
      <c r="C131" s="499"/>
      <c r="D131" s="499"/>
      <c r="E131" s="499"/>
      <c r="F131" s="500"/>
      <c r="G131" s="500"/>
      <c r="H131" s="500"/>
      <c r="I131" s="500"/>
      <c r="J131" s="500"/>
      <c r="K131" s="500"/>
      <c r="L131" s="500"/>
      <c r="M131" s="498"/>
    </row>
    <row r="132" spans="1:13" ht="25.35" customHeight="1">
      <c r="A132" s="498"/>
      <c r="B132" s="498"/>
      <c r="C132" s="499"/>
      <c r="D132" s="499"/>
      <c r="E132" s="499"/>
      <c r="F132" s="500"/>
      <c r="G132" s="500"/>
      <c r="H132" s="500"/>
      <c r="I132" s="500"/>
      <c r="J132" s="500"/>
      <c r="K132" s="500"/>
      <c r="L132" s="500"/>
      <c r="M132" s="498"/>
    </row>
    <row r="133" spans="1:13" ht="25.35" customHeight="1">
      <c r="A133" s="498"/>
      <c r="B133" s="498"/>
      <c r="C133" s="499"/>
      <c r="D133" s="499"/>
      <c r="E133" s="499"/>
      <c r="F133" s="500"/>
      <c r="G133" s="500"/>
      <c r="H133" s="500"/>
      <c r="I133" s="500"/>
      <c r="J133" s="500"/>
      <c r="K133" s="500"/>
      <c r="L133" s="500"/>
      <c r="M133" s="498"/>
    </row>
    <row r="134" spans="1:13" ht="25.35" customHeight="1">
      <c r="A134" s="498"/>
      <c r="B134" s="498"/>
      <c r="C134" s="499"/>
      <c r="D134" s="499"/>
      <c r="E134" s="499"/>
      <c r="F134" s="500"/>
      <c r="G134" s="500"/>
      <c r="H134" s="500"/>
      <c r="I134" s="500"/>
      <c r="J134" s="500"/>
      <c r="K134" s="500"/>
      <c r="L134" s="500"/>
      <c r="M134" s="498"/>
    </row>
    <row r="135" spans="1:13" ht="25.35" customHeight="1">
      <c r="A135" s="498"/>
      <c r="B135" s="498"/>
      <c r="C135" s="499"/>
      <c r="D135" s="499"/>
      <c r="E135" s="499"/>
      <c r="F135" s="500"/>
      <c r="G135" s="500"/>
      <c r="H135" s="500"/>
      <c r="I135" s="500"/>
      <c r="J135" s="500"/>
      <c r="K135" s="500"/>
      <c r="L135" s="500"/>
      <c r="M135" s="498"/>
    </row>
    <row r="136" spans="1:13" ht="25.35" customHeight="1">
      <c r="A136" s="498"/>
      <c r="B136" s="498"/>
      <c r="C136" s="499"/>
      <c r="D136" s="499"/>
      <c r="E136" s="499"/>
      <c r="F136" s="500"/>
      <c r="G136" s="500"/>
      <c r="H136" s="500"/>
      <c r="I136" s="500"/>
      <c r="J136" s="500"/>
      <c r="K136" s="500"/>
      <c r="L136" s="500"/>
      <c r="M136" s="498"/>
    </row>
    <row r="137" spans="1:13" ht="25.35" customHeight="1">
      <c r="A137" s="498"/>
      <c r="B137" s="498"/>
      <c r="C137" s="499"/>
      <c r="D137" s="499"/>
      <c r="E137" s="499"/>
      <c r="F137" s="500"/>
      <c r="G137" s="500"/>
      <c r="H137" s="500"/>
      <c r="I137" s="500"/>
      <c r="J137" s="500"/>
      <c r="K137" s="500"/>
      <c r="L137" s="500"/>
      <c r="M137" s="498"/>
    </row>
    <row r="138" spans="1:13" ht="25.35" customHeight="1">
      <c r="A138" s="498"/>
      <c r="B138" s="498"/>
      <c r="C138" s="499"/>
      <c r="D138" s="499"/>
      <c r="E138" s="499"/>
      <c r="F138" s="500"/>
      <c r="G138" s="500"/>
      <c r="H138" s="500"/>
      <c r="I138" s="500"/>
      <c r="J138" s="500"/>
      <c r="K138" s="500"/>
      <c r="L138" s="500"/>
      <c r="M138" s="498"/>
    </row>
    <row r="139" spans="1:13" ht="25.35" customHeight="1">
      <c r="A139" s="498"/>
      <c r="B139" s="498"/>
      <c r="C139" s="499"/>
      <c r="D139" s="499"/>
      <c r="E139" s="499"/>
      <c r="F139" s="500"/>
      <c r="G139" s="500"/>
      <c r="H139" s="500"/>
      <c r="I139" s="500"/>
      <c r="J139" s="500"/>
      <c r="K139" s="500"/>
      <c r="L139" s="500"/>
      <c r="M139" s="498"/>
    </row>
    <row r="140" spans="1:13" ht="25.35" customHeight="1">
      <c r="A140" s="498"/>
      <c r="B140" s="498"/>
      <c r="C140" s="499"/>
      <c r="D140" s="499"/>
      <c r="E140" s="499"/>
      <c r="F140" s="500"/>
      <c r="G140" s="500"/>
      <c r="H140" s="500"/>
      <c r="I140" s="500"/>
      <c r="J140" s="500"/>
      <c r="K140" s="500"/>
      <c r="L140" s="500"/>
      <c r="M140" s="498"/>
    </row>
    <row r="141" spans="1:13" ht="25.35" customHeight="1">
      <c r="A141" s="498"/>
      <c r="B141" s="498"/>
      <c r="C141" s="499"/>
      <c r="D141" s="499"/>
      <c r="E141" s="499"/>
      <c r="F141" s="500"/>
      <c r="G141" s="500"/>
      <c r="H141" s="500"/>
      <c r="I141" s="500"/>
      <c r="J141" s="500"/>
      <c r="K141" s="500"/>
      <c r="L141" s="500"/>
      <c r="M141" s="498"/>
    </row>
    <row r="142" spans="1:13" ht="25.35" customHeight="1">
      <c r="A142" s="498"/>
      <c r="B142" s="498"/>
      <c r="C142" s="499"/>
      <c r="D142" s="499"/>
      <c r="E142" s="499"/>
      <c r="F142" s="500"/>
      <c r="G142" s="500"/>
      <c r="H142" s="500"/>
      <c r="I142" s="500"/>
      <c r="J142" s="500"/>
      <c r="K142" s="500"/>
      <c r="L142" s="500"/>
      <c r="M142" s="498"/>
    </row>
    <row r="143" spans="1:13" ht="25.35" customHeight="1">
      <c r="A143" s="498"/>
      <c r="B143" s="498"/>
      <c r="C143" s="499"/>
      <c r="D143" s="499"/>
      <c r="E143" s="499"/>
      <c r="F143" s="500"/>
      <c r="G143" s="500"/>
      <c r="H143" s="500"/>
      <c r="I143" s="500"/>
      <c r="J143" s="500"/>
      <c r="K143" s="500"/>
      <c r="L143" s="500"/>
      <c r="M143" s="498"/>
    </row>
    <row r="144" spans="1:13" ht="25.35" customHeight="1">
      <c r="A144" s="498"/>
      <c r="B144" s="498"/>
      <c r="C144" s="499"/>
      <c r="D144" s="499"/>
      <c r="E144" s="499"/>
      <c r="F144" s="500"/>
      <c r="G144" s="500"/>
      <c r="H144" s="500"/>
      <c r="I144" s="500"/>
      <c r="J144" s="500"/>
      <c r="K144" s="500"/>
      <c r="L144" s="500"/>
      <c r="M144" s="498"/>
    </row>
    <row r="145" spans="1:13" ht="25.35" customHeight="1">
      <c r="A145" s="498"/>
      <c r="B145" s="498"/>
      <c r="C145" s="499"/>
      <c r="D145" s="499"/>
      <c r="E145" s="499"/>
      <c r="F145" s="500"/>
      <c r="G145" s="500"/>
      <c r="H145" s="500"/>
      <c r="I145" s="500"/>
      <c r="J145" s="500"/>
      <c r="K145" s="500"/>
      <c r="L145" s="500"/>
      <c r="M145" s="498"/>
    </row>
    <row r="146" spans="1:13" ht="25.35" customHeight="1">
      <c r="A146" s="498"/>
      <c r="B146" s="498"/>
      <c r="C146" s="499"/>
      <c r="D146" s="499"/>
      <c r="E146" s="499"/>
      <c r="F146" s="500"/>
      <c r="G146" s="500"/>
      <c r="H146" s="500"/>
      <c r="I146" s="500"/>
      <c r="J146" s="500"/>
      <c r="K146" s="500"/>
      <c r="L146" s="500"/>
      <c r="M146" s="498"/>
    </row>
    <row r="147" spans="1:13" ht="25.35" customHeight="1">
      <c r="A147" s="498"/>
      <c r="B147" s="498"/>
      <c r="C147" s="499"/>
      <c r="D147" s="499"/>
      <c r="E147" s="499"/>
      <c r="F147" s="500"/>
      <c r="G147" s="500"/>
      <c r="H147" s="500"/>
      <c r="I147" s="500"/>
      <c r="J147" s="500"/>
      <c r="K147" s="500"/>
      <c r="L147" s="500"/>
      <c r="M147" s="498"/>
    </row>
    <row r="148" spans="1:13" ht="25.35" customHeight="1">
      <c r="A148" s="498"/>
      <c r="B148" s="498"/>
      <c r="C148" s="499"/>
      <c r="D148" s="499"/>
      <c r="E148" s="499"/>
      <c r="F148" s="500"/>
      <c r="G148" s="500"/>
      <c r="H148" s="500"/>
      <c r="I148" s="500"/>
      <c r="J148" s="500"/>
      <c r="K148" s="500"/>
      <c r="L148" s="500"/>
      <c r="M148" s="498"/>
    </row>
    <row r="149" spans="1:13" ht="25.35" customHeight="1">
      <c r="A149" s="498"/>
      <c r="B149" s="498"/>
      <c r="C149" s="499"/>
      <c r="D149" s="499"/>
      <c r="E149" s="499"/>
      <c r="F149" s="500"/>
      <c r="G149" s="500"/>
      <c r="H149" s="500"/>
      <c r="I149" s="500"/>
      <c r="J149" s="500"/>
      <c r="K149" s="500"/>
      <c r="L149" s="500"/>
      <c r="M149" s="498"/>
    </row>
    <row r="150" spans="1:13" ht="25.35" customHeight="1">
      <c r="A150" s="498"/>
      <c r="B150" s="498"/>
      <c r="C150" s="499"/>
      <c r="D150" s="499"/>
      <c r="E150" s="499"/>
      <c r="F150" s="500"/>
      <c r="G150" s="500"/>
      <c r="H150" s="500"/>
      <c r="I150" s="500"/>
      <c r="J150" s="500"/>
      <c r="K150" s="500"/>
      <c r="L150" s="500"/>
      <c r="M150" s="498"/>
    </row>
    <row r="151" spans="1:13" ht="25.35" customHeight="1">
      <c r="A151" s="498"/>
      <c r="B151" s="498"/>
      <c r="C151" s="499"/>
      <c r="D151" s="499"/>
      <c r="E151" s="499"/>
      <c r="F151" s="500"/>
      <c r="G151" s="500"/>
      <c r="H151" s="500"/>
      <c r="I151" s="500"/>
      <c r="J151" s="500"/>
      <c r="K151" s="500"/>
      <c r="L151" s="500"/>
      <c r="M151" s="498"/>
    </row>
    <row r="152" spans="1:13" ht="25.35" customHeight="1">
      <c r="A152" s="498"/>
      <c r="B152" s="498"/>
      <c r="C152" s="499"/>
      <c r="D152" s="499"/>
      <c r="E152" s="499"/>
      <c r="F152" s="500"/>
      <c r="G152" s="500"/>
      <c r="H152" s="500"/>
      <c r="I152" s="500"/>
      <c r="J152" s="500"/>
      <c r="K152" s="500"/>
      <c r="L152" s="500"/>
      <c r="M152" s="498"/>
    </row>
    <row r="153" spans="1:13" ht="25.35" customHeight="1">
      <c r="A153" s="498"/>
      <c r="B153" s="498"/>
      <c r="C153" s="499"/>
      <c r="D153" s="499"/>
      <c r="E153" s="499"/>
      <c r="F153" s="500"/>
      <c r="G153" s="500"/>
      <c r="H153" s="500"/>
      <c r="I153" s="500"/>
      <c r="J153" s="500"/>
      <c r="K153" s="500"/>
      <c r="L153" s="500"/>
      <c r="M153" s="498"/>
    </row>
    <row r="154" spans="1:13" ht="25.35" customHeight="1">
      <c r="A154" s="498"/>
      <c r="B154" s="498"/>
      <c r="C154" s="499"/>
      <c r="D154" s="499"/>
      <c r="E154" s="499"/>
      <c r="F154" s="500"/>
      <c r="G154" s="500"/>
      <c r="H154" s="500"/>
      <c r="I154" s="500"/>
      <c r="J154" s="500"/>
      <c r="K154" s="500"/>
      <c r="L154" s="500"/>
      <c r="M154" s="498"/>
    </row>
    <row r="155" spans="1:13" ht="25.35" customHeight="1">
      <c r="A155" s="498"/>
      <c r="B155" s="498"/>
      <c r="C155" s="499"/>
      <c r="D155" s="499"/>
      <c r="E155" s="499"/>
      <c r="F155" s="500"/>
      <c r="G155" s="500"/>
      <c r="H155" s="500"/>
      <c r="I155" s="500"/>
      <c r="J155" s="500"/>
      <c r="K155" s="500"/>
      <c r="L155" s="500"/>
      <c r="M155" s="498"/>
    </row>
    <row r="156" spans="1:13" ht="25.35" customHeight="1">
      <c r="A156" s="498"/>
      <c r="B156" s="498"/>
      <c r="C156" s="499"/>
      <c r="D156" s="499"/>
      <c r="E156" s="499"/>
      <c r="F156" s="500"/>
      <c r="G156" s="500"/>
      <c r="H156" s="500"/>
      <c r="I156" s="500"/>
      <c r="J156" s="500"/>
      <c r="K156" s="500"/>
      <c r="L156" s="500"/>
      <c r="M156" s="498"/>
    </row>
    <row r="157" spans="1:13" ht="25.35" customHeight="1">
      <c r="A157" s="498"/>
      <c r="B157" s="498"/>
      <c r="C157" s="499"/>
      <c r="D157" s="499"/>
      <c r="E157" s="499"/>
      <c r="F157" s="500"/>
      <c r="G157" s="500"/>
      <c r="H157" s="500"/>
      <c r="I157" s="500"/>
      <c r="J157" s="500"/>
      <c r="K157" s="500"/>
      <c r="L157" s="500"/>
      <c r="M157" s="498"/>
    </row>
    <row r="158" spans="1:13" ht="25.35" customHeight="1">
      <c r="A158" s="498"/>
      <c r="B158" s="498"/>
      <c r="C158" s="499"/>
      <c r="D158" s="499"/>
      <c r="E158" s="499"/>
      <c r="F158" s="500"/>
      <c r="G158" s="500"/>
      <c r="H158" s="500"/>
      <c r="I158" s="500"/>
      <c r="J158" s="500"/>
      <c r="K158" s="500"/>
      <c r="L158" s="500"/>
      <c r="M158" s="498"/>
    </row>
    <row r="159" spans="1:13" ht="25.35" customHeight="1">
      <c r="A159" s="498"/>
      <c r="B159" s="498"/>
      <c r="C159" s="499"/>
      <c r="D159" s="499"/>
      <c r="E159" s="499"/>
      <c r="F159" s="500"/>
      <c r="G159" s="500"/>
      <c r="H159" s="500"/>
      <c r="I159" s="500"/>
      <c r="J159" s="500"/>
      <c r="K159" s="500"/>
      <c r="L159" s="500"/>
      <c r="M159" s="498"/>
    </row>
    <row r="160" spans="1:13" ht="25.35" customHeight="1">
      <c r="A160" s="498"/>
      <c r="B160" s="498"/>
      <c r="C160" s="499"/>
      <c r="D160" s="499"/>
      <c r="E160" s="499"/>
      <c r="F160" s="500"/>
      <c r="G160" s="500"/>
      <c r="H160" s="500"/>
      <c r="I160" s="500"/>
      <c r="J160" s="500"/>
      <c r="K160" s="500"/>
      <c r="L160" s="500"/>
      <c r="M160" s="498"/>
    </row>
    <row r="161" spans="1:13" ht="25.35" customHeight="1">
      <c r="A161" s="498"/>
      <c r="B161" s="498"/>
      <c r="C161" s="499"/>
      <c r="D161" s="499"/>
      <c r="E161" s="499"/>
      <c r="F161" s="500"/>
      <c r="G161" s="500"/>
      <c r="H161" s="500"/>
      <c r="I161" s="500"/>
      <c r="J161" s="500"/>
      <c r="K161" s="500"/>
      <c r="L161" s="500"/>
      <c r="M161" s="498"/>
    </row>
    <row r="162" spans="1:13" ht="25.35" customHeight="1">
      <c r="A162" s="498"/>
      <c r="B162" s="498"/>
      <c r="C162" s="499"/>
      <c r="D162" s="499"/>
      <c r="E162" s="499"/>
      <c r="F162" s="500"/>
      <c r="G162" s="500"/>
      <c r="H162" s="500"/>
      <c r="I162" s="500"/>
      <c r="J162" s="500"/>
      <c r="K162" s="500"/>
      <c r="L162" s="500"/>
      <c r="M162" s="498"/>
    </row>
    <row r="163" spans="1:13" ht="25.35" customHeight="1">
      <c r="A163" s="498"/>
      <c r="B163" s="498"/>
      <c r="C163" s="499"/>
      <c r="D163" s="499"/>
      <c r="E163" s="499"/>
      <c r="F163" s="500"/>
      <c r="G163" s="500"/>
      <c r="H163" s="500"/>
      <c r="I163" s="500"/>
      <c r="J163" s="500"/>
      <c r="K163" s="500"/>
      <c r="L163" s="500"/>
      <c r="M163" s="498"/>
    </row>
    <row r="164" spans="1:13" ht="25.35" customHeight="1">
      <c r="A164" s="498"/>
      <c r="B164" s="498"/>
      <c r="C164" s="499"/>
      <c r="D164" s="499"/>
      <c r="E164" s="499"/>
      <c r="F164" s="500"/>
      <c r="G164" s="500"/>
      <c r="H164" s="500"/>
      <c r="I164" s="500"/>
      <c r="J164" s="500"/>
      <c r="K164" s="500"/>
      <c r="L164" s="500"/>
      <c r="M164" s="498"/>
    </row>
    <row r="165" spans="1:13" ht="25.35" customHeight="1">
      <c r="A165" s="498"/>
      <c r="B165" s="498"/>
      <c r="C165" s="499"/>
      <c r="D165" s="499"/>
      <c r="E165" s="499"/>
      <c r="F165" s="500"/>
      <c r="G165" s="500"/>
      <c r="H165" s="500"/>
      <c r="I165" s="500"/>
      <c r="J165" s="500"/>
      <c r="K165" s="500"/>
      <c r="L165" s="500"/>
      <c r="M165" s="498"/>
    </row>
    <row r="166" spans="1:13" ht="25.35" customHeight="1">
      <c r="A166" s="498"/>
      <c r="B166" s="498"/>
      <c r="C166" s="499"/>
      <c r="D166" s="499"/>
      <c r="E166" s="499"/>
      <c r="F166" s="500"/>
      <c r="G166" s="500"/>
      <c r="H166" s="500"/>
      <c r="I166" s="500"/>
      <c r="J166" s="500"/>
      <c r="K166" s="500"/>
      <c r="L166" s="500"/>
      <c r="M166" s="498"/>
    </row>
    <row r="167" spans="1:13" ht="25.35" customHeight="1">
      <c r="A167" s="498"/>
      <c r="B167" s="498"/>
      <c r="C167" s="499"/>
      <c r="D167" s="499"/>
      <c r="E167" s="499"/>
      <c r="F167" s="500"/>
      <c r="G167" s="500"/>
      <c r="H167" s="500"/>
      <c r="I167" s="500"/>
      <c r="J167" s="500"/>
      <c r="K167" s="500"/>
      <c r="L167" s="500"/>
      <c r="M167" s="498"/>
    </row>
    <row r="168" spans="1:13" ht="25.35" customHeight="1">
      <c r="A168" s="498"/>
      <c r="B168" s="498"/>
      <c r="C168" s="499"/>
      <c r="D168" s="499"/>
      <c r="E168" s="499"/>
      <c r="F168" s="500"/>
      <c r="G168" s="500"/>
      <c r="H168" s="500"/>
      <c r="I168" s="500"/>
      <c r="J168" s="500"/>
      <c r="K168" s="500"/>
      <c r="L168" s="500"/>
      <c r="M168" s="498"/>
    </row>
    <row r="169" spans="1:13" ht="25.35" customHeight="1">
      <c r="A169" s="498"/>
      <c r="B169" s="498"/>
      <c r="C169" s="499"/>
      <c r="D169" s="499"/>
      <c r="E169" s="499"/>
      <c r="F169" s="500"/>
      <c r="G169" s="500"/>
      <c r="H169" s="500"/>
      <c r="I169" s="500"/>
      <c r="J169" s="500"/>
      <c r="K169" s="500"/>
      <c r="L169" s="500"/>
      <c r="M169" s="498"/>
    </row>
    <row r="170" spans="1:13" ht="25.35" customHeight="1">
      <c r="A170" s="498"/>
      <c r="B170" s="498"/>
      <c r="C170" s="499"/>
      <c r="D170" s="499"/>
      <c r="E170" s="499"/>
      <c r="F170" s="500"/>
      <c r="G170" s="500"/>
      <c r="H170" s="500"/>
      <c r="I170" s="500"/>
      <c r="J170" s="500"/>
      <c r="K170" s="500"/>
      <c r="L170" s="500"/>
      <c r="M170" s="498"/>
    </row>
    <row r="171" spans="1:13" ht="25.35" customHeight="1">
      <c r="A171" s="498"/>
      <c r="B171" s="498"/>
      <c r="C171" s="499"/>
      <c r="D171" s="499"/>
      <c r="E171" s="499"/>
      <c r="F171" s="500"/>
      <c r="G171" s="500"/>
      <c r="H171" s="500"/>
      <c r="I171" s="500"/>
      <c r="J171" s="500"/>
      <c r="K171" s="500"/>
      <c r="L171" s="500"/>
      <c r="M171" s="498"/>
    </row>
    <row r="172" spans="1:13" ht="25.35" customHeight="1">
      <c r="A172" s="498"/>
      <c r="B172" s="498"/>
      <c r="C172" s="499"/>
      <c r="D172" s="499"/>
      <c r="E172" s="499"/>
      <c r="F172" s="500"/>
      <c r="G172" s="500"/>
      <c r="H172" s="500"/>
      <c r="I172" s="500"/>
      <c r="J172" s="500"/>
      <c r="K172" s="500"/>
      <c r="L172" s="500"/>
      <c r="M172" s="498"/>
    </row>
    <row r="173" spans="1:13" ht="25.35" customHeight="1">
      <c r="A173" s="498"/>
      <c r="B173" s="498"/>
      <c r="C173" s="499"/>
      <c r="D173" s="499"/>
      <c r="E173" s="499"/>
      <c r="F173" s="500"/>
      <c r="G173" s="500"/>
      <c r="H173" s="500"/>
      <c r="I173" s="500"/>
      <c r="J173" s="500"/>
      <c r="K173" s="500"/>
      <c r="L173" s="500"/>
      <c r="M173" s="498"/>
    </row>
    <row r="174" spans="1:13" ht="25.35" customHeight="1">
      <c r="A174" s="498"/>
      <c r="B174" s="498"/>
      <c r="C174" s="499"/>
      <c r="D174" s="499"/>
      <c r="E174" s="499"/>
      <c r="F174" s="500"/>
      <c r="G174" s="500"/>
      <c r="H174" s="500"/>
      <c r="I174" s="500"/>
      <c r="J174" s="500"/>
      <c r="K174" s="500"/>
      <c r="L174" s="500"/>
      <c r="M174" s="498"/>
    </row>
    <row r="175" spans="1:13" ht="25.35" customHeight="1">
      <c r="A175" s="498"/>
      <c r="B175" s="498"/>
      <c r="C175" s="499"/>
      <c r="D175" s="499"/>
      <c r="E175" s="499"/>
      <c r="F175" s="500"/>
      <c r="G175" s="500"/>
      <c r="H175" s="500"/>
      <c r="I175" s="500"/>
      <c r="J175" s="500"/>
      <c r="K175" s="500"/>
      <c r="L175" s="500"/>
      <c r="M175" s="498"/>
    </row>
    <row r="176" spans="1:13" ht="25.35" customHeight="1">
      <c r="A176" s="498"/>
      <c r="B176" s="498"/>
      <c r="C176" s="499"/>
      <c r="D176" s="499"/>
      <c r="E176" s="499"/>
      <c r="F176" s="500"/>
      <c r="G176" s="500"/>
      <c r="H176" s="500"/>
      <c r="I176" s="500"/>
      <c r="J176" s="500"/>
      <c r="K176" s="500"/>
      <c r="L176" s="500"/>
      <c r="M176" s="498"/>
    </row>
    <row r="177" spans="1:13" ht="25.35" customHeight="1">
      <c r="A177" s="498"/>
      <c r="B177" s="498"/>
      <c r="C177" s="499"/>
      <c r="D177" s="499"/>
      <c r="E177" s="499"/>
      <c r="F177" s="500"/>
      <c r="G177" s="500"/>
      <c r="H177" s="500"/>
      <c r="I177" s="500"/>
      <c r="J177" s="500"/>
      <c r="K177" s="500"/>
      <c r="L177" s="500"/>
      <c r="M177" s="498"/>
    </row>
    <row r="178" spans="1:13" ht="25.35" customHeight="1">
      <c r="A178" s="498"/>
      <c r="B178" s="498"/>
      <c r="C178" s="499"/>
      <c r="D178" s="499"/>
      <c r="E178" s="499"/>
      <c r="F178" s="500"/>
      <c r="G178" s="500"/>
      <c r="H178" s="500"/>
      <c r="I178" s="500"/>
      <c r="J178" s="500"/>
      <c r="K178" s="500"/>
      <c r="L178" s="500"/>
      <c r="M178" s="498"/>
    </row>
    <row r="179" spans="1:13" ht="25.35" customHeight="1">
      <c r="A179" s="498"/>
      <c r="B179" s="498"/>
      <c r="C179" s="499"/>
      <c r="D179" s="499"/>
      <c r="E179" s="499"/>
      <c r="F179" s="500"/>
      <c r="G179" s="500"/>
      <c r="H179" s="500"/>
      <c r="I179" s="500"/>
      <c r="J179" s="500"/>
      <c r="K179" s="500"/>
      <c r="L179" s="500"/>
      <c r="M179" s="498"/>
    </row>
    <row r="180" spans="1:13" ht="25.35" customHeight="1">
      <c r="A180" s="498"/>
      <c r="B180" s="498"/>
      <c r="C180" s="499"/>
      <c r="D180" s="499"/>
      <c r="E180" s="499"/>
      <c r="F180" s="500"/>
      <c r="G180" s="500"/>
      <c r="H180" s="500"/>
      <c r="I180" s="500"/>
      <c r="J180" s="500"/>
      <c r="K180" s="500"/>
      <c r="L180" s="500"/>
      <c r="M180" s="498"/>
    </row>
    <row r="181" spans="1:13" ht="25.35" customHeight="1">
      <c r="A181" s="498"/>
      <c r="B181" s="498"/>
      <c r="C181" s="499"/>
      <c r="D181" s="499"/>
      <c r="E181" s="499"/>
      <c r="F181" s="500"/>
      <c r="G181" s="500"/>
      <c r="H181" s="500"/>
      <c r="I181" s="500"/>
      <c r="J181" s="500"/>
      <c r="K181" s="500"/>
      <c r="L181" s="500"/>
    </row>
    <row r="182" spans="1:13" ht="25.35" customHeight="1">
      <c r="A182" s="498"/>
      <c r="B182" s="498"/>
      <c r="C182" s="499"/>
      <c r="D182" s="499"/>
      <c r="E182" s="499"/>
      <c r="F182" s="500"/>
      <c r="G182" s="500"/>
      <c r="H182" s="500"/>
      <c r="I182" s="500"/>
      <c r="J182" s="500"/>
      <c r="K182" s="500"/>
      <c r="L182" s="500"/>
    </row>
  </sheetData>
  <mergeCells count="6">
    <mergeCell ref="M1:M2"/>
    <mergeCell ref="A1:A2"/>
    <mergeCell ref="B1:B2"/>
    <mergeCell ref="C1:C2"/>
    <mergeCell ref="D1:D2"/>
    <mergeCell ref="E1:F1"/>
  </mergeCells>
  <phoneticPr fontId="181" type="noConversion"/>
  <printOptions horizontalCentered="1"/>
  <pageMargins left="0.35433070866141736" right="0.35433070866141736" top="0.59055118110236227" bottom="0.59055118110236227" header="0.51181102362204722" footer="0.51181102362204722"/>
  <pageSetup paperSize="9" scale="78" orientation="landscape" r:id="rId1"/>
  <headerFooter alignWithMargins="0"/>
  <rowBreaks count="3" manualBreakCount="3">
    <brk id="33" max="12" man="1"/>
    <brk id="62" max="12" man="1"/>
    <brk id="89" max="12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9">
    <tabColor theme="8" tint="0.39997558519241921"/>
  </sheetPr>
  <dimension ref="A1:O38"/>
  <sheetViews>
    <sheetView view="pageBreakPreview" zoomScale="90" zoomScaleNormal="100" workbookViewId="0">
      <selection activeCell="Q18" sqref="Q18"/>
    </sheetView>
  </sheetViews>
  <sheetFormatPr defaultColWidth="7.88671875" defaultRowHeight="21.6" customHeight="1"/>
  <cols>
    <col min="1" max="1" width="2.5546875" style="558" customWidth="1"/>
    <col min="2" max="2" width="6.88671875" style="558" customWidth="1"/>
    <col min="3" max="4" width="7.6640625" style="241" customWidth="1"/>
    <col min="5" max="8" width="7.6640625" style="556" customWidth="1"/>
    <col min="9" max="9" width="7.6640625" style="648" customWidth="1"/>
    <col min="10" max="10" width="7.6640625" style="241" customWidth="1"/>
    <col min="11" max="11" width="9.44140625" style="241" customWidth="1"/>
    <col min="12" max="13" width="7.109375" style="241" customWidth="1"/>
    <col min="14" max="14" width="3.5546875" style="241" customWidth="1"/>
    <col min="15" max="15" width="10.109375" style="241" customWidth="1"/>
    <col min="16" max="16384" width="7.88671875" style="241"/>
  </cols>
  <sheetData>
    <row r="1" spans="1:15" ht="24" customHeight="1">
      <c r="A1" s="553" t="s">
        <v>1883</v>
      </c>
      <c r="B1" s="554"/>
      <c r="C1" s="555"/>
      <c r="D1" s="555"/>
      <c r="I1" s="557"/>
      <c r="J1" s="558"/>
      <c r="K1" s="558"/>
      <c r="L1" s="558"/>
      <c r="M1" s="558"/>
      <c r="N1" s="559"/>
      <c r="O1" s="558"/>
    </row>
    <row r="2" spans="1:15" ht="9" customHeight="1">
      <c r="A2" s="556"/>
      <c r="B2" s="556"/>
      <c r="C2" s="560"/>
      <c r="D2" s="560"/>
      <c r="E2" s="560"/>
      <c r="F2" s="560"/>
      <c r="G2" s="560"/>
      <c r="H2" s="560"/>
      <c r="I2" s="561"/>
      <c r="J2" s="560"/>
      <c r="K2" s="560"/>
      <c r="L2" s="560"/>
      <c r="M2" s="560"/>
      <c r="N2" s="560"/>
      <c r="O2" s="556"/>
    </row>
    <row r="3" spans="1:15" ht="21.95" customHeight="1">
      <c r="A3" s="555" t="s">
        <v>310</v>
      </c>
      <c r="C3" s="560"/>
      <c r="D3" s="556"/>
      <c r="E3" s="560"/>
      <c r="F3" s="560"/>
      <c r="G3" s="560"/>
      <c r="H3" s="560"/>
      <c r="I3" s="561"/>
      <c r="J3" s="560"/>
      <c r="K3" s="560"/>
      <c r="L3" s="560"/>
      <c r="M3" s="560"/>
      <c r="N3" s="560"/>
      <c r="O3" s="556"/>
    </row>
    <row r="4" spans="1:15" ht="21.95" customHeight="1">
      <c r="A4" s="558" t="s">
        <v>311</v>
      </c>
      <c r="C4" s="558"/>
      <c r="E4" s="241"/>
      <c r="F4" s="241"/>
      <c r="G4" s="241"/>
      <c r="H4" s="241"/>
      <c r="I4" s="241"/>
      <c r="N4" s="559"/>
      <c r="O4" s="558"/>
    </row>
    <row r="5" spans="1:15" ht="21.95" customHeight="1">
      <c r="A5" s="241"/>
      <c r="B5" s="498" t="s">
        <v>578</v>
      </c>
      <c r="C5" s="562"/>
      <c r="D5" s="563" t="e">
        <f>#REF!*5</f>
        <v>#REF!</v>
      </c>
      <c r="E5" s="564" t="s">
        <v>312</v>
      </c>
      <c r="F5" s="565" t="s">
        <v>1091</v>
      </c>
      <c r="G5" s="566"/>
      <c r="H5" s="567"/>
      <c r="I5" s="568"/>
      <c r="J5" s="569"/>
      <c r="K5" s="570"/>
      <c r="L5" s="569"/>
      <c r="M5" s="570"/>
      <c r="N5" s="559"/>
      <c r="O5" s="558"/>
    </row>
    <row r="6" spans="1:15" ht="21.95" customHeight="1">
      <c r="A6" s="241"/>
      <c r="B6" s="498" t="s">
        <v>1945</v>
      </c>
      <c r="C6" s="562"/>
      <c r="D6" s="563" t="e">
        <f>#REF!*1000/200</f>
        <v>#REF!</v>
      </c>
      <c r="E6" s="564" t="s">
        <v>1092</v>
      </c>
      <c r="F6" s="565" t="s">
        <v>1856</v>
      </c>
      <c r="G6" s="566"/>
      <c r="H6" s="567"/>
      <c r="I6" s="568"/>
      <c r="J6" s="1648" t="s">
        <v>1946</v>
      </c>
      <c r="K6" s="570"/>
      <c r="L6" s="569"/>
      <c r="M6" s="570"/>
      <c r="N6" s="559"/>
      <c r="O6" s="558"/>
    </row>
    <row r="7" spans="1:15" ht="21.95" customHeight="1">
      <c r="A7" s="241"/>
      <c r="B7" s="498" t="s">
        <v>1093</v>
      </c>
      <c r="C7" s="562"/>
      <c r="D7" s="563" t="e">
        <f>#REF!*1000/500+#REF!+#REF!*3</f>
        <v>#REF!</v>
      </c>
      <c r="E7" s="564" t="s">
        <v>312</v>
      </c>
      <c r="F7" s="565" t="s">
        <v>1948</v>
      </c>
      <c r="G7" s="566"/>
      <c r="H7" s="567"/>
      <c r="I7" s="568"/>
      <c r="J7" s="569"/>
      <c r="K7" s="644" t="s">
        <v>1947</v>
      </c>
      <c r="L7" s="1318"/>
      <c r="M7" s="644"/>
      <c r="N7" s="559"/>
      <c r="O7" s="558"/>
    </row>
    <row r="8" spans="1:15" ht="21.95" customHeight="1">
      <c r="A8" s="241"/>
      <c r="B8" s="498" t="s">
        <v>579</v>
      </c>
      <c r="C8" s="562"/>
      <c r="D8" s="563" t="e">
        <f>#REF!*5+#REF!*2+#REF!*1</f>
        <v>#REF!</v>
      </c>
      <c r="E8" s="564" t="s">
        <v>580</v>
      </c>
      <c r="F8" s="565" t="s">
        <v>1271</v>
      </c>
      <c r="G8" s="566"/>
      <c r="H8" s="567"/>
      <c r="I8" s="568"/>
      <c r="J8" s="569"/>
      <c r="K8" s="570"/>
      <c r="L8" s="569"/>
      <c r="M8" s="570"/>
      <c r="N8" s="559"/>
      <c r="O8" s="558"/>
    </row>
    <row r="9" spans="1:15" ht="9" customHeight="1">
      <c r="A9" s="571"/>
      <c r="B9" s="241" t="s">
        <v>313</v>
      </c>
      <c r="C9" s="558"/>
      <c r="D9" s="572"/>
      <c r="E9" s="573"/>
      <c r="F9" s="565"/>
      <c r="G9" s="573"/>
      <c r="H9" s="573"/>
      <c r="I9" s="574"/>
      <c r="J9" s="573"/>
      <c r="K9" s="575"/>
      <c r="L9" s="573"/>
      <c r="M9" s="576"/>
      <c r="N9" s="559"/>
      <c r="O9" s="558"/>
    </row>
    <row r="10" spans="1:15" ht="21.95" customHeight="1">
      <c r="A10" s="555" t="s">
        <v>314</v>
      </c>
      <c r="C10" s="558"/>
      <c r="E10" s="241"/>
      <c r="F10" s="241"/>
      <c r="G10" s="241"/>
      <c r="H10" s="241"/>
      <c r="I10" s="241"/>
      <c r="L10" s="560"/>
      <c r="M10" s="559"/>
    </row>
    <row r="11" spans="1:15" ht="21.95" customHeight="1">
      <c r="A11" s="571"/>
      <c r="B11" s="2100" t="s">
        <v>315</v>
      </c>
      <c r="C11" s="2103" t="s">
        <v>581</v>
      </c>
      <c r="D11" s="2103"/>
      <c r="E11" s="1852"/>
      <c r="F11" s="2104" t="s">
        <v>582</v>
      </c>
      <c r="G11" s="2103"/>
      <c r="H11" s="1852"/>
      <c r="I11" s="577" t="s">
        <v>39</v>
      </c>
      <c r="J11" s="2100" t="s">
        <v>316</v>
      </c>
      <c r="L11" s="578"/>
      <c r="M11" s="559"/>
    </row>
    <row r="12" spans="1:15" ht="21.95" customHeight="1">
      <c r="A12" s="571"/>
      <c r="B12" s="2101"/>
      <c r="C12" s="579" t="s">
        <v>317</v>
      </c>
      <c r="D12" s="580" t="s">
        <v>318</v>
      </c>
      <c r="E12" s="481" t="s">
        <v>319</v>
      </c>
      <c r="F12" s="581" t="s">
        <v>317</v>
      </c>
      <c r="G12" s="580" t="s">
        <v>318</v>
      </c>
      <c r="H12" s="481" t="s">
        <v>319</v>
      </c>
      <c r="I12" s="582" t="s">
        <v>319</v>
      </c>
      <c r="J12" s="2101"/>
      <c r="L12" s="583"/>
      <c r="M12" s="559"/>
    </row>
    <row r="13" spans="1:15" ht="21.95" customHeight="1">
      <c r="B13" s="2102"/>
      <c r="C13" s="584" t="s">
        <v>320</v>
      </c>
      <c r="D13" s="585" t="s">
        <v>321</v>
      </c>
      <c r="E13" s="586" t="s">
        <v>321</v>
      </c>
      <c r="F13" s="587" t="s">
        <v>320</v>
      </c>
      <c r="G13" s="585" t="s">
        <v>321</v>
      </c>
      <c r="H13" s="586" t="s">
        <v>321</v>
      </c>
      <c r="I13" s="588" t="s">
        <v>321</v>
      </c>
      <c r="J13" s="2102"/>
      <c r="L13" s="583"/>
      <c r="M13" s="559"/>
    </row>
    <row r="14" spans="1:15" ht="21.95" customHeight="1">
      <c r="A14" s="241"/>
      <c r="B14" s="589" t="s">
        <v>322</v>
      </c>
      <c r="C14" s="590" t="e">
        <f>SUM($D$5:$D$6)</f>
        <v>#REF!</v>
      </c>
      <c r="D14" s="591">
        <v>3</v>
      </c>
      <c r="E14" s="592" t="e">
        <f>C14*D14</f>
        <v>#REF!</v>
      </c>
      <c r="F14" s="593" t="e">
        <f>$D$7+$D$8</f>
        <v>#REF!</v>
      </c>
      <c r="G14" s="594">
        <f>D14</f>
        <v>3</v>
      </c>
      <c r="H14" s="595" t="e">
        <f>F14*G14</f>
        <v>#REF!</v>
      </c>
      <c r="I14" s="596" t="e">
        <f>E14+H14</f>
        <v>#REF!</v>
      </c>
      <c r="J14" s="597"/>
      <c r="L14" s="583"/>
      <c r="M14" s="559"/>
    </row>
    <row r="15" spans="1:15" ht="21.95" customHeight="1">
      <c r="A15" s="241"/>
      <c r="B15" s="582" t="s">
        <v>323</v>
      </c>
      <c r="C15" s="590" t="e">
        <f t="shared" ref="C15:C18" si="0">SUM($D$5:$D$6)</f>
        <v>#REF!</v>
      </c>
      <c r="D15" s="598">
        <v>2</v>
      </c>
      <c r="E15" s="599" t="e">
        <f>C15*D15</f>
        <v>#REF!</v>
      </c>
      <c r="F15" s="600" t="e">
        <f>F14</f>
        <v>#REF!</v>
      </c>
      <c r="G15" s="601">
        <f>D15</f>
        <v>2</v>
      </c>
      <c r="H15" s="602" t="e">
        <f>F15*G15</f>
        <v>#REF!</v>
      </c>
      <c r="I15" s="596" t="e">
        <f>E15+H15</f>
        <v>#REF!</v>
      </c>
      <c r="J15" s="603"/>
      <c r="L15" s="583"/>
      <c r="M15" s="559"/>
    </row>
    <row r="16" spans="1:15" ht="21.95" customHeight="1">
      <c r="A16" s="241"/>
      <c r="B16" s="582" t="s">
        <v>324</v>
      </c>
      <c r="C16" s="590" t="e">
        <f t="shared" si="0"/>
        <v>#REF!</v>
      </c>
      <c r="D16" s="598">
        <v>2</v>
      </c>
      <c r="E16" s="599" t="e">
        <f>C16*D16</f>
        <v>#REF!</v>
      </c>
      <c r="F16" s="600" t="e">
        <f>F15</f>
        <v>#REF!</v>
      </c>
      <c r="G16" s="601">
        <f>D16</f>
        <v>2</v>
      </c>
      <c r="H16" s="602" t="e">
        <f>F16*G16</f>
        <v>#REF!</v>
      </c>
      <c r="I16" s="596" t="e">
        <f>E16+H16</f>
        <v>#REF!</v>
      </c>
      <c r="J16" s="603"/>
      <c r="L16" s="583"/>
      <c r="M16" s="559"/>
    </row>
    <row r="17" spans="1:15" ht="21.95" customHeight="1">
      <c r="A17" s="241"/>
      <c r="B17" s="582" t="s">
        <v>325</v>
      </c>
      <c r="C17" s="590" t="e">
        <f t="shared" si="0"/>
        <v>#REF!</v>
      </c>
      <c r="D17" s="598">
        <v>2</v>
      </c>
      <c r="E17" s="599" t="e">
        <f>C17*D17</f>
        <v>#REF!</v>
      </c>
      <c r="F17" s="600" t="e">
        <f>F16</f>
        <v>#REF!</v>
      </c>
      <c r="G17" s="601">
        <f>D17</f>
        <v>2</v>
      </c>
      <c r="H17" s="602" t="e">
        <f>F17*G17</f>
        <v>#REF!</v>
      </c>
      <c r="I17" s="596" t="e">
        <f>E17+H17</f>
        <v>#REF!</v>
      </c>
      <c r="J17" s="603"/>
      <c r="L17" s="583"/>
      <c r="M17" s="559"/>
    </row>
    <row r="18" spans="1:15" ht="21.95" customHeight="1">
      <c r="A18" s="241"/>
      <c r="B18" s="604" t="s">
        <v>326</v>
      </c>
      <c r="C18" s="590" t="e">
        <f t="shared" si="0"/>
        <v>#REF!</v>
      </c>
      <c r="D18" s="605">
        <v>1</v>
      </c>
      <c r="E18" s="606" t="e">
        <f>C18*D18</f>
        <v>#REF!</v>
      </c>
      <c r="F18" s="600" t="e">
        <f>F17</f>
        <v>#REF!</v>
      </c>
      <c r="G18" s="607">
        <f>D18</f>
        <v>1</v>
      </c>
      <c r="H18" s="602" t="e">
        <f>F18*G18</f>
        <v>#REF!</v>
      </c>
      <c r="I18" s="596" t="e">
        <f>E18+H18</f>
        <v>#REF!</v>
      </c>
      <c r="J18" s="603"/>
      <c r="L18" s="583"/>
      <c r="M18" s="559"/>
    </row>
    <row r="19" spans="1:15" ht="21.95" customHeight="1">
      <c r="A19" s="571"/>
      <c r="B19" s="608" t="s">
        <v>39</v>
      </c>
      <c r="C19" s="609"/>
      <c r="D19" s="610">
        <f>SUM(D14:D18)</f>
        <v>10</v>
      </c>
      <c r="E19" s="611" t="e">
        <f>SUM(E14:E18)</f>
        <v>#REF!</v>
      </c>
      <c r="F19" s="612"/>
      <c r="G19" s="613">
        <f>SUM(G14:G18)</f>
        <v>10</v>
      </c>
      <c r="H19" s="614" t="e">
        <f>SUM(H14:H18)</f>
        <v>#REF!</v>
      </c>
      <c r="I19" s="615" t="e">
        <f>SUM(I14:I18)</f>
        <v>#REF!</v>
      </c>
      <c r="J19" s="615"/>
      <c r="K19" s="583"/>
      <c r="L19" s="583"/>
      <c r="M19" s="559"/>
    </row>
    <row r="20" spans="1:15" ht="9" customHeight="1">
      <c r="A20" s="556"/>
      <c r="B20" s="556"/>
      <c r="C20" s="558"/>
      <c r="E20" s="573"/>
      <c r="F20" s="573"/>
      <c r="G20" s="573"/>
      <c r="H20" s="573"/>
      <c r="I20" s="574"/>
      <c r="J20" s="573"/>
      <c r="K20" s="573"/>
      <c r="L20" s="573"/>
      <c r="M20" s="573"/>
      <c r="N20" s="559"/>
      <c r="O20" s="558"/>
    </row>
    <row r="21" spans="1:15" ht="21.95" customHeight="1">
      <c r="A21" s="555" t="s">
        <v>327</v>
      </c>
      <c r="C21" s="558"/>
      <c r="E21" s="241"/>
      <c r="F21" s="241"/>
      <c r="G21" s="241"/>
      <c r="H21" s="241"/>
      <c r="I21" s="241"/>
      <c r="M21" s="573"/>
      <c r="N21" s="559"/>
      <c r="O21" s="558"/>
    </row>
    <row r="22" spans="1:15" ht="21.95" customHeight="1">
      <c r="A22" s="555"/>
      <c r="B22" s="1876" t="s">
        <v>328</v>
      </c>
      <c r="C22" s="2103" t="s">
        <v>581</v>
      </c>
      <c r="D22" s="2103"/>
      <c r="E22" s="1852"/>
      <c r="F22" s="2104" t="s">
        <v>582</v>
      </c>
      <c r="G22" s="2103"/>
      <c r="H22" s="1852"/>
      <c r="I22" s="2105" t="s">
        <v>329</v>
      </c>
      <c r="J22" s="1852" t="s">
        <v>316</v>
      </c>
      <c r="M22" s="573"/>
      <c r="N22" s="559"/>
      <c r="O22" s="558"/>
    </row>
    <row r="23" spans="1:15" ht="21.95" customHeight="1">
      <c r="A23" s="555"/>
      <c r="B23" s="1877"/>
      <c r="C23" s="616" t="s">
        <v>330</v>
      </c>
      <c r="D23" s="617" t="s">
        <v>331</v>
      </c>
      <c r="E23" s="618" t="s">
        <v>332</v>
      </c>
      <c r="F23" s="619" t="s">
        <v>330</v>
      </c>
      <c r="G23" s="619" t="s">
        <v>331</v>
      </c>
      <c r="H23" s="619" t="s">
        <v>332</v>
      </c>
      <c r="I23" s="1877"/>
      <c r="J23" s="1853"/>
      <c r="M23" s="573"/>
      <c r="N23" s="559"/>
      <c r="O23" s="558"/>
    </row>
    <row r="24" spans="1:15" ht="21.95" customHeight="1">
      <c r="A24" s="555"/>
      <c r="B24" s="589" t="s">
        <v>322</v>
      </c>
      <c r="C24" s="620" t="e">
        <f t="shared" ref="C24:D27" si="1">C14</f>
        <v>#REF!</v>
      </c>
      <c r="D24" s="621">
        <f t="shared" si="1"/>
        <v>3</v>
      </c>
      <c r="E24" s="622" t="e">
        <f>C24*D24</f>
        <v>#REF!</v>
      </c>
      <c r="F24" s="623" t="e">
        <f t="shared" ref="F24:G28" si="2">F14</f>
        <v>#REF!</v>
      </c>
      <c r="G24" s="623">
        <f t="shared" si="2"/>
        <v>3</v>
      </c>
      <c r="H24" s="624" t="e">
        <f>F24*G24</f>
        <v>#REF!</v>
      </c>
      <c r="I24" s="624" t="e">
        <f>E24+H24</f>
        <v>#REF!</v>
      </c>
      <c r="J24" s="625"/>
      <c r="M24" s="573"/>
      <c r="N24" s="559"/>
      <c r="O24" s="558"/>
    </row>
    <row r="25" spans="1:15" ht="21.95" customHeight="1">
      <c r="A25" s="555"/>
      <c r="B25" s="582" t="s">
        <v>323</v>
      </c>
      <c r="C25" s="626" t="e">
        <f t="shared" si="1"/>
        <v>#REF!</v>
      </c>
      <c r="D25" s="627">
        <f t="shared" si="1"/>
        <v>2</v>
      </c>
      <c r="E25" s="628" t="e">
        <f>C25*D25</f>
        <v>#REF!</v>
      </c>
      <c r="F25" s="629" t="e">
        <f t="shared" si="2"/>
        <v>#REF!</v>
      </c>
      <c r="G25" s="629">
        <f t="shared" si="2"/>
        <v>2</v>
      </c>
      <c r="H25" s="630" t="e">
        <f>F25*G25</f>
        <v>#REF!</v>
      </c>
      <c r="I25" s="630" t="e">
        <f>E25+H25</f>
        <v>#REF!</v>
      </c>
      <c r="J25" s="631"/>
      <c r="M25" s="573"/>
      <c r="N25" s="559"/>
      <c r="O25" s="558"/>
    </row>
    <row r="26" spans="1:15" ht="21.95" customHeight="1">
      <c r="A26" s="555"/>
      <c r="B26" s="582" t="s">
        <v>324</v>
      </c>
      <c r="C26" s="626" t="e">
        <f t="shared" si="1"/>
        <v>#REF!</v>
      </c>
      <c r="D26" s="627">
        <f t="shared" si="1"/>
        <v>2</v>
      </c>
      <c r="E26" s="628" t="e">
        <f>C26*D26</f>
        <v>#REF!</v>
      </c>
      <c r="F26" s="629" t="e">
        <f t="shared" si="2"/>
        <v>#REF!</v>
      </c>
      <c r="G26" s="629">
        <f t="shared" si="2"/>
        <v>2</v>
      </c>
      <c r="H26" s="630" t="e">
        <f>F26*G26</f>
        <v>#REF!</v>
      </c>
      <c r="I26" s="630" t="e">
        <f>E26+H26</f>
        <v>#REF!</v>
      </c>
      <c r="J26" s="631"/>
      <c r="M26" s="573"/>
      <c r="N26" s="559"/>
      <c r="O26" s="558"/>
    </row>
    <row r="27" spans="1:15" ht="21.95" customHeight="1">
      <c r="A27" s="555"/>
      <c r="B27" s="582" t="s">
        <v>325</v>
      </c>
      <c r="C27" s="626" t="e">
        <f t="shared" si="1"/>
        <v>#REF!</v>
      </c>
      <c r="D27" s="627">
        <f t="shared" si="1"/>
        <v>2</v>
      </c>
      <c r="E27" s="628" t="e">
        <f>C27*D27</f>
        <v>#REF!</v>
      </c>
      <c r="F27" s="629" t="e">
        <f t="shared" si="2"/>
        <v>#REF!</v>
      </c>
      <c r="G27" s="629">
        <f t="shared" si="2"/>
        <v>2</v>
      </c>
      <c r="H27" s="630" t="e">
        <f>F27*G27</f>
        <v>#REF!</v>
      </c>
      <c r="I27" s="630" t="e">
        <f>E27+H27</f>
        <v>#REF!</v>
      </c>
      <c r="J27" s="631"/>
      <c r="M27" s="573"/>
      <c r="N27" s="559"/>
      <c r="O27" s="558"/>
    </row>
    <row r="28" spans="1:15" ht="21.95" customHeight="1">
      <c r="A28" s="555"/>
      <c r="B28" s="604" t="s">
        <v>333</v>
      </c>
      <c r="C28" s="632" t="e">
        <f>C27</f>
        <v>#REF!</v>
      </c>
      <c r="D28" s="633">
        <v>1</v>
      </c>
      <c r="E28" s="628" t="e">
        <f>C28*D28</f>
        <v>#REF!</v>
      </c>
      <c r="F28" s="629" t="e">
        <f t="shared" si="2"/>
        <v>#REF!</v>
      </c>
      <c r="G28" s="629">
        <f t="shared" si="2"/>
        <v>1</v>
      </c>
      <c r="H28" s="630" t="e">
        <f>F28*G28</f>
        <v>#REF!</v>
      </c>
      <c r="I28" s="630" t="e">
        <f>E28+H28</f>
        <v>#REF!</v>
      </c>
      <c r="J28" s="634"/>
      <c r="M28" s="573"/>
      <c r="N28" s="559"/>
      <c r="O28" s="558"/>
    </row>
    <row r="29" spans="1:15" ht="21.95" customHeight="1">
      <c r="A29" s="555"/>
      <c r="B29" s="608" t="s">
        <v>39</v>
      </c>
      <c r="C29" s="635"/>
      <c r="D29" s="636"/>
      <c r="E29" s="637" t="e">
        <f>SUM(E24:E28)</f>
        <v>#REF!</v>
      </c>
      <c r="F29" s="638"/>
      <c r="G29" s="639"/>
      <c r="H29" s="640" t="e">
        <f>SUM(H24:H28)</f>
        <v>#REF!</v>
      </c>
      <c r="I29" s="641" t="e">
        <f>SUM(I24:I28)</f>
        <v>#REF!</v>
      </c>
      <c r="J29" s="642"/>
      <c r="M29" s="573"/>
      <c r="N29" s="559"/>
      <c r="O29" s="558"/>
    </row>
    <row r="30" spans="1:15" ht="9" customHeight="1">
      <c r="A30" s="555"/>
      <c r="C30" s="558"/>
      <c r="E30" s="241"/>
      <c r="F30" s="241"/>
      <c r="G30" s="241"/>
      <c r="H30" s="241"/>
      <c r="I30" s="241"/>
      <c r="M30" s="573"/>
      <c r="N30" s="559"/>
      <c r="O30" s="558"/>
    </row>
    <row r="31" spans="1:15" ht="21.95" customHeight="1">
      <c r="A31" s="555" t="s">
        <v>583</v>
      </c>
      <c r="B31" s="241"/>
      <c r="C31" s="558"/>
      <c r="D31" s="556"/>
      <c r="E31" s="241"/>
      <c r="F31" s="241"/>
      <c r="G31" s="241"/>
      <c r="H31" s="241"/>
      <c r="I31" s="241"/>
      <c r="N31" s="559"/>
      <c r="O31" s="558"/>
    </row>
    <row r="32" spans="1:15" ht="21.95" customHeight="1">
      <c r="B32" s="643" t="s">
        <v>334</v>
      </c>
      <c r="C32" s="558"/>
      <c r="D32" s="644" t="e">
        <f>SUM($D$5:$D$8)</f>
        <v>#REF!</v>
      </c>
      <c r="E32" s="558" t="s">
        <v>296</v>
      </c>
      <c r="F32" s="644"/>
      <c r="G32" s="558"/>
      <c r="H32" s="558"/>
      <c r="I32" s="558"/>
      <c r="J32" s="558"/>
      <c r="K32" s="558"/>
      <c r="L32" s="558"/>
      <c r="M32" s="558"/>
      <c r="N32" s="559"/>
      <c r="O32" s="558"/>
    </row>
    <row r="33" spans="1:10" ht="21.95" customHeight="1">
      <c r="B33" s="558" t="s">
        <v>335</v>
      </c>
      <c r="C33" s="558"/>
      <c r="D33" s="644" t="e">
        <f>SUM($D$5:$D$8)</f>
        <v>#REF!</v>
      </c>
      <c r="E33" s="558" t="s">
        <v>296</v>
      </c>
      <c r="F33" s="646"/>
      <c r="G33" s="558"/>
      <c r="H33" s="558"/>
      <c r="I33" s="558"/>
      <c r="J33" s="558"/>
    </row>
    <row r="34" spans="1:10" ht="9" customHeight="1">
      <c r="C34" s="558"/>
      <c r="D34" s="645"/>
      <c r="E34" s="558"/>
      <c r="F34" s="646"/>
      <c r="G34" s="558"/>
      <c r="H34" s="558"/>
      <c r="I34" s="558"/>
      <c r="J34" s="558"/>
    </row>
    <row r="35" spans="1:10" ht="21.95" customHeight="1">
      <c r="A35" s="555" t="s">
        <v>584</v>
      </c>
      <c r="B35" s="241"/>
      <c r="C35" s="558"/>
      <c r="D35" s="556"/>
      <c r="E35" s="241"/>
      <c r="F35" s="241"/>
      <c r="G35" s="241"/>
      <c r="H35" s="241"/>
      <c r="I35" s="241"/>
    </row>
    <row r="36" spans="1:10" ht="21.95" customHeight="1">
      <c r="B36" s="575" t="e">
        <f>D32</f>
        <v>#REF!</v>
      </c>
      <c r="C36" s="573" t="s">
        <v>336</v>
      </c>
      <c r="D36" s="576">
        <v>1</v>
      </c>
      <c r="E36" s="573" t="s">
        <v>337</v>
      </c>
      <c r="F36" s="576" t="e">
        <f>B36*D36</f>
        <v>#REF!</v>
      </c>
      <c r="G36" s="647" t="s">
        <v>338</v>
      </c>
      <c r="H36" s="573"/>
      <c r="I36" s="241"/>
    </row>
    <row r="37" spans="1:10" ht="7.5" customHeight="1"/>
    <row r="38" spans="1:10" ht="21.6" customHeight="1">
      <c r="A38" s="555" t="s">
        <v>1089</v>
      </c>
      <c r="E38" s="558" t="s">
        <v>1090</v>
      </c>
    </row>
  </sheetData>
  <mergeCells count="9">
    <mergeCell ref="B11:B13"/>
    <mergeCell ref="C11:E11"/>
    <mergeCell ref="F11:H11"/>
    <mergeCell ref="J11:J13"/>
    <mergeCell ref="B22:B23"/>
    <mergeCell ref="C22:E22"/>
    <mergeCell ref="F22:H22"/>
    <mergeCell ref="I22:I23"/>
    <mergeCell ref="J22:J23"/>
  </mergeCells>
  <phoneticPr fontId="181" type="noConversion"/>
  <pageMargins left="0.55118110236220474" right="0.55118110236220474" top="0.78740157480314965" bottom="0.78740157480314965" header="0.51181102362204722" footer="0.51181102362204722"/>
  <pageSetup paperSize="9" scale="93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theme="8" tint="0.39997558519241921"/>
  </sheetPr>
  <dimension ref="A1:F30"/>
  <sheetViews>
    <sheetView view="pageBreakPreview" zoomScale="85" zoomScaleNormal="100" zoomScaleSheetLayoutView="85" workbookViewId="0">
      <selection activeCell="Q18" sqref="Q18"/>
    </sheetView>
  </sheetViews>
  <sheetFormatPr defaultColWidth="8" defaultRowHeight="21.6" customHeight="1"/>
  <cols>
    <col min="1" max="1" width="16.5546875" style="841" customWidth="1"/>
    <col min="2" max="2" width="13.109375" style="242" bestFit="1" customWidth="1"/>
    <col min="3" max="3" width="11.44140625" style="841" customWidth="1"/>
    <col min="4" max="4" width="4.77734375" style="842" customWidth="1"/>
    <col min="5" max="5" width="27.6640625" style="242" customWidth="1"/>
    <col min="6" max="240" width="8" style="242"/>
    <col min="241" max="241" width="12.77734375" style="242" customWidth="1"/>
    <col min="242" max="242" width="13.109375" style="242" bestFit="1" customWidth="1"/>
    <col min="243" max="243" width="13.21875" style="242" customWidth="1"/>
    <col min="244" max="244" width="4.77734375" style="242" customWidth="1"/>
    <col min="245" max="245" width="30.77734375" style="242" customWidth="1"/>
    <col min="246" max="16384" width="8" style="242"/>
  </cols>
  <sheetData>
    <row r="1" spans="1:6" s="241" customFormat="1" ht="30" customHeight="1">
      <c r="A1" s="819" t="s">
        <v>1884</v>
      </c>
      <c r="B1" s="555"/>
      <c r="C1" s="820"/>
      <c r="D1" s="821"/>
      <c r="E1" s="821"/>
      <c r="F1" s="822"/>
    </row>
    <row r="2" spans="1:6" s="241" customFormat="1" ht="21.95" customHeight="1" thickBot="1">
      <c r="A2" s="823" t="s">
        <v>339</v>
      </c>
      <c r="B2" s="824" t="s">
        <v>340</v>
      </c>
      <c r="C2" s="2106" t="s">
        <v>341</v>
      </c>
      <c r="D2" s="2106"/>
      <c r="E2" s="825" t="s">
        <v>143</v>
      </c>
      <c r="F2" s="822"/>
    </row>
    <row r="3" spans="1:6" s="241" customFormat="1" ht="21.95" customHeight="1" thickTop="1">
      <c r="A3" s="826" t="s">
        <v>342</v>
      </c>
      <c r="B3" s="827" t="s">
        <v>343</v>
      </c>
      <c r="C3" s="828">
        <v>110000</v>
      </c>
      <c r="D3" s="829" t="s">
        <v>344</v>
      </c>
      <c r="E3" s="830" t="s">
        <v>1094</v>
      </c>
      <c r="F3" s="822"/>
    </row>
    <row r="4" spans="1:6" s="241" customFormat="1" ht="21.95" customHeight="1">
      <c r="A4" s="831" t="s">
        <v>345</v>
      </c>
      <c r="B4" s="459" t="s">
        <v>346</v>
      </c>
      <c r="C4" s="832">
        <v>550000</v>
      </c>
      <c r="D4" s="833" t="s">
        <v>344</v>
      </c>
      <c r="E4" s="830" t="s">
        <v>1094</v>
      </c>
      <c r="F4" s="822"/>
    </row>
    <row r="5" spans="1:6" s="241" customFormat="1" ht="21.95" customHeight="1">
      <c r="A5" s="834" t="s">
        <v>347</v>
      </c>
      <c r="B5" s="459" t="s">
        <v>348</v>
      </c>
      <c r="C5" s="832">
        <v>30000</v>
      </c>
      <c r="D5" s="833" t="s">
        <v>344</v>
      </c>
      <c r="E5" s="830" t="s">
        <v>1094</v>
      </c>
      <c r="F5" s="822"/>
    </row>
    <row r="6" spans="1:6" s="241" customFormat="1" ht="21.95" customHeight="1">
      <c r="A6" s="834" t="s">
        <v>349</v>
      </c>
      <c r="B6" s="459" t="s">
        <v>350</v>
      </c>
      <c r="C6" s="832">
        <v>165000</v>
      </c>
      <c r="D6" s="833" t="s">
        <v>351</v>
      </c>
      <c r="E6" s="830" t="s">
        <v>1094</v>
      </c>
      <c r="F6" s="822"/>
    </row>
    <row r="7" spans="1:6" s="241" customFormat="1" ht="21.95" customHeight="1">
      <c r="A7" s="835" t="s">
        <v>272</v>
      </c>
      <c r="B7" s="459" t="s">
        <v>352</v>
      </c>
      <c r="C7" s="832">
        <v>50000</v>
      </c>
      <c r="D7" s="833" t="s">
        <v>344</v>
      </c>
      <c r="E7" s="830" t="s">
        <v>1094</v>
      </c>
      <c r="F7" s="822"/>
    </row>
    <row r="8" spans="1:6" s="241" customFormat="1" ht="21.95" customHeight="1">
      <c r="A8" s="835" t="s">
        <v>273</v>
      </c>
      <c r="B8" s="459" t="str">
        <f>B7</f>
        <v>NXNW</v>
      </c>
      <c r="C8" s="832">
        <v>35000</v>
      </c>
      <c r="D8" s="833" t="s">
        <v>344</v>
      </c>
      <c r="E8" s="830" t="s">
        <v>1094</v>
      </c>
      <c r="F8" s="822"/>
    </row>
    <row r="9" spans="1:6" s="241" customFormat="1" ht="21.95" customHeight="1">
      <c r="A9" s="835" t="s">
        <v>274</v>
      </c>
      <c r="B9" s="459" t="s">
        <v>353</v>
      </c>
      <c r="C9" s="832">
        <v>130000</v>
      </c>
      <c r="D9" s="833" t="s">
        <v>344</v>
      </c>
      <c r="E9" s="830" t="s">
        <v>1094</v>
      </c>
      <c r="F9" s="822"/>
    </row>
    <row r="10" spans="1:6" s="241" customFormat="1" ht="21.95" customHeight="1">
      <c r="A10" s="834" t="s">
        <v>354</v>
      </c>
      <c r="B10" s="459" t="s">
        <v>355</v>
      </c>
      <c r="C10" s="832">
        <v>50000</v>
      </c>
      <c r="D10" s="833" t="s">
        <v>344</v>
      </c>
      <c r="E10" s="830" t="s">
        <v>1094</v>
      </c>
      <c r="F10" s="822"/>
    </row>
    <row r="11" spans="1:6" s="241" customFormat="1" ht="21.95" customHeight="1">
      <c r="A11" s="834" t="s">
        <v>284</v>
      </c>
      <c r="B11" s="459" t="s">
        <v>355</v>
      </c>
      <c r="C11" s="832">
        <v>17000</v>
      </c>
      <c r="D11" s="833" t="s">
        <v>344</v>
      </c>
      <c r="E11" s="830" t="s">
        <v>1094</v>
      </c>
      <c r="F11" s="822"/>
    </row>
    <row r="12" spans="1:6" s="241" customFormat="1" ht="21.95" customHeight="1">
      <c r="A12" s="834" t="s">
        <v>356</v>
      </c>
      <c r="B12" s="459" t="s">
        <v>357</v>
      </c>
      <c r="C12" s="832">
        <v>15000</v>
      </c>
      <c r="D12" s="833" t="s">
        <v>344</v>
      </c>
      <c r="E12" s="830" t="s">
        <v>1094</v>
      </c>
      <c r="F12" s="822"/>
    </row>
    <row r="13" spans="1:6" s="241" customFormat="1" ht="21.95" customHeight="1">
      <c r="A13" s="831" t="s">
        <v>358</v>
      </c>
      <c r="B13" s="459" t="s">
        <v>357</v>
      </c>
      <c r="C13" s="832">
        <v>270000</v>
      </c>
      <c r="D13" s="833" t="s">
        <v>351</v>
      </c>
      <c r="E13" s="830" t="s">
        <v>1094</v>
      </c>
      <c r="F13" s="822"/>
    </row>
    <row r="14" spans="1:6" s="241" customFormat="1" ht="21.95" customHeight="1">
      <c r="A14" s="834" t="s">
        <v>359</v>
      </c>
      <c r="B14" s="459"/>
      <c r="C14" s="832">
        <v>1506</v>
      </c>
      <c r="D14" s="833" t="s">
        <v>344</v>
      </c>
      <c r="E14" s="830" t="s">
        <v>1094</v>
      </c>
    </row>
    <row r="15" spans="1:6" s="241" customFormat="1" ht="21.95" customHeight="1">
      <c r="A15" s="834" t="s">
        <v>360</v>
      </c>
      <c r="B15" s="459"/>
      <c r="C15" s="832">
        <v>1568</v>
      </c>
      <c r="D15" s="833" t="s">
        <v>344</v>
      </c>
      <c r="E15" s="830" t="s">
        <v>1094</v>
      </c>
    </row>
    <row r="16" spans="1:6" s="241" customFormat="1" ht="21.95" customHeight="1">
      <c r="A16" s="834" t="s">
        <v>361</v>
      </c>
      <c r="B16" s="459" t="s">
        <v>362</v>
      </c>
      <c r="C16" s="832">
        <v>4300</v>
      </c>
      <c r="D16" s="833" t="s">
        <v>344</v>
      </c>
      <c r="E16" s="830" t="s">
        <v>1094</v>
      </c>
    </row>
    <row r="17" spans="1:6" s="241" customFormat="1" ht="21.95" customHeight="1">
      <c r="A17" s="836" t="s">
        <v>363</v>
      </c>
      <c r="B17" s="459" t="s">
        <v>364</v>
      </c>
      <c r="C17" s="832">
        <v>28041</v>
      </c>
      <c r="D17" s="833" t="s">
        <v>351</v>
      </c>
      <c r="E17" s="830" t="s">
        <v>1094</v>
      </c>
      <c r="F17" s="822"/>
    </row>
    <row r="18" spans="1:6" ht="21.95" customHeight="1">
      <c r="A18" s="834" t="s">
        <v>365</v>
      </c>
      <c r="B18" s="459" t="s">
        <v>737</v>
      </c>
      <c r="C18" s="832">
        <v>237100</v>
      </c>
      <c r="D18" s="833" t="s">
        <v>351</v>
      </c>
      <c r="E18" s="481" t="s">
        <v>1098</v>
      </c>
    </row>
    <row r="19" spans="1:6" ht="21.95" customHeight="1">
      <c r="A19" s="831" t="s">
        <v>297</v>
      </c>
      <c r="B19" s="459" t="s">
        <v>738</v>
      </c>
      <c r="C19" s="832">
        <v>16200</v>
      </c>
      <c r="D19" s="833" t="s">
        <v>351</v>
      </c>
      <c r="E19" s="481" t="s">
        <v>1097</v>
      </c>
    </row>
    <row r="20" spans="1:6" ht="21.95" customHeight="1">
      <c r="A20" s="834" t="s">
        <v>366</v>
      </c>
      <c r="B20" s="459" t="s">
        <v>739</v>
      </c>
      <c r="C20" s="832">
        <v>66600</v>
      </c>
      <c r="D20" s="833" t="s">
        <v>351</v>
      </c>
      <c r="E20" s="481" t="s">
        <v>1097</v>
      </c>
    </row>
    <row r="21" spans="1:6" ht="21.95" customHeight="1">
      <c r="A21" s="837" t="s">
        <v>367</v>
      </c>
      <c r="B21" s="459" t="s">
        <v>740</v>
      </c>
      <c r="C21" s="832">
        <v>69300</v>
      </c>
      <c r="D21" s="833" t="s">
        <v>351</v>
      </c>
      <c r="E21" s="481" t="s">
        <v>1097</v>
      </c>
    </row>
    <row r="22" spans="1:6" ht="21.95" customHeight="1">
      <c r="A22" s="834" t="s">
        <v>368</v>
      </c>
      <c r="B22" s="459" t="s">
        <v>740</v>
      </c>
      <c r="C22" s="832">
        <v>44900</v>
      </c>
      <c r="D22" s="833" t="s">
        <v>351</v>
      </c>
      <c r="E22" s="481" t="s">
        <v>1097</v>
      </c>
    </row>
    <row r="23" spans="1:6" ht="21.95" customHeight="1">
      <c r="A23" s="834" t="s">
        <v>369</v>
      </c>
      <c r="B23" s="459" t="s">
        <v>741</v>
      </c>
      <c r="C23" s="832">
        <v>42600</v>
      </c>
      <c r="D23" s="833" t="s">
        <v>351</v>
      </c>
      <c r="E23" s="481" t="s">
        <v>1097</v>
      </c>
    </row>
    <row r="24" spans="1:6" ht="21.95" customHeight="1">
      <c r="A24" s="834" t="s">
        <v>370</v>
      </c>
      <c r="B24" s="459" t="s">
        <v>742</v>
      </c>
      <c r="C24" s="832">
        <v>206500</v>
      </c>
      <c r="D24" s="833" t="s">
        <v>351</v>
      </c>
      <c r="E24" s="481" t="s">
        <v>1097</v>
      </c>
    </row>
    <row r="25" spans="1:6" ht="21.95" customHeight="1">
      <c r="A25" s="838" t="s">
        <v>371</v>
      </c>
      <c r="B25" s="1250" t="s">
        <v>743</v>
      </c>
      <c r="C25" s="839">
        <v>175000</v>
      </c>
      <c r="D25" s="636" t="s">
        <v>351</v>
      </c>
      <c r="E25" s="840" t="s">
        <v>1096</v>
      </c>
    </row>
    <row r="26" spans="1:6" ht="21.95" customHeight="1"/>
    <row r="27" spans="1:6" ht="23.1" customHeight="1"/>
    <row r="28" spans="1:6" ht="23.1" customHeight="1"/>
    <row r="29" spans="1:6" ht="23.1" customHeight="1"/>
    <row r="30" spans="1:6" ht="23.1" customHeight="1"/>
  </sheetData>
  <mergeCells count="1">
    <mergeCell ref="C2:D2"/>
  </mergeCells>
  <phoneticPr fontId="181" type="noConversion"/>
  <printOptions horizontalCentered="1"/>
  <pageMargins left="0.70866141732283472" right="0.70866141732283472" top="0.98425196850393704" bottom="0.59055118110236227" header="0.98425196850393704" footer="0.51181102362204722"/>
  <pageSetup paperSize="9" scale="97" orientation="portrait" horizontalDpi="300" verticalDpi="300" r:id="rId1"/>
  <headerFooter alignWithMargins="0"/>
  <colBreaks count="1" manualBreakCount="1">
    <brk id="5" max="1048575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6">
    <tabColor theme="9" tint="-0.249977111117893"/>
  </sheetPr>
  <dimension ref="A1:M103"/>
  <sheetViews>
    <sheetView view="pageBreakPreview" zoomScale="85" zoomScaleNormal="70" zoomScaleSheetLayoutView="85" workbookViewId="0">
      <selection activeCell="A2" sqref="A2:K2"/>
    </sheetView>
  </sheetViews>
  <sheetFormatPr defaultColWidth="8.88671875" defaultRowHeight="24.95" customHeight="1"/>
  <cols>
    <col min="1" max="1" width="15.77734375" style="844" customWidth="1"/>
    <col min="2" max="2" width="11.33203125" style="844" customWidth="1"/>
    <col min="3" max="3" width="10" style="844" customWidth="1"/>
    <col min="4" max="5" width="6.6640625" style="844" customWidth="1"/>
    <col min="6" max="9" width="5.77734375" style="844" customWidth="1"/>
    <col min="10" max="10" width="5.77734375" style="879" customWidth="1"/>
    <col min="11" max="11" width="5.77734375" style="845" customWidth="1"/>
    <col min="12" max="12" width="10.77734375" style="845" customWidth="1"/>
    <col min="13" max="13" width="15.33203125" style="845" bestFit="1" customWidth="1"/>
    <col min="14" max="16384" width="8.88671875" style="845"/>
  </cols>
  <sheetData>
    <row r="1" spans="1:13" ht="24.95" customHeight="1">
      <c r="A1" s="843" t="s">
        <v>1931</v>
      </c>
      <c r="J1" s="844"/>
    </row>
    <row r="2" spans="1:13" s="847" customFormat="1" ht="49.9" customHeight="1">
      <c r="A2" s="2107" t="s">
        <v>744</v>
      </c>
      <c r="B2" s="2107"/>
      <c r="C2" s="2107"/>
      <c r="D2" s="2107"/>
      <c r="E2" s="2107"/>
      <c r="F2" s="2107"/>
      <c r="G2" s="2107"/>
      <c r="H2" s="2107"/>
      <c r="I2" s="2107"/>
      <c r="J2" s="2107"/>
      <c r="K2" s="2107"/>
      <c r="L2" s="846"/>
    </row>
    <row r="3" spans="1:13" s="847" customFormat="1" ht="21" customHeight="1">
      <c r="A3" s="848"/>
      <c r="B3" s="848"/>
      <c r="C3" s="848"/>
      <c r="D3" s="848"/>
      <c r="E3" s="848"/>
      <c r="F3" s="848"/>
      <c r="G3" s="848"/>
      <c r="H3" s="848"/>
      <c r="I3" s="848"/>
      <c r="J3" s="848"/>
      <c r="K3" s="849"/>
      <c r="L3" s="846"/>
    </row>
    <row r="4" spans="1:13" s="847" customFormat="1" ht="21" customHeight="1">
      <c r="A4" s="850" t="s">
        <v>374</v>
      </c>
      <c r="B4" s="848"/>
      <c r="C4" s="848"/>
      <c r="D4" s="848"/>
      <c r="E4" s="848"/>
    </row>
    <row r="5" spans="1:13" s="847" customFormat="1" ht="21" customHeight="1">
      <c r="A5" s="851"/>
      <c r="B5" s="2108"/>
      <c r="C5" s="2108"/>
      <c r="D5" s="852"/>
      <c r="E5" s="853"/>
      <c r="F5" s="854"/>
      <c r="G5" s="855"/>
      <c r="H5" s="856"/>
      <c r="I5" s="857"/>
      <c r="J5" s="857"/>
      <c r="K5" s="858"/>
      <c r="L5" s="846"/>
    </row>
    <row r="6" spans="1:13" s="847" customFormat="1" ht="21" customHeight="1">
      <c r="A6" s="859" t="s">
        <v>745</v>
      </c>
      <c r="B6" s="860"/>
      <c r="C6" s="861"/>
      <c r="D6" s="862"/>
      <c r="E6" s="862"/>
      <c r="F6" s="863"/>
      <c r="G6" s="864"/>
      <c r="H6" s="865"/>
      <c r="I6" s="866"/>
      <c r="J6" s="866"/>
      <c r="K6" s="867"/>
      <c r="L6" s="846"/>
    </row>
    <row r="7" spans="1:13" s="847" customFormat="1" ht="21" customHeight="1">
      <c r="A7" s="868"/>
      <c r="B7" s="869"/>
      <c r="C7" s="870"/>
      <c r="D7" s="871"/>
      <c r="E7" s="871"/>
      <c r="F7" s="872"/>
      <c r="G7" s="873"/>
      <c r="H7" s="874"/>
      <c r="I7" s="875"/>
      <c r="J7" s="875"/>
      <c r="K7" s="876"/>
      <c r="L7" s="846"/>
    </row>
    <row r="8" spans="1:13" s="847" customFormat="1" ht="21" customHeight="1">
      <c r="A8" s="877"/>
      <c r="B8" s="878"/>
      <c r="C8" s="878"/>
      <c r="D8" s="878"/>
      <c r="E8" s="878"/>
      <c r="F8" s="879"/>
      <c r="G8" s="864"/>
      <c r="H8" s="865"/>
      <c r="I8" s="866"/>
      <c r="J8" s="866"/>
    </row>
    <row r="9" spans="1:13" s="847" customFormat="1" ht="21" customHeight="1">
      <c r="A9" s="850" t="s">
        <v>746</v>
      </c>
      <c r="B9" s="880"/>
      <c r="C9" s="880"/>
      <c r="D9" s="880"/>
      <c r="E9" s="880"/>
      <c r="F9" s="881"/>
      <c r="G9" s="882"/>
      <c r="H9" s="883"/>
      <c r="I9" s="866"/>
      <c r="J9" s="866"/>
      <c r="K9" s="884"/>
    </row>
    <row r="10" spans="1:13" s="847" customFormat="1" ht="21" customHeight="1" thickBot="1">
      <c r="A10" s="885" t="s">
        <v>375</v>
      </c>
      <c r="B10" s="886" t="s">
        <v>747</v>
      </c>
      <c r="C10" s="2109" t="s">
        <v>748</v>
      </c>
      <c r="D10" s="2110"/>
      <c r="E10" s="2110"/>
      <c r="F10" s="2110"/>
      <c r="G10" s="2111"/>
      <c r="H10" s="2112" t="s">
        <v>749</v>
      </c>
      <c r="I10" s="2112"/>
      <c r="J10" s="2113" t="s">
        <v>750</v>
      </c>
      <c r="K10" s="2114"/>
    </row>
    <row r="11" spans="1:13" s="847" customFormat="1" ht="30" customHeight="1" thickTop="1">
      <c r="A11" s="2137" t="s">
        <v>751</v>
      </c>
      <c r="B11" s="887" t="s">
        <v>752</v>
      </c>
      <c r="C11" s="2140" t="s">
        <v>753</v>
      </c>
      <c r="D11" s="2141"/>
      <c r="E11" s="2141"/>
      <c r="F11" s="2141"/>
      <c r="G11" s="2142"/>
      <c r="H11" s="2143">
        <v>1</v>
      </c>
      <c r="I11" s="2143"/>
      <c r="J11" s="2144">
        <v>1</v>
      </c>
      <c r="K11" s="2145"/>
    </row>
    <row r="12" spans="1:13" s="847" customFormat="1" ht="15" customHeight="1">
      <c r="A12" s="2138"/>
      <c r="B12" s="2146" t="s">
        <v>754</v>
      </c>
      <c r="C12" s="888" t="s">
        <v>755</v>
      </c>
      <c r="D12" s="2115" t="s">
        <v>756</v>
      </c>
      <c r="E12" s="2115"/>
      <c r="F12" s="2115" t="s">
        <v>757</v>
      </c>
      <c r="G12" s="2115"/>
      <c r="H12" s="2116">
        <f>'산근8 공사비_수정'!E10/10^8</f>
        <v>3100</v>
      </c>
      <c r="I12" s="2117"/>
      <c r="J12" s="2120">
        <f>IF(H12&lt;=3,0.43,IF(H12&lt;=50,(H12/50)^0.3,(H12/50)^0.35))</f>
        <v>4.2397191751131693</v>
      </c>
      <c r="K12" s="2121"/>
    </row>
    <row r="13" spans="1:13" s="847" customFormat="1" ht="30" customHeight="1">
      <c r="A13" s="2138"/>
      <c r="B13" s="2147"/>
      <c r="C13" s="888">
        <v>0.43</v>
      </c>
      <c r="D13" s="2115" t="s">
        <v>758</v>
      </c>
      <c r="E13" s="2115"/>
      <c r="F13" s="2115" t="s">
        <v>759</v>
      </c>
      <c r="G13" s="2115"/>
      <c r="H13" s="2118"/>
      <c r="I13" s="2119"/>
      <c r="J13" s="2122"/>
      <c r="K13" s="2123"/>
    </row>
    <row r="14" spans="1:13" s="847" customFormat="1" ht="39.950000000000003" customHeight="1">
      <c r="A14" s="2139"/>
      <c r="B14" s="889" t="s">
        <v>760</v>
      </c>
      <c r="C14" s="2124" t="s">
        <v>761</v>
      </c>
      <c r="D14" s="2125"/>
      <c r="E14" s="2125"/>
      <c r="F14" s="2125"/>
      <c r="G14" s="2126"/>
      <c r="H14" s="2127" t="s">
        <v>762</v>
      </c>
      <c r="I14" s="2127"/>
      <c r="J14" s="2128">
        <v>2</v>
      </c>
      <c r="K14" s="2129"/>
      <c r="M14" s="890"/>
    </row>
    <row r="15" spans="1:13" s="847" customFormat="1" ht="15" customHeight="1">
      <c r="A15" s="2130" t="s">
        <v>763</v>
      </c>
      <c r="B15" s="2132" t="s">
        <v>764</v>
      </c>
      <c r="C15" s="891" t="s">
        <v>765</v>
      </c>
      <c r="D15" s="2134" t="s">
        <v>766</v>
      </c>
      <c r="E15" s="2135"/>
      <c r="F15" s="2134" t="s">
        <v>767</v>
      </c>
      <c r="G15" s="2135"/>
      <c r="H15" s="2136" t="s">
        <v>768</v>
      </c>
      <c r="I15" s="2136"/>
      <c r="J15" s="2120" t="e">
        <f>IF(H16=1,1.1,0.8)</f>
        <v>#REF!</v>
      </c>
      <c r="K15" s="2121"/>
      <c r="M15" s="892"/>
    </row>
    <row r="16" spans="1:13" s="847" customFormat="1" ht="30" customHeight="1">
      <c r="A16" s="2131"/>
      <c r="B16" s="2133"/>
      <c r="C16" s="891" t="s">
        <v>769</v>
      </c>
      <c r="D16" s="2134" t="s">
        <v>770</v>
      </c>
      <c r="E16" s="2135"/>
      <c r="F16" s="2134" t="s">
        <v>771</v>
      </c>
      <c r="G16" s="2135"/>
      <c r="H16" s="2136" t="e">
        <f>IF(#REF!&gt;=1,1,0)</f>
        <v>#REF!</v>
      </c>
      <c r="I16" s="2136"/>
      <c r="J16" s="2122"/>
      <c r="K16" s="2123"/>
    </row>
    <row r="17" spans="1:12" s="847" customFormat="1" ht="39.950000000000003" hidden="1" customHeight="1">
      <c r="A17" s="893" t="s">
        <v>772</v>
      </c>
      <c r="B17" s="2150" t="s">
        <v>773</v>
      </c>
      <c r="C17" s="2151"/>
      <c r="D17" s="2151"/>
      <c r="E17" s="2151"/>
      <c r="F17" s="2151"/>
      <c r="G17" s="2151"/>
      <c r="H17" s="2151"/>
      <c r="I17" s="2151"/>
      <c r="J17" s="2152"/>
      <c r="K17" s="2153"/>
    </row>
    <row r="18" spans="1:12" s="847" customFormat="1" ht="21" customHeight="1">
      <c r="A18" s="894"/>
      <c r="B18" s="882"/>
      <c r="C18" s="895"/>
      <c r="D18" s="896"/>
      <c r="E18" s="897"/>
      <c r="F18" s="896"/>
      <c r="G18" s="898"/>
      <c r="H18" s="882"/>
      <c r="I18" s="882"/>
      <c r="J18" s="882"/>
      <c r="K18" s="898"/>
      <c r="L18" s="879"/>
    </row>
    <row r="19" spans="1:12" s="847" customFormat="1" ht="21" customHeight="1">
      <c r="A19" s="879"/>
      <c r="B19" s="864"/>
      <c r="C19" s="865"/>
      <c r="D19" s="866"/>
      <c r="E19" s="899"/>
      <c r="F19" s="866"/>
      <c r="G19" s="844"/>
      <c r="H19" s="864"/>
      <c r="I19" s="864"/>
      <c r="J19" s="864"/>
      <c r="K19" s="844"/>
      <c r="L19" s="879"/>
    </row>
    <row r="20" spans="1:12" s="847" customFormat="1" ht="21" customHeight="1">
      <c r="A20" s="850" t="s">
        <v>774</v>
      </c>
      <c r="B20" s="864"/>
      <c r="C20" s="865"/>
      <c r="D20" s="866"/>
      <c r="E20" s="899"/>
      <c r="F20" s="866"/>
      <c r="G20" s="844"/>
      <c r="H20" s="864"/>
      <c r="I20" s="864"/>
      <c r="J20" s="864"/>
      <c r="K20" s="844"/>
      <c r="L20" s="879"/>
    </row>
    <row r="21" spans="1:12" s="847" customFormat="1" ht="21" customHeight="1">
      <c r="A21" s="850" t="s">
        <v>376</v>
      </c>
      <c r="B21" s="864"/>
      <c r="C21" s="865"/>
      <c r="D21" s="866"/>
      <c r="E21" s="899"/>
      <c r="F21" s="866"/>
      <c r="G21" s="844"/>
      <c r="H21" s="864"/>
      <c r="I21" s="864"/>
      <c r="J21" s="864"/>
      <c r="K21" s="844"/>
      <c r="L21" s="879"/>
    </row>
    <row r="22" spans="1:12" s="847" customFormat="1" ht="21" customHeight="1">
      <c r="A22" s="2154" t="s">
        <v>377</v>
      </c>
      <c r="B22" s="2155"/>
      <c r="C22" s="2155"/>
      <c r="D22" s="2158" t="s">
        <v>237</v>
      </c>
      <c r="E22" s="2160" t="s">
        <v>378</v>
      </c>
      <c r="F22" s="2161"/>
      <c r="G22" s="2161"/>
      <c r="H22" s="2161"/>
      <c r="I22" s="2161"/>
      <c r="J22" s="900"/>
      <c r="K22" s="2162" t="s">
        <v>238</v>
      </c>
      <c r="L22" s="879"/>
    </row>
    <row r="23" spans="1:12" s="847" customFormat="1" ht="21" customHeight="1" thickBot="1">
      <c r="A23" s="2156"/>
      <c r="B23" s="2157"/>
      <c r="C23" s="2157"/>
      <c r="D23" s="2159"/>
      <c r="E23" s="901" t="s">
        <v>48</v>
      </c>
      <c r="F23" s="901" t="s">
        <v>379</v>
      </c>
      <c r="G23" s="901" t="s">
        <v>380</v>
      </c>
      <c r="H23" s="901" t="s">
        <v>381</v>
      </c>
      <c r="I23" s="901" t="s">
        <v>382</v>
      </c>
      <c r="J23" s="902"/>
      <c r="K23" s="2163"/>
      <c r="L23" s="879"/>
    </row>
    <row r="24" spans="1:12" s="847" customFormat="1" ht="21" customHeight="1" thickTop="1">
      <c r="A24" s="2164" t="s">
        <v>383</v>
      </c>
      <c r="B24" s="2165"/>
      <c r="C24" s="2166"/>
      <c r="D24" s="903" t="s">
        <v>264</v>
      </c>
      <c r="E24" s="904" t="e">
        <f t="shared" ref="E24:I24" si="0">E62</f>
        <v>#REF!</v>
      </c>
      <c r="F24" s="904">
        <f t="shared" si="0"/>
        <v>8.1999999999999993</v>
      </c>
      <c r="G24" s="904">
        <f t="shared" si="0"/>
        <v>8.3000000000000007</v>
      </c>
      <c r="H24" s="904">
        <f t="shared" si="0"/>
        <v>5.6</v>
      </c>
      <c r="I24" s="904">
        <f t="shared" si="0"/>
        <v>2.4</v>
      </c>
      <c r="J24" s="905"/>
      <c r="K24" s="906"/>
      <c r="L24" s="879"/>
    </row>
    <row r="25" spans="1:12" s="847" customFormat="1" ht="21" customHeight="1">
      <c r="A25" s="907"/>
      <c r="B25" s="907"/>
      <c r="C25" s="907"/>
      <c r="D25" s="908"/>
      <c r="E25" s="909"/>
      <c r="F25" s="909"/>
      <c r="G25" s="909"/>
      <c r="H25" s="909"/>
      <c r="I25" s="909"/>
      <c r="J25" s="909"/>
      <c r="K25" s="910"/>
      <c r="L25" s="879"/>
    </row>
    <row r="26" spans="1:12" s="847" customFormat="1" ht="21" customHeight="1">
      <c r="A26" s="911"/>
      <c r="B26" s="911"/>
      <c r="C26" s="911"/>
      <c r="D26" s="908"/>
      <c r="E26" s="909"/>
      <c r="F26" s="909"/>
      <c r="G26" s="909"/>
      <c r="H26" s="909"/>
      <c r="I26" s="909"/>
      <c r="J26" s="909"/>
      <c r="K26" s="910"/>
      <c r="L26" s="879"/>
    </row>
    <row r="27" spans="1:12" s="847" customFormat="1" ht="21" customHeight="1">
      <c r="A27" s="911"/>
      <c r="B27" s="911"/>
      <c r="C27" s="911"/>
      <c r="D27" s="908"/>
      <c r="E27" s="909"/>
      <c r="F27" s="909"/>
      <c r="G27" s="909"/>
      <c r="H27" s="909"/>
      <c r="I27" s="909"/>
      <c r="J27" s="909"/>
      <c r="K27" s="910"/>
      <c r="L27" s="879"/>
    </row>
    <row r="28" spans="1:12" s="847" customFormat="1" ht="21" customHeight="1">
      <c r="A28" s="911"/>
      <c r="B28" s="911"/>
      <c r="C28" s="911"/>
      <c r="D28" s="908"/>
      <c r="E28" s="909"/>
      <c r="F28" s="909"/>
      <c r="G28" s="909"/>
      <c r="H28" s="909"/>
      <c r="I28" s="909"/>
      <c r="J28" s="909"/>
      <c r="K28" s="910"/>
      <c r="L28" s="879"/>
    </row>
    <row r="29" spans="1:12" s="847" customFormat="1" ht="21" customHeight="1">
      <c r="A29" s="911"/>
      <c r="B29" s="911"/>
      <c r="C29" s="911"/>
      <c r="D29" s="908"/>
      <c r="E29" s="909"/>
      <c r="F29" s="909"/>
      <c r="G29" s="909"/>
      <c r="H29" s="909"/>
      <c r="I29" s="909"/>
      <c r="J29" s="909"/>
      <c r="K29" s="910"/>
      <c r="L29" s="879"/>
    </row>
    <row r="30" spans="1:12" s="918" customFormat="1" ht="27.95" customHeight="1">
      <c r="A30" s="912" t="s">
        <v>775</v>
      </c>
      <c r="B30" s="913"/>
      <c r="C30" s="913"/>
      <c r="D30" s="913"/>
      <c r="E30" s="913"/>
      <c r="F30" s="914"/>
      <c r="G30" s="915"/>
      <c r="H30" s="916"/>
      <c r="I30" s="916"/>
      <c r="J30" s="916"/>
      <c r="K30" s="916"/>
      <c r="L30" s="917"/>
    </row>
    <row r="31" spans="1:12" s="918" customFormat="1" ht="23.1" customHeight="1">
      <c r="A31" s="2167" t="s">
        <v>377</v>
      </c>
      <c r="B31" s="2168"/>
      <c r="C31" s="2168"/>
      <c r="D31" s="2171" t="s">
        <v>237</v>
      </c>
      <c r="E31" s="2173" t="s">
        <v>378</v>
      </c>
      <c r="F31" s="2174"/>
      <c r="G31" s="2174"/>
      <c r="H31" s="2174"/>
      <c r="I31" s="2174"/>
      <c r="J31" s="2175" t="s">
        <v>776</v>
      </c>
      <c r="K31" s="919" t="s">
        <v>451</v>
      </c>
    </row>
    <row r="32" spans="1:12" s="918" customFormat="1" ht="23.1" customHeight="1" thickBot="1">
      <c r="A32" s="2169"/>
      <c r="B32" s="2170"/>
      <c r="C32" s="2170"/>
      <c r="D32" s="2172"/>
      <c r="E32" s="920" t="str">
        <f t="shared" ref="E32:I32" si="1">E23</f>
        <v>기술사</v>
      </c>
      <c r="F32" s="920" t="str">
        <f t="shared" si="1"/>
        <v>특급기술인</v>
      </c>
      <c r="G32" s="920" t="str">
        <f t="shared" si="1"/>
        <v>고급기술인</v>
      </c>
      <c r="H32" s="920" t="str">
        <f t="shared" si="1"/>
        <v>중급기술인</v>
      </c>
      <c r="I32" s="920" t="str">
        <f t="shared" si="1"/>
        <v>초급기술인</v>
      </c>
      <c r="J32" s="2176"/>
      <c r="K32" s="921" t="s">
        <v>777</v>
      </c>
    </row>
    <row r="33" spans="1:11" s="918" customFormat="1" ht="30" customHeight="1" thickTop="1">
      <c r="A33" s="2148" t="s">
        <v>383</v>
      </c>
      <c r="B33" s="2149"/>
      <c r="C33" s="922"/>
      <c r="D33" s="923"/>
      <c r="E33" s="924">
        <f>SUM(E34,E37,E43,E54,E55,E56)</f>
        <v>2.4</v>
      </c>
      <c r="F33" s="924">
        <f t="shared" ref="F33:I33" si="2">SUM(F34,F37,F43,F54,F55,F56)</f>
        <v>4.0999999999999996</v>
      </c>
      <c r="G33" s="924">
        <f t="shared" si="2"/>
        <v>4.1500000000000004</v>
      </c>
      <c r="H33" s="924">
        <f t="shared" si="2"/>
        <v>2.8</v>
      </c>
      <c r="I33" s="924">
        <f t="shared" si="2"/>
        <v>1.2</v>
      </c>
      <c r="J33" s="925"/>
      <c r="K33" s="926"/>
    </row>
    <row r="34" spans="1:11" s="918" customFormat="1" ht="30" customHeight="1">
      <c r="A34" s="927" t="s">
        <v>778</v>
      </c>
      <c r="B34" s="928"/>
      <c r="C34" s="928"/>
      <c r="D34" s="929"/>
      <c r="E34" s="930">
        <f>SUM(E35:E36)</f>
        <v>0</v>
      </c>
      <c r="F34" s="930">
        <f t="shared" ref="F34:I34" si="3">SUM(F35:F36)</f>
        <v>0</v>
      </c>
      <c r="G34" s="930">
        <f t="shared" si="3"/>
        <v>0.05</v>
      </c>
      <c r="H34" s="930">
        <f t="shared" si="3"/>
        <v>0.15000000000000002</v>
      </c>
      <c r="I34" s="930">
        <f t="shared" si="3"/>
        <v>0.1</v>
      </c>
      <c r="J34" s="931"/>
      <c r="K34" s="932"/>
    </row>
    <row r="35" spans="1:11" s="918" customFormat="1" ht="30" customHeight="1">
      <c r="A35" s="933" t="s">
        <v>779</v>
      </c>
      <c r="B35" s="934"/>
      <c r="C35" s="934"/>
      <c r="D35" s="935" t="s">
        <v>239</v>
      </c>
      <c r="E35" s="936"/>
      <c r="F35" s="936"/>
      <c r="G35" s="936"/>
      <c r="H35" s="936">
        <v>0.05</v>
      </c>
      <c r="I35" s="936">
        <v>0.1</v>
      </c>
      <c r="J35" s="937" t="s">
        <v>780</v>
      </c>
      <c r="K35" s="938"/>
    </row>
    <row r="36" spans="1:11" s="918" customFormat="1" ht="30" customHeight="1">
      <c r="A36" s="933" t="s">
        <v>781</v>
      </c>
      <c r="B36" s="934"/>
      <c r="C36" s="934"/>
      <c r="D36" s="935" t="s">
        <v>239</v>
      </c>
      <c r="E36" s="936"/>
      <c r="F36" s="936"/>
      <c r="G36" s="936">
        <v>0.05</v>
      </c>
      <c r="H36" s="936">
        <v>0.1</v>
      </c>
      <c r="I36" s="936"/>
      <c r="J36" s="937" t="s">
        <v>780</v>
      </c>
      <c r="K36" s="938"/>
    </row>
    <row r="37" spans="1:11" s="918" customFormat="1" ht="30" customHeight="1">
      <c r="A37" s="927" t="s">
        <v>782</v>
      </c>
      <c r="B37" s="934"/>
      <c r="C37" s="934"/>
      <c r="D37" s="935"/>
      <c r="E37" s="930">
        <f>SUM(E38:E42)</f>
        <v>0.5</v>
      </c>
      <c r="F37" s="930">
        <f t="shared" ref="F37:H37" si="4">SUM(F38:F42)</f>
        <v>0.8</v>
      </c>
      <c r="G37" s="930">
        <f t="shared" si="4"/>
        <v>0.8</v>
      </c>
      <c r="H37" s="930">
        <f t="shared" si="4"/>
        <v>0.35</v>
      </c>
      <c r="I37" s="930">
        <f>SUM(I38:I42)</f>
        <v>0.65</v>
      </c>
      <c r="J37" s="939"/>
      <c r="K37" s="938"/>
    </row>
    <row r="38" spans="1:11" s="918" customFormat="1" ht="30" customHeight="1">
      <c r="A38" s="933" t="s">
        <v>783</v>
      </c>
      <c r="B38" s="934"/>
      <c r="C38" s="934"/>
      <c r="D38" s="935" t="s">
        <v>239</v>
      </c>
      <c r="E38" s="936">
        <v>0.1</v>
      </c>
      <c r="F38" s="936"/>
      <c r="G38" s="936"/>
      <c r="H38" s="936"/>
      <c r="I38" s="936"/>
      <c r="J38" s="937" t="s">
        <v>780</v>
      </c>
      <c r="K38" s="938"/>
    </row>
    <row r="39" spans="1:11" s="918" customFormat="1" ht="30" customHeight="1">
      <c r="A39" s="933" t="s">
        <v>784</v>
      </c>
      <c r="B39" s="934"/>
      <c r="C39" s="934"/>
      <c r="D39" s="935" t="s">
        <v>239</v>
      </c>
      <c r="E39" s="936"/>
      <c r="F39" s="936"/>
      <c r="G39" s="936"/>
      <c r="H39" s="936">
        <v>0.05</v>
      </c>
      <c r="I39" s="936">
        <v>0.1</v>
      </c>
      <c r="J39" s="937" t="s">
        <v>780</v>
      </c>
      <c r="K39" s="938"/>
    </row>
    <row r="40" spans="1:11" s="918" customFormat="1" ht="30" customHeight="1">
      <c r="A40" s="933" t="s">
        <v>785</v>
      </c>
      <c r="B40" s="940"/>
      <c r="C40" s="934"/>
      <c r="D40" s="935" t="s">
        <v>239</v>
      </c>
      <c r="E40" s="936"/>
      <c r="F40" s="936"/>
      <c r="G40" s="936"/>
      <c r="H40" s="936"/>
      <c r="I40" s="936">
        <v>0.05</v>
      </c>
      <c r="J40" s="937" t="s">
        <v>780</v>
      </c>
      <c r="K40" s="938"/>
    </row>
    <row r="41" spans="1:11" s="918" customFormat="1" ht="30" customHeight="1">
      <c r="A41" s="933" t="s">
        <v>786</v>
      </c>
      <c r="B41" s="934"/>
      <c r="C41" s="934"/>
      <c r="D41" s="935" t="s">
        <v>787</v>
      </c>
      <c r="E41" s="936">
        <v>0.1</v>
      </c>
      <c r="F41" s="936">
        <v>0.3</v>
      </c>
      <c r="G41" s="936">
        <v>0.3</v>
      </c>
      <c r="H41" s="936">
        <v>0.3</v>
      </c>
      <c r="I41" s="936">
        <v>0.5</v>
      </c>
      <c r="J41" s="937" t="s">
        <v>788</v>
      </c>
      <c r="K41" s="938" t="s">
        <v>789</v>
      </c>
    </row>
    <row r="42" spans="1:11" s="918" customFormat="1" ht="30" customHeight="1">
      <c r="A42" s="933" t="s">
        <v>790</v>
      </c>
      <c r="B42" s="940"/>
      <c r="C42" s="940"/>
      <c r="D42" s="941" t="s">
        <v>791</v>
      </c>
      <c r="E42" s="942">
        <v>0.3</v>
      </c>
      <c r="F42" s="942">
        <v>0.5</v>
      </c>
      <c r="G42" s="942">
        <v>0.5</v>
      </c>
      <c r="H42" s="942"/>
      <c r="I42" s="942"/>
      <c r="J42" s="943" t="s">
        <v>792</v>
      </c>
      <c r="K42" s="944"/>
    </row>
    <row r="43" spans="1:11" s="918" customFormat="1" ht="30" customHeight="1">
      <c r="A43" s="945" t="s">
        <v>793</v>
      </c>
      <c r="B43" s="922"/>
      <c r="C43" s="922"/>
      <c r="D43" s="923"/>
      <c r="E43" s="924">
        <f>SUM(E44,E45,E46,E49,E50,E51)</f>
        <v>1.6</v>
      </c>
      <c r="F43" s="924">
        <f t="shared" ref="F43:I43" si="5">SUM(F44,F45,F46,F49,F50,F51)</f>
        <v>2.5</v>
      </c>
      <c r="G43" s="924">
        <f t="shared" si="5"/>
        <v>2.4</v>
      </c>
      <c r="H43" s="924">
        <f t="shared" si="5"/>
        <v>2</v>
      </c>
      <c r="I43" s="924">
        <f t="shared" si="5"/>
        <v>0.15000000000000002</v>
      </c>
      <c r="J43" s="946"/>
      <c r="K43" s="926"/>
    </row>
    <row r="44" spans="1:11" s="918" customFormat="1" ht="30" customHeight="1">
      <c r="A44" s="947" t="s">
        <v>794</v>
      </c>
      <c r="B44" s="940"/>
      <c r="C44" s="940"/>
      <c r="D44" s="941" t="s">
        <v>239</v>
      </c>
      <c r="E44" s="942"/>
      <c r="F44" s="942"/>
      <c r="G44" s="942"/>
      <c r="H44" s="942"/>
      <c r="I44" s="942">
        <v>0.05</v>
      </c>
      <c r="J44" s="937" t="s">
        <v>780</v>
      </c>
      <c r="K44" s="944"/>
    </row>
    <row r="45" spans="1:11" s="918" customFormat="1" ht="30" customHeight="1">
      <c r="A45" s="933" t="s">
        <v>795</v>
      </c>
      <c r="B45" s="934"/>
      <c r="C45" s="934"/>
      <c r="D45" s="935" t="s">
        <v>796</v>
      </c>
      <c r="E45" s="936">
        <v>0.3</v>
      </c>
      <c r="F45" s="936"/>
      <c r="G45" s="936"/>
      <c r="H45" s="936"/>
      <c r="I45" s="936"/>
      <c r="J45" s="943" t="s">
        <v>792</v>
      </c>
      <c r="K45" s="938"/>
    </row>
    <row r="46" spans="1:11" s="918" customFormat="1" ht="30" customHeight="1">
      <c r="A46" s="933" t="s">
        <v>797</v>
      </c>
      <c r="B46" s="934"/>
      <c r="C46" s="934"/>
      <c r="D46" s="935"/>
      <c r="E46" s="936">
        <f>SUM(E47:E48)</f>
        <v>0.5</v>
      </c>
      <c r="F46" s="936">
        <f t="shared" ref="F46:I46" si="6">SUM(F47:F48)</f>
        <v>1.5</v>
      </c>
      <c r="G46" s="936">
        <f t="shared" si="6"/>
        <v>1.5</v>
      </c>
      <c r="H46" s="936">
        <f t="shared" si="6"/>
        <v>1.5</v>
      </c>
      <c r="I46" s="936">
        <f t="shared" si="6"/>
        <v>0.1</v>
      </c>
      <c r="J46" s="937"/>
      <c r="K46" s="938"/>
    </row>
    <row r="47" spans="1:11" s="918" customFormat="1" ht="30" customHeight="1">
      <c r="A47" s="933" t="s">
        <v>798</v>
      </c>
      <c r="B47" s="934"/>
      <c r="C47" s="934"/>
      <c r="D47" s="935" t="s">
        <v>787</v>
      </c>
      <c r="E47" s="936">
        <v>0.5</v>
      </c>
      <c r="F47" s="936">
        <v>1.5</v>
      </c>
      <c r="G47" s="936">
        <v>1.5</v>
      </c>
      <c r="H47" s="936">
        <v>1.5</v>
      </c>
      <c r="I47" s="936"/>
      <c r="J47" s="937" t="s">
        <v>788</v>
      </c>
      <c r="K47" s="938" t="s">
        <v>789</v>
      </c>
    </row>
    <row r="48" spans="1:11" s="918" customFormat="1" ht="30" customHeight="1">
      <c r="A48" s="933" t="s">
        <v>799</v>
      </c>
      <c r="B48" s="934"/>
      <c r="C48" s="934"/>
      <c r="D48" s="935" t="s">
        <v>787</v>
      </c>
      <c r="E48" s="936"/>
      <c r="F48" s="936"/>
      <c r="G48" s="936"/>
      <c r="H48" s="936"/>
      <c r="I48" s="936">
        <v>0.1</v>
      </c>
      <c r="J48" s="937" t="s">
        <v>788</v>
      </c>
      <c r="K48" s="938"/>
    </row>
    <row r="49" spans="1:11" s="918" customFormat="1" ht="30" customHeight="1">
      <c r="A49" s="2179" t="s">
        <v>800</v>
      </c>
      <c r="B49" s="2180"/>
      <c r="C49" s="2181"/>
      <c r="D49" s="935" t="s">
        <v>787</v>
      </c>
      <c r="E49" s="936"/>
      <c r="F49" s="936"/>
      <c r="G49" s="936">
        <v>0.2</v>
      </c>
      <c r="H49" s="936"/>
      <c r="I49" s="936"/>
      <c r="J49" s="937" t="s">
        <v>788</v>
      </c>
      <c r="K49" s="938"/>
    </row>
    <row r="50" spans="1:11" s="918" customFormat="1" ht="30" customHeight="1">
      <c r="A50" s="933" t="s">
        <v>801</v>
      </c>
      <c r="B50" s="934"/>
      <c r="C50" s="934"/>
      <c r="D50" s="935" t="s">
        <v>787</v>
      </c>
      <c r="E50" s="936"/>
      <c r="F50" s="936"/>
      <c r="G50" s="936">
        <v>0.2</v>
      </c>
      <c r="H50" s="936"/>
      <c r="I50" s="936"/>
      <c r="J50" s="937" t="s">
        <v>788</v>
      </c>
      <c r="K50" s="938"/>
    </row>
    <row r="51" spans="1:11" s="918" customFormat="1" ht="30" customHeight="1">
      <c r="A51" s="2179" t="s">
        <v>802</v>
      </c>
      <c r="B51" s="2180"/>
      <c r="C51" s="2181"/>
      <c r="D51" s="935"/>
      <c r="E51" s="936">
        <f>SUM(E52:E53)</f>
        <v>0.8</v>
      </c>
      <c r="F51" s="936">
        <f t="shared" ref="F51:I51" si="7">SUM(F52:F53)</f>
        <v>1</v>
      </c>
      <c r="G51" s="936">
        <f t="shared" si="7"/>
        <v>0.5</v>
      </c>
      <c r="H51" s="936">
        <f t="shared" si="7"/>
        <v>0.5</v>
      </c>
      <c r="I51" s="936">
        <f t="shared" si="7"/>
        <v>0</v>
      </c>
      <c r="J51" s="937"/>
      <c r="K51" s="938"/>
    </row>
    <row r="52" spans="1:11" s="918" customFormat="1" ht="30" customHeight="1">
      <c r="A52" s="933" t="s">
        <v>803</v>
      </c>
      <c r="B52" s="948"/>
      <c r="C52" s="948"/>
      <c r="D52" s="941" t="s">
        <v>791</v>
      </c>
      <c r="E52" s="942">
        <v>0.3</v>
      </c>
      <c r="F52" s="942"/>
      <c r="G52" s="942"/>
      <c r="H52" s="942"/>
      <c r="I52" s="942"/>
      <c r="J52" s="943" t="s">
        <v>792</v>
      </c>
      <c r="K52" s="944"/>
    </row>
    <row r="53" spans="1:11" s="918" customFormat="1" ht="30" customHeight="1">
      <c r="A53" s="933" t="s">
        <v>804</v>
      </c>
      <c r="B53" s="948"/>
      <c r="C53" s="948"/>
      <c r="D53" s="935" t="s">
        <v>787</v>
      </c>
      <c r="E53" s="942">
        <v>0.5</v>
      </c>
      <c r="F53" s="942">
        <v>1</v>
      </c>
      <c r="G53" s="942">
        <v>0.5</v>
      </c>
      <c r="H53" s="942">
        <v>0.5</v>
      </c>
      <c r="I53" s="942"/>
      <c r="J53" s="937" t="s">
        <v>788</v>
      </c>
      <c r="K53" s="938" t="s">
        <v>789</v>
      </c>
    </row>
    <row r="54" spans="1:11" s="918" customFormat="1" ht="30" customHeight="1">
      <c r="A54" s="945" t="s">
        <v>805</v>
      </c>
      <c r="B54" s="940"/>
      <c r="C54" s="940"/>
      <c r="D54" s="935" t="s">
        <v>787</v>
      </c>
      <c r="E54" s="924"/>
      <c r="F54" s="924"/>
      <c r="G54" s="924">
        <v>0.2</v>
      </c>
      <c r="H54" s="924"/>
      <c r="I54" s="924"/>
      <c r="J54" s="937" t="s">
        <v>788</v>
      </c>
      <c r="K54" s="944"/>
    </row>
    <row r="55" spans="1:11" s="918" customFormat="1" ht="30" customHeight="1">
      <c r="A55" s="945" t="s">
        <v>806</v>
      </c>
      <c r="B55" s="934"/>
      <c r="C55" s="934"/>
      <c r="D55" s="935" t="s">
        <v>787</v>
      </c>
      <c r="E55" s="930"/>
      <c r="F55" s="930"/>
      <c r="G55" s="930">
        <v>0.2</v>
      </c>
      <c r="H55" s="930"/>
      <c r="I55" s="930"/>
      <c r="J55" s="937" t="s">
        <v>788</v>
      </c>
      <c r="K55" s="938"/>
    </row>
    <row r="56" spans="1:11" s="918" customFormat="1" ht="30" customHeight="1">
      <c r="A56" s="949" t="s">
        <v>807</v>
      </c>
      <c r="B56" s="950"/>
      <c r="C56" s="950"/>
      <c r="D56" s="951" t="s">
        <v>787</v>
      </c>
      <c r="E56" s="952">
        <v>0.3</v>
      </c>
      <c r="F56" s="952">
        <v>0.8</v>
      </c>
      <c r="G56" s="952">
        <v>0.5</v>
      </c>
      <c r="H56" s="952">
        <v>0.3</v>
      </c>
      <c r="I56" s="952">
        <v>0.3</v>
      </c>
      <c r="J56" s="953" t="s">
        <v>788</v>
      </c>
      <c r="K56" s="954"/>
    </row>
    <row r="57" spans="1:11" ht="30" customHeight="1">
      <c r="A57" s="955" t="s">
        <v>808</v>
      </c>
    </row>
    <row r="58" spans="1:11" ht="30" customHeight="1">
      <c r="A58" s="955"/>
    </row>
    <row r="59" spans="1:11" ht="30" customHeight="1">
      <c r="A59" s="912" t="s">
        <v>809</v>
      </c>
      <c r="B59" s="913"/>
      <c r="C59" s="913"/>
      <c r="D59" s="913"/>
      <c r="E59" s="913"/>
      <c r="F59" s="914"/>
      <c r="G59" s="915"/>
      <c r="H59" s="916"/>
      <c r="I59" s="916"/>
      <c r="J59" s="915"/>
      <c r="K59" s="916"/>
    </row>
    <row r="60" spans="1:11" ht="30" customHeight="1">
      <c r="A60" s="2167" t="s">
        <v>377</v>
      </c>
      <c r="B60" s="2168"/>
      <c r="C60" s="2168"/>
      <c r="D60" s="2171" t="s">
        <v>237</v>
      </c>
      <c r="E60" s="2173" t="s">
        <v>378</v>
      </c>
      <c r="F60" s="2174"/>
      <c r="G60" s="2174"/>
      <c r="H60" s="2174"/>
      <c r="I60" s="2182"/>
      <c r="J60" s="2183" t="s">
        <v>810</v>
      </c>
      <c r="K60" s="2184"/>
    </row>
    <row r="61" spans="1:11" ht="30" customHeight="1" thickBot="1">
      <c r="A61" s="2169"/>
      <c r="B61" s="2170"/>
      <c r="C61" s="2170"/>
      <c r="D61" s="2172"/>
      <c r="E61" s="920" t="str">
        <f t="shared" ref="E61:I61" si="8">E23</f>
        <v>기술사</v>
      </c>
      <c r="F61" s="920" t="str">
        <f t="shared" si="8"/>
        <v>특급기술인</v>
      </c>
      <c r="G61" s="920" t="str">
        <f t="shared" si="8"/>
        <v>고급기술인</v>
      </c>
      <c r="H61" s="920" t="str">
        <f t="shared" si="8"/>
        <v>중급기술인</v>
      </c>
      <c r="I61" s="920" t="str">
        <f t="shared" si="8"/>
        <v>초급기술인</v>
      </c>
      <c r="J61" s="2185"/>
      <c r="K61" s="2186"/>
    </row>
    <row r="62" spans="1:11" ht="30" customHeight="1" thickTop="1">
      <c r="A62" s="2187" t="s">
        <v>383</v>
      </c>
      <c r="B62" s="2188"/>
      <c r="C62" s="922"/>
      <c r="D62" s="923"/>
      <c r="E62" s="924" t="e">
        <f>SUM(E63,E66,E72,E83,E84,E85)</f>
        <v>#REF!</v>
      </c>
      <c r="F62" s="924">
        <f t="shared" ref="F62:I62" si="9">SUM(F63,F66,F72,F83,F84,F85)</f>
        <v>8.1999999999999993</v>
      </c>
      <c r="G62" s="924">
        <f t="shared" si="9"/>
        <v>8.3000000000000007</v>
      </c>
      <c r="H62" s="924">
        <f t="shared" si="9"/>
        <v>5.6</v>
      </c>
      <c r="I62" s="924">
        <f t="shared" si="9"/>
        <v>2.4</v>
      </c>
      <c r="J62" s="2189"/>
      <c r="K62" s="2190"/>
    </row>
    <row r="63" spans="1:11" ht="30" customHeight="1">
      <c r="A63" s="927" t="s">
        <v>778</v>
      </c>
      <c r="B63" s="928"/>
      <c r="C63" s="928"/>
      <c r="D63" s="923"/>
      <c r="E63" s="930">
        <f>SUM(E64:E65)</f>
        <v>0</v>
      </c>
      <c r="F63" s="930">
        <f t="shared" ref="F63:I63" si="10">SUM(F64:F65)</f>
        <v>0</v>
      </c>
      <c r="G63" s="930">
        <f t="shared" si="10"/>
        <v>0.1</v>
      </c>
      <c r="H63" s="930">
        <f t="shared" si="10"/>
        <v>0.30000000000000004</v>
      </c>
      <c r="I63" s="930">
        <f t="shared" si="10"/>
        <v>0.2</v>
      </c>
      <c r="J63" s="2191"/>
      <c r="K63" s="2192"/>
    </row>
    <row r="64" spans="1:11" ht="30" customHeight="1">
      <c r="A64" s="933" t="s">
        <v>779</v>
      </c>
      <c r="B64" s="934"/>
      <c r="C64" s="934"/>
      <c r="D64" s="935" t="s">
        <v>239</v>
      </c>
      <c r="E64" s="942">
        <f>ROUND(E35*IF(J35="①",$J$11,IF(J35="②",$J$12,$J$14))*IF(K35="●",$J$15,1),3)</f>
        <v>0</v>
      </c>
      <c r="F64" s="942">
        <f t="shared" ref="F64:I65" si="11">ROUND(F35*IF(K35="①",$J$11,IF(K35="②",$J$12,$J$14))*IF(L35="●",$J$15,1),3)</f>
        <v>0</v>
      </c>
      <c r="G64" s="942">
        <f t="shared" si="11"/>
        <v>0</v>
      </c>
      <c r="H64" s="942">
        <f t="shared" si="11"/>
        <v>0.1</v>
      </c>
      <c r="I64" s="942">
        <f t="shared" si="11"/>
        <v>0.2</v>
      </c>
      <c r="J64" s="2177"/>
      <c r="K64" s="2178"/>
    </row>
    <row r="65" spans="1:11" ht="30" customHeight="1">
      <c r="A65" s="933" t="s">
        <v>781</v>
      </c>
      <c r="B65" s="934"/>
      <c r="C65" s="934"/>
      <c r="D65" s="935" t="s">
        <v>239</v>
      </c>
      <c r="E65" s="942">
        <f>ROUND(E36*IF(J36="①",$J$11,IF(J36="②",$J$12,$J$14))*IF(K36="●",$J$15,1),3)</f>
        <v>0</v>
      </c>
      <c r="F65" s="942">
        <f t="shared" si="11"/>
        <v>0</v>
      </c>
      <c r="G65" s="942">
        <f t="shared" si="11"/>
        <v>0.1</v>
      </c>
      <c r="H65" s="942">
        <f t="shared" si="11"/>
        <v>0.2</v>
      </c>
      <c r="I65" s="942">
        <f t="shared" si="11"/>
        <v>0</v>
      </c>
      <c r="J65" s="2177"/>
      <c r="K65" s="2178"/>
    </row>
    <row r="66" spans="1:11" ht="30" customHeight="1">
      <c r="A66" s="927" t="s">
        <v>782</v>
      </c>
      <c r="B66" s="934"/>
      <c r="C66" s="934"/>
      <c r="D66" s="935"/>
      <c r="E66" s="930" t="e">
        <f>SUM(E67:E71)</f>
        <v>#REF!</v>
      </c>
      <c r="F66" s="930">
        <f t="shared" ref="F66:I66" si="12">SUM(F67:F71)</f>
        <v>1.6</v>
      </c>
      <c r="G66" s="930">
        <f t="shared" si="12"/>
        <v>1.6</v>
      </c>
      <c r="H66" s="930">
        <f t="shared" si="12"/>
        <v>0.7</v>
      </c>
      <c r="I66" s="930">
        <f t="shared" si="12"/>
        <v>1.3</v>
      </c>
      <c r="J66" s="2177"/>
      <c r="K66" s="2178"/>
    </row>
    <row r="67" spans="1:11" ht="30" customHeight="1">
      <c r="A67" s="933" t="s">
        <v>783</v>
      </c>
      <c r="B67" s="934"/>
      <c r="C67" s="934"/>
      <c r="D67" s="935" t="s">
        <v>239</v>
      </c>
      <c r="E67" s="942">
        <f>ROUND(E38*IF(J38="①",$J$11,IF(J38="②",$J$12,$J$14))*IF(K38="●",$J$15,1),3)</f>
        <v>0.1</v>
      </c>
      <c r="F67" s="942">
        <f t="shared" ref="F67:I71" si="13">ROUND(F38*IF(K38="①",$J$11,IF(K38="②",$J$12,$J$14))*IF(L38="●",$J$15,1),3)</f>
        <v>0</v>
      </c>
      <c r="G67" s="942">
        <f t="shared" si="13"/>
        <v>0</v>
      </c>
      <c r="H67" s="942">
        <f t="shared" si="13"/>
        <v>0</v>
      </c>
      <c r="I67" s="942">
        <f t="shared" si="13"/>
        <v>0</v>
      </c>
      <c r="J67" s="2177"/>
      <c r="K67" s="2178"/>
    </row>
    <row r="68" spans="1:11" ht="30" customHeight="1">
      <c r="A68" s="933" t="s">
        <v>784</v>
      </c>
      <c r="B68" s="934"/>
      <c r="C68" s="934"/>
      <c r="D68" s="935" t="s">
        <v>239</v>
      </c>
      <c r="E68" s="942">
        <f t="shared" ref="E68:I83" si="14">ROUND(E39*IF(J39="①",$J$11,IF(J39="②",$J$12,$J$14))*IF(K39="●",$J$15,1),3)</f>
        <v>0</v>
      </c>
      <c r="F68" s="942">
        <f t="shared" si="13"/>
        <v>0</v>
      </c>
      <c r="G68" s="942">
        <f t="shared" si="13"/>
        <v>0</v>
      </c>
      <c r="H68" s="942">
        <f t="shared" si="13"/>
        <v>0.1</v>
      </c>
      <c r="I68" s="942">
        <f t="shared" si="13"/>
        <v>0.2</v>
      </c>
      <c r="J68" s="2177"/>
      <c r="K68" s="2178"/>
    </row>
    <row r="69" spans="1:11" ht="30" customHeight="1">
      <c r="A69" s="933" t="s">
        <v>785</v>
      </c>
      <c r="B69" s="940"/>
      <c r="C69" s="934"/>
      <c r="D69" s="935" t="s">
        <v>239</v>
      </c>
      <c r="E69" s="942">
        <f t="shared" si="14"/>
        <v>0</v>
      </c>
      <c r="F69" s="942">
        <f t="shared" si="13"/>
        <v>0</v>
      </c>
      <c r="G69" s="942">
        <f t="shared" si="13"/>
        <v>0</v>
      </c>
      <c r="H69" s="942">
        <f t="shared" si="13"/>
        <v>0</v>
      </c>
      <c r="I69" s="942">
        <f t="shared" si="13"/>
        <v>0.1</v>
      </c>
      <c r="J69" s="2177"/>
      <c r="K69" s="2178"/>
    </row>
    <row r="70" spans="1:11" ht="30" customHeight="1">
      <c r="A70" s="933" t="s">
        <v>786</v>
      </c>
      <c r="B70" s="934"/>
      <c r="C70" s="934"/>
      <c r="D70" s="935" t="s">
        <v>787</v>
      </c>
      <c r="E70" s="942" t="e">
        <f t="shared" si="14"/>
        <v>#REF!</v>
      </c>
      <c r="F70" s="942">
        <f t="shared" si="13"/>
        <v>0.6</v>
      </c>
      <c r="G70" s="942">
        <f t="shared" si="13"/>
        <v>0.6</v>
      </c>
      <c r="H70" s="942">
        <f t="shared" si="13"/>
        <v>0.6</v>
      </c>
      <c r="I70" s="942">
        <f t="shared" si="13"/>
        <v>1</v>
      </c>
      <c r="J70" s="2177"/>
      <c r="K70" s="2178"/>
    </row>
    <row r="71" spans="1:11" ht="30" customHeight="1">
      <c r="A71" s="933" t="s">
        <v>790</v>
      </c>
      <c r="B71" s="940"/>
      <c r="C71" s="940"/>
      <c r="D71" s="941" t="s">
        <v>791</v>
      </c>
      <c r="E71" s="942">
        <f t="shared" si="14"/>
        <v>0.6</v>
      </c>
      <c r="F71" s="942">
        <f t="shared" si="13"/>
        <v>1</v>
      </c>
      <c r="G71" s="942">
        <f t="shared" si="13"/>
        <v>1</v>
      </c>
      <c r="H71" s="942">
        <f t="shared" si="13"/>
        <v>0</v>
      </c>
      <c r="I71" s="942">
        <f t="shared" si="13"/>
        <v>0</v>
      </c>
      <c r="J71" s="2177"/>
      <c r="K71" s="2178"/>
    </row>
    <row r="72" spans="1:11" ht="30" customHeight="1">
      <c r="A72" s="945" t="s">
        <v>793</v>
      </c>
      <c r="B72" s="922"/>
      <c r="C72" s="922"/>
      <c r="D72" s="923"/>
      <c r="E72" s="924" t="e">
        <f>SUM(E73,E74,E75,E78,E79,E80)</f>
        <v>#REF!</v>
      </c>
      <c r="F72" s="924">
        <f t="shared" ref="F72:I72" si="15">SUM(F73,F74,F75,F78,F79,F80)</f>
        <v>5</v>
      </c>
      <c r="G72" s="924">
        <f t="shared" si="15"/>
        <v>4.8</v>
      </c>
      <c r="H72" s="924">
        <f t="shared" si="15"/>
        <v>4</v>
      </c>
      <c r="I72" s="924">
        <f t="shared" si="15"/>
        <v>0.30000000000000004</v>
      </c>
      <c r="J72" s="2177"/>
      <c r="K72" s="2178"/>
    </row>
    <row r="73" spans="1:11" ht="30" customHeight="1">
      <c r="A73" s="947" t="s">
        <v>794</v>
      </c>
      <c r="B73" s="940"/>
      <c r="C73" s="940"/>
      <c r="D73" s="941" t="s">
        <v>239</v>
      </c>
      <c r="E73" s="942">
        <f t="shared" si="14"/>
        <v>0</v>
      </c>
      <c r="F73" s="942">
        <f t="shared" si="14"/>
        <v>0</v>
      </c>
      <c r="G73" s="942">
        <f t="shared" si="14"/>
        <v>0</v>
      </c>
      <c r="H73" s="942">
        <f t="shared" si="14"/>
        <v>0</v>
      </c>
      <c r="I73" s="942">
        <f t="shared" si="14"/>
        <v>0.1</v>
      </c>
      <c r="J73" s="2177"/>
      <c r="K73" s="2178"/>
    </row>
    <row r="74" spans="1:11" ht="30" customHeight="1">
      <c r="A74" s="933" t="s">
        <v>795</v>
      </c>
      <c r="B74" s="934"/>
      <c r="C74" s="934"/>
      <c r="D74" s="935" t="s">
        <v>796</v>
      </c>
      <c r="E74" s="942">
        <f t="shared" si="14"/>
        <v>0.6</v>
      </c>
      <c r="F74" s="942">
        <f t="shared" si="14"/>
        <v>0</v>
      </c>
      <c r="G74" s="942">
        <f t="shared" si="14"/>
        <v>0</v>
      </c>
      <c r="H74" s="942">
        <f t="shared" si="14"/>
        <v>0</v>
      </c>
      <c r="I74" s="942">
        <f t="shared" si="14"/>
        <v>0</v>
      </c>
      <c r="J74" s="2177"/>
      <c r="K74" s="2178"/>
    </row>
    <row r="75" spans="1:11" ht="30" customHeight="1">
      <c r="A75" s="933" t="s">
        <v>797</v>
      </c>
      <c r="B75" s="934"/>
      <c r="C75" s="934"/>
      <c r="D75" s="935"/>
      <c r="E75" s="936" t="e">
        <f>SUM(E76:E77)</f>
        <v>#REF!</v>
      </c>
      <c r="F75" s="936">
        <f t="shared" ref="F75:I75" si="16">SUM(F76:F77)</f>
        <v>3</v>
      </c>
      <c r="G75" s="936">
        <f t="shared" si="16"/>
        <v>3</v>
      </c>
      <c r="H75" s="936">
        <f t="shared" si="16"/>
        <v>3</v>
      </c>
      <c r="I75" s="936">
        <f t="shared" si="16"/>
        <v>0.2</v>
      </c>
      <c r="J75" s="2177"/>
      <c r="K75" s="2178"/>
    </row>
    <row r="76" spans="1:11" ht="30" customHeight="1">
      <c r="A76" s="933" t="s">
        <v>798</v>
      </c>
      <c r="B76" s="934"/>
      <c r="C76" s="934"/>
      <c r="D76" s="935" t="s">
        <v>787</v>
      </c>
      <c r="E76" s="942" t="e">
        <f t="shared" si="14"/>
        <v>#REF!</v>
      </c>
      <c r="F76" s="942">
        <f t="shared" si="14"/>
        <v>3</v>
      </c>
      <c r="G76" s="942">
        <f t="shared" si="14"/>
        <v>3</v>
      </c>
      <c r="H76" s="942">
        <f t="shared" si="14"/>
        <v>3</v>
      </c>
      <c r="I76" s="942">
        <f t="shared" si="14"/>
        <v>0</v>
      </c>
      <c r="J76" s="2177"/>
      <c r="K76" s="2178"/>
    </row>
    <row r="77" spans="1:11" ht="30" customHeight="1">
      <c r="A77" s="933" t="s">
        <v>799</v>
      </c>
      <c r="B77" s="934"/>
      <c r="C77" s="934"/>
      <c r="D77" s="935" t="s">
        <v>787</v>
      </c>
      <c r="E77" s="942">
        <f t="shared" si="14"/>
        <v>0</v>
      </c>
      <c r="F77" s="942">
        <f t="shared" si="14"/>
        <v>0</v>
      </c>
      <c r="G77" s="942">
        <f t="shared" si="14"/>
        <v>0</v>
      </c>
      <c r="H77" s="942">
        <f t="shared" si="14"/>
        <v>0</v>
      </c>
      <c r="I77" s="942">
        <f t="shared" si="14"/>
        <v>0.2</v>
      </c>
      <c r="J77" s="2177"/>
      <c r="K77" s="2178"/>
    </row>
    <row r="78" spans="1:11" ht="30" customHeight="1">
      <c r="A78" s="2179" t="s">
        <v>800</v>
      </c>
      <c r="B78" s="2180"/>
      <c r="C78" s="2181"/>
      <c r="D78" s="935" t="s">
        <v>787</v>
      </c>
      <c r="E78" s="942">
        <f t="shared" si="14"/>
        <v>0</v>
      </c>
      <c r="F78" s="942">
        <f t="shared" si="14"/>
        <v>0</v>
      </c>
      <c r="G78" s="942">
        <f t="shared" si="14"/>
        <v>0.4</v>
      </c>
      <c r="H78" s="942">
        <f t="shared" si="14"/>
        <v>0</v>
      </c>
      <c r="I78" s="942">
        <f t="shared" si="14"/>
        <v>0</v>
      </c>
      <c r="J78" s="2177"/>
      <c r="K78" s="2178"/>
    </row>
    <row r="79" spans="1:11" ht="30" customHeight="1">
      <c r="A79" s="933" t="s">
        <v>801</v>
      </c>
      <c r="B79" s="934"/>
      <c r="C79" s="934"/>
      <c r="D79" s="935" t="s">
        <v>787</v>
      </c>
      <c r="E79" s="942">
        <f t="shared" si="14"/>
        <v>0</v>
      </c>
      <c r="F79" s="942">
        <f t="shared" si="14"/>
        <v>0</v>
      </c>
      <c r="G79" s="942">
        <f t="shared" si="14"/>
        <v>0.4</v>
      </c>
      <c r="H79" s="942">
        <f t="shared" si="14"/>
        <v>0</v>
      </c>
      <c r="I79" s="942">
        <f t="shared" si="14"/>
        <v>0</v>
      </c>
      <c r="J79" s="2177"/>
      <c r="K79" s="2178"/>
    </row>
    <row r="80" spans="1:11" ht="30" customHeight="1">
      <c r="A80" s="2179" t="s">
        <v>802</v>
      </c>
      <c r="B80" s="2180"/>
      <c r="C80" s="2181"/>
      <c r="D80" s="935"/>
      <c r="E80" s="936" t="e">
        <f>SUM(E81:E82)</f>
        <v>#REF!</v>
      </c>
      <c r="F80" s="936">
        <f t="shared" ref="F80:I80" si="17">SUM(F81:F82)</f>
        <v>2</v>
      </c>
      <c r="G80" s="936">
        <f t="shared" si="17"/>
        <v>1</v>
      </c>
      <c r="H80" s="936">
        <f t="shared" si="17"/>
        <v>1</v>
      </c>
      <c r="I80" s="936">
        <f t="shared" si="17"/>
        <v>0</v>
      </c>
      <c r="J80" s="2177"/>
      <c r="K80" s="2178"/>
    </row>
    <row r="81" spans="1:13" ht="30" customHeight="1">
      <c r="A81" s="933" t="s">
        <v>803</v>
      </c>
      <c r="B81" s="948"/>
      <c r="C81" s="948"/>
      <c r="D81" s="941" t="s">
        <v>791</v>
      </c>
      <c r="E81" s="942">
        <f t="shared" si="14"/>
        <v>0.6</v>
      </c>
      <c r="F81" s="942">
        <f t="shared" si="14"/>
        <v>0</v>
      </c>
      <c r="G81" s="942">
        <f t="shared" si="14"/>
        <v>0</v>
      </c>
      <c r="H81" s="942">
        <f t="shared" si="14"/>
        <v>0</v>
      </c>
      <c r="I81" s="942">
        <f t="shared" si="14"/>
        <v>0</v>
      </c>
      <c r="J81" s="2177"/>
      <c r="K81" s="2178"/>
    </row>
    <row r="82" spans="1:13" ht="30" customHeight="1">
      <c r="A82" s="933" t="s">
        <v>804</v>
      </c>
      <c r="B82" s="948"/>
      <c r="C82" s="948"/>
      <c r="D82" s="935" t="s">
        <v>787</v>
      </c>
      <c r="E82" s="942" t="e">
        <f t="shared" si="14"/>
        <v>#REF!</v>
      </c>
      <c r="F82" s="942">
        <f t="shared" si="14"/>
        <v>2</v>
      </c>
      <c r="G82" s="942">
        <f t="shared" si="14"/>
        <v>1</v>
      </c>
      <c r="H82" s="942">
        <f t="shared" si="14"/>
        <v>1</v>
      </c>
      <c r="I82" s="942">
        <f t="shared" si="14"/>
        <v>0</v>
      </c>
      <c r="J82" s="2177"/>
      <c r="K82" s="2178"/>
    </row>
    <row r="83" spans="1:13" ht="30" customHeight="1">
      <c r="A83" s="945" t="s">
        <v>805</v>
      </c>
      <c r="B83" s="940"/>
      <c r="C83" s="940"/>
      <c r="D83" s="935" t="s">
        <v>787</v>
      </c>
      <c r="E83" s="924">
        <f t="shared" si="14"/>
        <v>0</v>
      </c>
      <c r="F83" s="924">
        <f t="shared" si="14"/>
        <v>0</v>
      </c>
      <c r="G83" s="924">
        <f t="shared" si="14"/>
        <v>0.4</v>
      </c>
      <c r="H83" s="924">
        <f t="shared" si="14"/>
        <v>0</v>
      </c>
      <c r="I83" s="924">
        <f t="shared" si="14"/>
        <v>0</v>
      </c>
      <c r="J83" s="2197"/>
      <c r="K83" s="2198"/>
    </row>
    <row r="84" spans="1:13" ht="30" customHeight="1">
      <c r="A84" s="945" t="s">
        <v>806</v>
      </c>
      <c r="B84" s="934"/>
      <c r="C84" s="934"/>
      <c r="D84" s="935" t="s">
        <v>787</v>
      </c>
      <c r="E84" s="924">
        <f t="shared" ref="E84:I85" si="18">ROUND(E55*IF(J55="①",$J$11,IF(J55="②",$J$12,$J$14))*IF(K55="●",$J$15,1),3)</f>
        <v>0</v>
      </c>
      <c r="F84" s="924">
        <f t="shared" si="18"/>
        <v>0</v>
      </c>
      <c r="G84" s="924">
        <f t="shared" si="18"/>
        <v>0.4</v>
      </c>
      <c r="H84" s="924">
        <f t="shared" si="18"/>
        <v>0</v>
      </c>
      <c r="I84" s="924">
        <f t="shared" si="18"/>
        <v>0</v>
      </c>
      <c r="J84" s="2193"/>
      <c r="K84" s="2194"/>
    </row>
    <row r="85" spans="1:13" s="844" customFormat="1" ht="30" customHeight="1">
      <c r="A85" s="949" t="s">
        <v>807</v>
      </c>
      <c r="B85" s="950"/>
      <c r="C85" s="950"/>
      <c r="D85" s="951" t="s">
        <v>787</v>
      </c>
      <c r="E85" s="904">
        <f t="shared" si="18"/>
        <v>1.272</v>
      </c>
      <c r="F85" s="904">
        <f t="shared" si="18"/>
        <v>1.6</v>
      </c>
      <c r="G85" s="904">
        <f t="shared" si="18"/>
        <v>1</v>
      </c>
      <c r="H85" s="904">
        <f t="shared" si="18"/>
        <v>0.6</v>
      </c>
      <c r="I85" s="904">
        <f t="shared" si="18"/>
        <v>0.6</v>
      </c>
      <c r="J85" s="2195"/>
      <c r="K85" s="2196"/>
      <c r="L85" s="845"/>
      <c r="M85" s="845"/>
    </row>
    <row r="86" spans="1:13" s="844" customFormat="1" ht="35.1" customHeight="1">
      <c r="J86" s="879"/>
      <c r="K86" s="845"/>
      <c r="L86" s="845"/>
      <c r="M86" s="845"/>
    </row>
    <row r="87" spans="1:13" s="844" customFormat="1" ht="35.1" customHeight="1">
      <c r="J87" s="879"/>
      <c r="K87" s="845"/>
      <c r="L87" s="845"/>
      <c r="M87" s="845"/>
    </row>
    <row r="88" spans="1:13" s="844" customFormat="1" ht="35.1" customHeight="1">
      <c r="J88" s="879"/>
      <c r="K88" s="845"/>
      <c r="L88" s="845"/>
      <c r="M88" s="845"/>
    </row>
    <row r="89" spans="1:13" s="844" customFormat="1" ht="27.95" customHeight="1">
      <c r="J89" s="879"/>
      <c r="K89" s="845"/>
      <c r="L89" s="845"/>
      <c r="M89" s="845"/>
    </row>
    <row r="90" spans="1:13" s="844" customFormat="1" ht="27.95" customHeight="1">
      <c r="J90" s="879"/>
      <c r="K90" s="845"/>
      <c r="L90" s="845"/>
      <c r="M90" s="845"/>
    </row>
    <row r="91" spans="1:13" s="844" customFormat="1" ht="27.95" customHeight="1">
      <c r="J91" s="879"/>
      <c r="K91" s="845"/>
      <c r="L91" s="845"/>
      <c r="M91" s="845"/>
    </row>
    <row r="92" spans="1:13" s="844" customFormat="1" ht="27.95" customHeight="1">
      <c r="J92" s="879"/>
      <c r="K92" s="845"/>
      <c r="L92" s="845"/>
      <c r="M92" s="845"/>
    </row>
    <row r="93" spans="1:13" s="844" customFormat="1" ht="27.95" customHeight="1">
      <c r="J93" s="879"/>
      <c r="K93" s="845"/>
      <c r="L93" s="845"/>
      <c r="M93" s="845"/>
    </row>
    <row r="94" spans="1:13" s="844" customFormat="1" ht="27.95" customHeight="1">
      <c r="J94" s="879"/>
      <c r="K94" s="845"/>
      <c r="L94" s="845"/>
      <c r="M94" s="845"/>
    </row>
    <row r="95" spans="1:13" s="844" customFormat="1" ht="27.95" customHeight="1">
      <c r="J95" s="879"/>
      <c r="K95" s="845"/>
      <c r="L95" s="845"/>
      <c r="M95" s="845"/>
    </row>
    <row r="96" spans="1:13" s="844" customFormat="1" ht="27.95" customHeight="1">
      <c r="J96" s="879"/>
      <c r="K96" s="845"/>
      <c r="L96" s="845"/>
      <c r="M96" s="845"/>
    </row>
    <row r="97" spans="10:13" s="844" customFormat="1" ht="27.95" customHeight="1">
      <c r="J97" s="879"/>
      <c r="K97" s="845"/>
      <c r="L97" s="845"/>
      <c r="M97" s="845"/>
    </row>
    <row r="98" spans="10:13" s="844" customFormat="1" ht="27.95" customHeight="1">
      <c r="J98" s="879"/>
      <c r="K98" s="845"/>
      <c r="L98" s="845"/>
      <c r="M98" s="845"/>
    </row>
    <row r="99" spans="10:13" s="844" customFormat="1" ht="27.95" customHeight="1">
      <c r="J99" s="879"/>
      <c r="K99" s="845"/>
      <c r="L99" s="845"/>
      <c r="M99" s="845"/>
    </row>
    <row r="100" spans="10:13" s="844" customFormat="1" ht="27.95" customHeight="1">
      <c r="J100" s="879"/>
      <c r="K100" s="845"/>
      <c r="L100" s="845"/>
      <c r="M100" s="845"/>
    </row>
    <row r="101" spans="10:13" s="844" customFormat="1" ht="27.95" customHeight="1">
      <c r="J101" s="879"/>
      <c r="K101" s="845"/>
      <c r="L101" s="845"/>
      <c r="M101" s="845"/>
    </row>
    <row r="102" spans="10:13" s="844" customFormat="1" ht="27.95" customHeight="1">
      <c r="J102" s="879"/>
      <c r="K102" s="845"/>
      <c r="L102" s="845"/>
      <c r="M102" s="845"/>
    </row>
    <row r="103" spans="10:13" s="844" customFormat="1" ht="27.95" customHeight="1">
      <c r="J103" s="879"/>
      <c r="K103" s="845"/>
      <c r="L103" s="845"/>
      <c r="M103" s="845"/>
    </row>
  </sheetData>
  <mergeCells count="72">
    <mergeCell ref="J84:K84"/>
    <mergeCell ref="J85:K85"/>
    <mergeCell ref="J79:K79"/>
    <mergeCell ref="A80:C80"/>
    <mergeCell ref="J80:K80"/>
    <mergeCell ref="J81:K81"/>
    <mergeCell ref="J82:K82"/>
    <mergeCell ref="J83:K83"/>
    <mergeCell ref="A78:C78"/>
    <mergeCell ref="J78:K78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J77:K77"/>
    <mergeCell ref="J66:K66"/>
    <mergeCell ref="A49:C49"/>
    <mergeCell ref="A51:C51"/>
    <mergeCell ref="A60:C61"/>
    <mergeCell ref="D60:D61"/>
    <mergeCell ref="E60:I60"/>
    <mergeCell ref="J60:K61"/>
    <mergeCell ref="A62:B62"/>
    <mergeCell ref="J62:K62"/>
    <mergeCell ref="J63:K63"/>
    <mergeCell ref="J64:K64"/>
    <mergeCell ref="J65:K65"/>
    <mergeCell ref="A33:B33"/>
    <mergeCell ref="F16:G16"/>
    <mergeCell ref="H16:I16"/>
    <mergeCell ref="B17:K17"/>
    <mergeCell ref="A22:C23"/>
    <mergeCell ref="D22:D23"/>
    <mergeCell ref="E22:I22"/>
    <mergeCell ref="K22:K23"/>
    <mergeCell ref="A24:C24"/>
    <mergeCell ref="A31:C32"/>
    <mergeCell ref="D31:D32"/>
    <mergeCell ref="E31:I31"/>
    <mergeCell ref="J31:J32"/>
    <mergeCell ref="C14:G14"/>
    <mergeCell ref="H14:I14"/>
    <mergeCell ref="J14:K14"/>
    <mergeCell ref="A15:A16"/>
    <mergeCell ref="B15:B16"/>
    <mergeCell ref="D15:E15"/>
    <mergeCell ref="F15:G15"/>
    <mergeCell ref="H15:I15"/>
    <mergeCell ref="J15:K16"/>
    <mergeCell ref="D16:E16"/>
    <mergeCell ref="A11:A14"/>
    <mergeCell ref="C11:G11"/>
    <mergeCell ref="H11:I11"/>
    <mergeCell ref="J11:K11"/>
    <mergeCell ref="B12:B13"/>
    <mergeCell ref="D12:E12"/>
    <mergeCell ref="F12:G12"/>
    <mergeCell ref="H12:I13"/>
    <mergeCell ref="J12:K13"/>
    <mergeCell ref="D13:E13"/>
    <mergeCell ref="F13:G13"/>
    <mergeCell ref="A2:K2"/>
    <mergeCell ref="B5:C5"/>
    <mergeCell ref="C10:G10"/>
    <mergeCell ref="H10:I10"/>
    <mergeCell ref="J10:K10"/>
  </mergeCells>
  <phoneticPr fontId="18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rowBreaks count="2" manualBreakCount="2">
    <brk id="29" max="10" man="1"/>
    <brk id="57" max="1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>
    <tabColor theme="9" tint="-0.249977111117893"/>
  </sheetPr>
  <dimension ref="A1:F30"/>
  <sheetViews>
    <sheetView view="pageBreakPreview" zoomScaleNormal="100" zoomScaleSheetLayoutView="100" workbookViewId="0">
      <selection activeCell="A2" sqref="A2:K2"/>
    </sheetView>
  </sheetViews>
  <sheetFormatPr defaultRowHeight="14.25"/>
  <cols>
    <col min="1" max="1" width="5.33203125" style="242" customWidth="1"/>
    <col min="2" max="2" width="16.77734375" style="242" customWidth="1"/>
    <col min="3" max="5" width="14.77734375" style="242" customWidth="1"/>
    <col min="6" max="256" width="8.88671875" style="242"/>
    <col min="257" max="257" width="5.33203125" style="242" customWidth="1"/>
    <col min="258" max="258" width="16.77734375" style="242" customWidth="1"/>
    <col min="259" max="261" width="14.77734375" style="242" customWidth="1"/>
    <col min="262" max="512" width="8.88671875" style="242"/>
    <col min="513" max="513" width="5.33203125" style="242" customWidth="1"/>
    <col min="514" max="514" width="16.77734375" style="242" customWidth="1"/>
    <col min="515" max="517" width="14.77734375" style="242" customWidth="1"/>
    <col min="518" max="768" width="8.88671875" style="242"/>
    <col min="769" max="769" width="5.33203125" style="242" customWidth="1"/>
    <col min="770" max="770" width="16.77734375" style="242" customWidth="1"/>
    <col min="771" max="773" width="14.77734375" style="242" customWidth="1"/>
    <col min="774" max="1024" width="8.88671875" style="242"/>
    <col min="1025" max="1025" width="5.33203125" style="242" customWidth="1"/>
    <col min="1026" max="1026" width="16.77734375" style="242" customWidth="1"/>
    <col min="1027" max="1029" width="14.77734375" style="242" customWidth="1"/>
    <col min="1030" max="1280" width="8.88671875" style="242"/>
    <col min="1281" max="1281" width="5.33203125" style="242" customWidth="1"/>
    <col min="1282" max="1282" width="16.77734375" style="242" customWidth="1"/>
    <col min="1283" max="1285" width="14.77734375" style="242" customWidth="1"/>
    <col min="1286" max="1536" width="8.88671875" style="242"/>
    <col min="1537" max="1537" width="5.33203125" style="242" customWidth="1"/>
    <col min="1538" max="1538" width="16.77734375" style="242" customWidth="1"/>
    <col min="1539" max="1541" width="14.77734375" style="242" customWidth="1"/>
    <col min="1542" max="1792" width="8.88671875" style="242"/>
    <col min="1793" max="1793" width="5.33203125" style="242" customWidth="1"/>
    <col min="1794" max="1794" width="16.77734375" style="242" customWidth="1"/>
    <col min="1795" max="1797" width="14.77734375" style="242" customWidth="1"/>
    <col min="1798" max="2048" width="8.88671875" style="242"/>
    <col min="2049" max="2049" width="5.33203125" style="242" customWidth="1"/>
    <col min="2050" max="2050" width="16.77734375" style="242" customWidth="1"/>
    <col min="2051" max="2053" width="14.77734375" style="242" customWidth="1"/>
    <col min="2054" max="2304" width="8.88671875" style="242"/>
    <col min="2305" max="2305" width="5.33203125" style="242" customWidth="1"/>
    <col min="2306" max="2306" width="16.77734375" style="242" customWidth="1"/>
    <col min="2307" max="2309" width="14.77734375" style="242" customWidth="1"/>
    <col min="2310" max="2560" width="8.88671875" style="242"/>
    <col min="2561" max="2561" width="5.33203125" style="242" customWidth="1"/>
    <col min="2562" max="2562" width="16.77734375" style="242" customWidth="1"/>
    <col min="2563" max="2565" width="14.77734375" style="242" customWidth="1"/>
    <col min="2566" max="2816" width="8.88671875" style="242"/>
    <col min="2817" max="2817" width="5.33203125" style="242" customWidth="1"/>
    <col min="2818" max="2818" width="16.77734375" style="242" customWidth="1"/>
    <col min="2819" max="2821" width="14.77734375" style="242" customWidth="1"/>
    <col min="2822" max="3072" width="8.88671875" style="242"/>
    <col min="3073" max="3073" width="5.33203125" style="242" customWidth="1"/>
    <col min="3074" max="3074" width="16.77734375" style="242" customWidth="1"/>
    <col min="3075" max="3077" width="14.77734375" style="242" customWidth="1"/>
    <col min="3078" max="3328" width="8.88671875" style="242"/>
    <col min="3329" max="3329" width="5.33203125" style="242" customWidth="1"/>
    <col min="3330" max="3330" width="16.77734375" style="242" customWidth="1"/>
    <col min="3331" max="3333" width="14.77734375" style="242" customWidth="1"/>
    <col min="3334" max="3584" width="8.88671875" style="242"/>
    <col min="3585" max="3585" width="5.33203125" style="242" customWidth="1"/>
    <col min="3586" max="3586" width="16.77734375" style="242" customWidth="1"/>
    <col min="3587" max="3589" width="14.77734375" style="242" customWidth="1"/>
    <col min="3590" max="3840" width="8.88671875" style="242"/>
    <col min="3841" max="3841" width="5.33203125" style="242" customWidth="1"/>
    <col min="3842" max="3842" width="16.77734375" style="242" customWidth="1"/>
    <col min="3843" max="3845" width="14.77734375" style="242" customWidth="1"/>
    <col min="3846" max="4096" width="8.88671875" style="242"/>
    <col min="4097" max="4097" width="5.33203125" style="242" customWidth="1"/>
    <col min="4098" max="4098" width="16.77734375" style="242" customWidth="1"/>
    <col min="4099" max="4101" width="14.77734375" style="242" customWidth="1"/>
    <col min="4102" max="4352" width="8.88671875" style="242"/>
    <col min="4353" max="4353" width="5.33203125" style="242" customWidth="1"/>
    <col min="4354" max="4354" width="16.77734375" style="242" customWidth="1"/>
    <col min="4355" max="4357" width="14.77734375" style="242" customWidth="1"/>
    <col min="4358" max="4608" width="8.88671875" style="242"/>
    <col min="4609" max="4609" width="5.33203125" style="242" customWidth="1"/>
    <col min="4610" max="4610" width="16.77734375" style="242" customWidth="1"/>
    <col min="4611" max="4613" width="14.77734375" style="242" customWidth="1"/>
    <col min="4614" max="4864" width="8.88671875" style="242"/>
    <col min="4865" max="4865" width="5.33203125" style="242" customWidth="1"/>
    <col min="4866" max="4866" width="16.77734375" style="242" customWidth="1"/>
    <col min="4867" max="4869" width="14.77734375" style="242" customWidth="1"/>
    <col min="4870" max="5120" width="8.88671875" style="242"/>
    <col min="5121" max="5121" width="5.33203125" style="242" customWidth="1"/>
    <col min="5122" max="5122" width="16.77734375" style="242" customWidth="1"/>
    <col min="5123" max="5125" width="14.77734375" style="242" customWidth="1"/>
    <col min="5126" max="5376" width="8.88671875" style="242"/>
    <col min="5377" max="5377" width="5.33203125" style="242" customWidth="1"/>
    <col min="5378" max="5378" width="16.77734375" style="242" customWidth="1"/>
    <col min="5379" max="5381" width="14.77734375" style="242" customWidth="1"/>
    <col min="5382" max="5632" width="8.88671875" style="242"/>
    <col min="5633" max="5633" width="5.33203125" style="242" customWidth="1"/>
    <col min="5634" max="5634" width="16.77734375" style="242" customWidth="1"/>
    <col min="5635" max="5637" width="14.77734375" style="242" customWidth="1"/>
    <col min="5638" max="5888" width="8.88671875" style="242"/>
    <col min="5889" max="5889" width="5.33203125" style="242" customWidth="1"/>
    <col min="5890" max="5890" width="16.77734375" style="242" customWidth="1"/>
    <col min="5891" max="5893" width="14.77734375" style="242" customWidth="1"/>
    <col min="5894" max="6144" width="8.88671875" style="242"/>
    <col min="6145" max="6145" width="5.33203125" style="242" customWidth="1"/>
    <col min="6146" max="6146" width="16.77734375" style="242" customWidth="1"/>
    <col min="6147" max="6149" width="14.77734375" style="242" customWidth="1"/>
    <col min="6150" max="6400" width="8.88671875" style="242"/>
    <col min="6401" max="6401" width="5.33203125" style="242" customWidth="1"/>
    <col min="6402" max="6402" width="16.77734375" style="242" customWidth="1"/>
    <col min="6403" max="6405" width="14.77734375" style="242" customWidth="1"/>
    <col min="6406" max="6656" width="8.88671875" style="242"/>
    <col min="6657" max="6657" width="5.33203125" style="242" customWidth="1"/>
    <col min="6658" max="6658" width="16.77734375" style="242" customWidth="1"/>
    <col min="6659" max="6661" width="14.77734375" style="242" customWidth="1"/>
    <col min="6662" max="6912" width="8.88671875" style="242"/>
    <col min="6913" max="6913" width="5.33203125" style="242" customWidth="1"/>
    <col min="6914" max="6914" width="16.77734375" style="242" customWidth="1"/>
    <col min="6915" max="6917" width="14.77734375" style="242" customWidth="1"/>
    <col min="6918" max="7168" width="8.88671875" style="242"/>
    <col min="7169" max="7169" width="5.33203125" style="242" customWidth="1"/>
    <col min="7170" max="7170" width="16.77734375" style="242" customWidth="1"/>
    <col min="7171" max="7173" width="14.77734375" style="242" customWidth="1"/>
    <col min="7174" max="7424" width="8.88671875" style="242"/>
    <col min="7425" max="7425" width="5.33203125" style="242" customWidth="1"/>
    <col min="7426" max="7426" width="16.77734375" style="242" customWidth="1"/>
    <col min="7427" max="7429" width="14.77734375" style="242" customWidth="1"/>
    <col min="7430" max="7680" width="8.88671875" style="242"/>
    <col min="7681" max="7681" width="5.33203125" style="242" customWidth="1"/>
    <col min="7682" max="7682" width="16.77734375" style="242" customWidth="1"/>
    <col min="7683" max="7685" width="14.77734375" style="242" customWidth="1"/>
    <col min="7686" max="7936" width="8.88671875" style="242"/>
    <col min="7937" max="7937" width="5.33203125" style="242" customWidth="1"/>
    <col min="7938" max="7938" width="16.77734375" style="242" customWidth="1"/>
    <col min="7939" max="7941" width="14.77734375" style="242" customWidth="1"/>
    <col min="7942" max="8192" width="8.88671875" style="242"/>
    <col min="8193" max="8193" width="5.33203125" style="242" customWidth="1"/>
    <col min="8194" max="8194" width="16.77734375" style="242" customWidth="1"/>
    <col min="8195" max="8197" width="14.77734375" style="242" customWidth="1"/>
    <col min="8198" max="8448" width="8.88671875" style="242"/>
    <col min="8449" max="8449" width="5.33203125" style="242" customWidth="1"/>
    <col min="8450" max="8450" width="16.77734375" style="242" customWidth="1"/>
    <col min="8451" max="8453" width="14.77734375" style="242" customWidth="1"/>
    <col min="8454" max="8704" width="8.88671875" style="242"/>
    <col min="8705" max="8705" width="5.33203125" style="242" customWidth="1"/>
    <col min="8706" max="8706" width="16.77734375" style="242" customWidth="1"/>
    <col min="8707" max="8709" width="14.77734375" style="242" customWidth="1"/>
    <col min="8710" max="8960" width="8.88671875" style="242"/>
    <col min="8961" max="8961" width="5.33203125" style="242" customWidth="1"/>
    <col min="8962" max="8962" width="16.77734375" style="242" customWidth="1"/>
    <col min="8963" max="8965" width="14.77734375" style="242" customWidth="1"/>
    <col min="8966" max="9216" width="8.88671875" style="242"/>
    <col min="9217" max="9217" width="5.33203125" style="242" customWidth="1"/>
    <col min="9218" max="9218" width="16.77734375" style="242" customWidth="1"/>
    <col min="9219" max="9221" width="14.77734375" style="242" customWidth="1"/>
    <col min="9222" max="9472" width="8.88671875" style="242"/>
    <col min="9473" max="9473" width="5.33203125" style="242" customWidth="1"/>
    <col min="9474" max="9474" width="16.77734375" style="242" customWidth="1"/>
    <col min="9475" max="9477" width="14.77734375" style="242" customWidth="1"/>
    <col min="9478" max="9728" width="8.88671875" style="242"/>
    <col min="9729" max="9729" width="5.33203125" style="242" customWidth="1"/>
    <col min="9730" max="9730" width="16.77734375" style="242" customWidth="1"/>
    <col min="9731" max="9733" width="14.77734375" style="242" customWidth="1"/>
    <col min="9734" max="9984" width="8.88671875" style="242"/>
    <col min="9985" max="9985" width="5.33203125" style="242" customWidth="1"/>
    <col min="9986" max="9986" width="16.77734375" style="242" customWidth="1"/>
    <col min="9987" max="9989" width="14.77734375" style="242" customWidth="1"/>
    <col min="9990" max="10240" width="8.88671875" style="242"/>
    <col min="10241" max="10241" width="5.33203125" style="242" customWidth="1"/>
    <col min="10242" max="10242" width="16.77734375" style="242" customWidth="1"/>
    <col min="10243" max="10245" width="14.77734375" style="242" customWidth="1"/>
    <col min="10246" max="10496" width="8.88671875" style="242"/>
    <col min="10497" max="10497" width="5.33203125" style="242" customWidth="1"/>
    <col min="10498" max="10498" width="16.77734375" style="242" customWidth="1"/>
    <col min="10499" max="10501" width="14.77734375" style="242" customWidth="1"/>
    <col min="10502" max="10752" width="8.88671875" style="242"/>
    <col min="10753" max="10753" width="5.33203125" style="242" customWidth="1"/>
    <col min="10754" max="10754" width="16.77734375" style="242" customWidth="1"/>
    <col min="10755" max="10757" width="14.77734375" style="242" customWidth="1"/>
    <col min="10758" max="11008" width="8.88671875" style="242"/>
    <col min="11009" max="11009" width="5.33203125" style="242" customWidth="1"/>
    <col min="11010" max="11010" width="16.77734375" style="242" customWidth="1"/>
    <col min="11011" max="11013" width="14.77734375" style="242" customWidth="1"/>
    <col min="11014" max="11264" width="8.88671875" style="242"/>
    <col min="11265" max="11265" width="5.33203125" style="242" customWidth="1"/>
    <col min="11266" max="11266" width="16.77734375" style="242" customWidth="1"/>
    <col min="11267" max="11269" width="14.77734375" style="242" customWidth="1"/>
    <col min="11270" max="11520" width="8.88671875" style="242"/>
    <col min="11521" max="11521" width="5.33203125" style="242" customWidth="1"/>
    <col min="11522" max="11522" width="16.77734375" style="242" customWidth="1"/>
    <col min="11523" max="11525" width="14.77734375" style="242" customWidth="1"/>
    <col min="11526" max="11776" width="8.88671875" style="242"/>
    <col min="11777" max="11777" width="5.33203125" style="242" customWidth="1"/>
    <col min="11778" max="11778" width="16.77734375" style="242" customWidth="1"/>
    <col min="11779" max="11781" width="14.77734375" style="242" customWidth="1"/>
    <col min="11782" max="12032" width="8.88671875" style="242"/>
    <col min="12033" max="12033" width="5.33203125" style="242" customWidth="1"/>
    <col min="12034" max="12034" width="16.77734375" style="242" customWidth="1"/>
    <col min="12035" max="12037" width="14.77734375" style="242" customWidth="1"/>
    <col min="12038" max="12288" width="8.88671875" style="242"/>
    <col min="12289" max="12289" width="5.33203125" style="242" customWidth="1"/>
    <col min="12290" max="12290" width="16.77734375" style="242" customWidth="1"/>
    <col min="12291" max="12293" width="14.77734375" style="242" customWidth="1"/>
    <col min="12294" max="12544" width="8.88671875" style="242"/>
    <col min="12545" max="12545" width="5.33203125" style="242" customWidth="1"/>
    <col min="12546" max="12546" width="16.77734375" style="242" customWidth="1"/>
    <col min="12547" max="12549" width="14.77734375" style="242" customWidth="1"/>
    <col min="12550" max="12800" width="8.88671875" style="242"/>
    <col min="12801" max="12801" width="5.33203125" style="242" customWidth="1"/>
    <col min="12802" max="12802" width="16.77734375" style="242" customWidth="1"/>
    <col min="12803" max="12805" width="14.77734375" style="242" customWidth="1"/>
    <col min="12806" max="13056" width="8.88671875" style="242"/>
    <col min="13057" max="13057" width="5.33203125" style="242" customWidth="1"/>
    <col min="13058" max="13058" width="16.77734375" style="242" customWidth="1"/>
    <col min="13059" max="13061" width="14.77734375" style="242" customWidth="1"/>
    <col min="13062" max="13312" width="8.88671875" style="242"/>
    <col min="13313" max="13313" width="5.33203125" style="242" customWidth="1"/>
    <col min="13314" max="13314" width="16.77734375" style="242" customWidth="1"/>
    <col min="13315" max="13317" width="14.77734375" style="242" customWidth="1"/>
    <col min="13318" max="13568" width="8.88671875" style="242"/>
    <col min="13569" max="13569" width="5.33203125" style="242" customWidth="1"/>
    <col min="13570" max="13570" width="16.77734375" style="242" customWidth="1"/>
    <col min="13571" max="13573" width="14.77734375" style="242" customWidth="1"/>
    <col min="13574" max="13824" width="8.88671875" style="242"/>
    <col min="13825" max="13825" width="5.33203125" style="242" customWidth="1"/>
    <col min="13826" max="13826" width="16.77734375" style="242" customWidth="1"/>
    <col min="13827" max="13829" width="14.77734375" style="242" customWidth="1"/>
    <col min="13830" max="14080" width="8.88671875" style="242"/>
    <col min="14081" max="14081" width="5.33203125" style="242" customWidth="1"/>
    <col min="14082" max="14082" width="16.77734375" style="242" customWidth="1"/>
    <col min="14083" max="14085" width="14.77734375" style="242" customWidth="1"/>
    <col min="14086" max="14336" width="8.88671875" style="242"/>
    <col min="14337" max="14337" width="5.33203125" style="242" customWidth="1"/>
    <col min="14338" max="14338" width="16.77734375" style="242" customWidth="1"/>
    <col min="14339" max="14341" width="14.77734375" style="242" customWidth="1"/>
    <col min="14342" max="14592" width="8.88671875" style="242"/>
    <col min="14593" max="14593" width="5.33203125" style="242" customWidth="1"/>
    <col min="14594" max="14594" width="16.77734375" style="242" customWidth="1"/>
    <col min="14595" max="14597" width="14.77734375" style="242" customWidth="1"/>
    <col min="14598" max="14848" width="8.88671875" style="242"/>
    <col min="14849" max="14849" width="5.33203125" style="242" customWidth="1"/>
    <col min="14850" max="14850" width="16.77734375" style="242" customWidth="1"/>
    <col min="14851" max="14853" width="14.77734375" style="242" customWidth="1"/>
    <col min="14854" max="15104" width="8.88671875" style="242"/>
    <col min="15105" max="15105" width="5.33203125" style="242" customWidth="1"/>
    <col min="15106" max="15106" width="16.77734375" style="242" customWidth="1"/>
    <col min="15107" max="15109" width="14.77734375" style="242" customWidth="1"/>
    <col min="15110" max="15360" width="8.88671875" style="242"/>
    <col min="15361" max="15361" width="5.33203125" style="242" customWidth="1"/>
    <col min="15362" max="15362" width="16.77734375" style="242" customWidth="1"/>
    <col min="15363" max="15365" width="14.77734375" style="242" customWidth="1"/>
    <col min="15366" max="15616" width="8.88671875" style="242"/>
    <col min="15617" max="15617" width="5.33203125" style="242" customWidth="1"/>
    <col min="15618" max="15618" width="16.77734375" style="242" customWidth="1"/>
    <col min="15619" max="15621" width="14.77734375" style="242" customWidth="1"/>
    <col min="15622" max="15872" width="8.88671875" style="242"/>
    <col min="15873" max="15873" width="5.33203125" style="242" customWidth="1"/>
    <col min="15874" max="15874" width="16.77734375" style="242" customWidth="1"/>
    <col min="15875" max="15877" width="14.77734375" style="242" customWidth="1"/>
    <col min="15878" max="16128" width="8.88671875" style="242"/>
    <col min="16129" max="16129" width="5.33203125" style="242" customWidth="1"/>
    <col min="16130" max="16130" width="16.77734375" style="242" customWidth="1"/>
    <col min="16131" max="16133" width="14.77734375" style="242" customWidth="1"/>
    <col min="16134" max="16384" width="8.88671875" style="242"/>
  </cols>
  <sheetData>
    <row r="1" spans="1:6" ht="24.95" customHeight="1">
      <c r="A1" s="243"/>
      <c r="B1" s="243" t="s">
        <v>1930</v>
      </c>
      <c r="C1" s="243"/>
      <c r="D1" s="243"/>
      <c r="E1" s="243"/>
      <c r="F1" s="243"/>
    </row>
    <row r="2" spans="1:6" ht="50.1" customHeight="1">
      <c r="A2" s="2199" t="s">
        <v>384</v>
      </c>
      <c r="B2" s="2199"/>
      <c r="C2" s="2199"/>
      <c r="D2" s="2199"/>
      <c r="E2" s="2199"/>
      <c r="F2" s="2199"/>
    </row>
    <row r="3" spans="1:6" ht="20.100000000000001" customHeight="1">
      <c r="A3" s="244"/>
      <c r="B3" s="244"/>
      <c r="C3" s="244"/>
      <c r="D3" s="244"/>
      <c r="E3" s="244"/>
      <c r="F3" s="244"/>
    </row>
    <row r="4" spans="1:6" ht="35.1" customHeight="1">
      <c r="A4" s="245"/>
      <c r="B4" s="2200" t="s">
        <v>385</v>
      </c>
      <c r="C4" s="2200"/>
      <c r="D4" s="246"/>
      <c r="E4" s="246"/>
      <c r="F4" s="247"/>
    </row>
    <row r="5" spans="1:6" ht="35.1" customHeight="1">
      <c r="A5" s="245"/>
      <c r="B5" s="246"/>
      <c r="C5" s="246"/>
      <c r="D5" s="248"/>
      <c r="E5" s="245"/>
      <c r="F5" s="249" t="s">
        <v>386</v>
      </c>
    </row>
    <row r="6" spans="1:6" ht="35.1" customHeight="1">
      <c r="A6" s="245"/>
      <c r="B6" s="250" t="s">
        <v>387</v>
      </c>
      <c r="C6" s="250" t="s">
        <v>388</v>
      </c>
      <c r="D6" s="251" t="s">
        <v>389</v>
      </c>
      <c r="E6" s="251" t="s">
        <v>390</v>
      </c>
      <c r="F6" s="251" t="s">
        <v>391</v>
      </c>
    </row>
    <row r="7" spans="1:6" ht="35.1" customHeight="1">
      <c r="A7" s="245"/>
      <c r="B7" s="252" t="s">
        <v>392</v>
      </c>
      <c r="C7" s="253">
        <v>4000000</v>
      </c>
      <c r="D7" s="254">
        <v>5000000</v>
      </c>
      <c r="E7" s="253">
        <v>6000000</v>
      </c>
      <c r="F7" s="255"/>
    </row>
    <row r="8" spans="1:6" ht="35.1" customHeight="1">
      <c r="A8" s="245"/>
      <c r="B8" s="252" t="s">
        <v>393</v>
      </c>
      <c r="C8" s="253">
        <v>5000000</v>
      </c>
      <c r="D8" s="256">
        <v>6000000</v>
      </c>
      <c r="E8" s="253">
        <v>7000000</v>
      </c>
      <c r="F8" s="255"/>
    </row>
    <row r="9" spans="1:6" ht="35.1" customHeight="1">
      <c r="A9" s="245"/>
      <c r="B9" s="252" t="s">
        <v>394</v>
      </c>
      <c r="C9" s="253">
        <v>6000000</v>
      </c>
      <c r="D9" s="253">
        <v>7000000</v>
      </c>
      <c r="E9" s="253">
        <v>8000000</v>
      </c>
      <c r="F9" s="255"/>
    </row>
    <row r="10" spans="1:6" ht="35.1" customHeight="1">
      <c r="A10" s="245"/>
      <c r="B10" s="252" t="s">
        <v>395</v>
      </c>
      <c r="C10" s="253">
        <v>7000000</v>
      </c>
      <c r="D10" s="253">
        <v>8000000</v>
      </c>
      <c r="E10" s="253">
        <v>9000000</v>
      </c>
      <c r="F10" s="255"/>
    </row>
    <row r="11" spans="1:6" ht="35.1" customHeight="1">
      <c r="A11" s="245"/>
      <c r="B11" s="252" t="s">
        <v>396</v>
      </c>
      <c r="C11" s="253">
        <v>8000000</v>
      </c>
      <c r="D11" s="253">
        <v>9000000</v>
      </c>
      <c r="E11" s="253">
        <v>10000000</v>
      </c>
      <c r="F11" s="255"/>
    </row>
    <row r="12" spans="1:6" ht="35.1" customHeight="1">
      <c r="A12" s="257"/>
      <c r="B12" s="258" t="s">
        <v>397</v>
      </c>
      <c r="C12" s="257"/>
      <c r="D12" s="257"/>
      <c r="E12" s="257"/>
      <c r="F12" s="257"/>
    </row>
    <row r="13" spans="1:6" ht="35.1" customHeight="1"/>
    <row r="14" spans="1:6" ht="35.1" customHeight="1"/>
    <row r="15" spans="1:6" ht="35.1" customHeight="1"/>
    <row r="16" spans="1:6" ht="35.1" customHeight="1"/>
    <row r="17" spans="1:1" ht="35.1" customHeight="1"/>
    <row r="18" spans="1:1" ht="35.1" customHeight="1"/>
    <row r="30" spans="1:1">
      <c r="A30" s="241"/>
    </row>
  </sheetData>
  <mergeCells count="2">
    <mergeCell ref="A2:F2"/>
    <mergeCell ref="B4:C4"/>
  </mergeCells>
  <phoneticPr fontId="18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>
    <tabColor theme="9" tint="-0.249977111117893"/>
  </sheetPr>
  <dimension ref="A1:G30"/>
  <sheetViews>
    <sheetView view="pageBreakPreview" zoomScaleNormal="100" zoomScaleSheetLayoutView="100" workbookViewId="0">
      <selection activeCell="A2" sqref="A2:K2"/>
    </sheetView>
  </sheetViews>
  <sheetFormatPr defaultRowHeight="14.25"/>
  <cols>
    <col min="1" max="1" width="5.33203125" style="242" customWidth="1"/>
    <col min="2" max="2" width="16.77734375" style="242" customWidth="1"/>
    <col min="3" max="5" width="14.77734375" style="242" customWidth="1"/>
    <col min="6" max="256" width="8.88671875" style="242"/>
    <col min="257" max="257" width="5.33203125" style="242" customWidth="1"/>
    <col min="258" max="258" width="16.77734375" style="242" customWidth="1"/>
    <col min="259" max="261" width="14.77734375" style="242" customWidth="1"/>
    <col min="262" max="512" width="8.88671875" style="242"/>
    <col min="513" max="513" width="5.33203125" style="242" customWidth="1"/>
    <col min="514" max="514" width="16.77734375" style="242" customWidth="1"/>
    <col min="515" max="517" width="14.77734375" style="242" customWidth="1"/>
    <col min="518" max="768" width="8.88671875" style="242"/>
    <col min="769" max="769" width="5.33203125" style="242" customWidth="1"/>
    <col min="770" max="770" width="16.77734375" style="242" customWidth="1"/>
    <col min="771" max="773" width="14.77734375" style="242" customWidth="1"/>
    <col min="774" max="1024" width="8.88671875" style="242"/>
    <col min="1025" max="1025" width="5.33203125" style="242" customWidth="1"/>
    <col min="1026" max="1026" width="16.77734375" style="242" customWidth="1"/>
    <col min="1027" max="1029" width="14.77734375" style="242" customWidth="1"/>
    <col min="1030" max="1280" width="8.88671875" style="242"/>
    <col min="1281" max="1281" width="5.33203125" style="242" customWidth="1"/>
    <col min="1282" max="1282" width="16.77734375" style="242" customWidth="1"/>
    <col min="1283" max="1285" width="14.77734375" style="242" customWidth="1"/>
    <col min="1286" max="1536" width="8.88671875" style="242"/>
    <col min="1537" max="1537" width="5.33203125" style="242" customWidth="1"/>
    <col min="1538" max="1538" width="16.77734375" style="242" customWidth="1"/>
    <col min="1539" max="1541" width="14.77734375" style="242" customWidth="1"/>
    <col min="1542" max="1792" width="8.88671875" style="242"/>
    <col min="1793" max="1793" width="5.33203125" style="242" customWidth="1"/>
    <col min="1794" max="1794" width="16.77734375" style="242" customWidth="1"/>
    <col min="1795" max="1797" width="14.77734375" style="242" customWidth="1"/>
    <col min="1798" max="2048" width="8.88671875" style="242"/>
    <col min="2049" max="2049" width="5.33203125" style="242" customWidth="1"/>
    <col min="2050" max="2050" width="16.77734375" style="242" customWidth="1"/>
    <col min="2051" max="2053" width="14.77734375" style="242" customWidth="1"/>
    <col min="2054" max="2304" width="8.88671875" style="242"/>
    <col min="2305" max="2305" width="5.33203125" style="242" customWidth="1"/>
    <col min="2306" max="2306" width="16.77734375" style="242" customWidth="1"/>
    <col min="2307" max="2309" width="14.77734375" style="242" customWidth="1"/>
    <col min="2310" max="2560" width="8.88671875" style="242"/>
    <col min="2561" max="2561" width="5.33203125" style="242" customWidth="1"/>
    <col min="2562" max="2562" width="16.77734375" style="242" customWidth="1"/>
    <col min="2563" max="2565" width="14.77734375" style="242" customWidth="1"/>
    <col min="2566" max="2816" width="8.88671875" style="242"/>
    <col min="2817" max="2817" width="5.33203125" style="242" customWidth="1"/>
    <col min="2818" max="2818" width="16.77734375" style="242" customWidth="1"/>
    <col min="2819" max="2821" width="14.77734375" style="242" customWidth="1"/>
    <col min="2822" max="3072" width="8.88671875" style="242"/>
    <col min="3073" max="3073" width="5.33203125" style="242" customWidth="1"/>
    <col min="3074" max="3074" width="16.77734375" style="242" customWidth="1"/>
    <col min="3075" max="3077" width="14.77734375" style="242" customWidth="1"/>
    <col min="3078" max="3328" width="8.88671875" style="242"/>
    <col min="3329" max="3329" width="5.33203125" style="242" customWidth="1"/>
    <col min="3330" max="3330" width="16.77734375" style="242" customWidth="1"/>
    <col min="3331" max="3333" width="14.77734375" style="242" customWidth="1"/>
    <col min="3334" max="3584" width="8.88671875" style="242"/>
    <col min="3585" max="3585" width="5.33203125" style="242" customWidth="1"/>
    <col min="3586" max="3586" width="16.77734375" style="242" customWidth="1"/>
    <col min="3587" max="3589" width="14.77734375" style="242" customWidth="1"/>
    <col min="3590" max="3840" width="8.88671875" style="242"/>
    <col min="3841" max="3841" width="5.33203125" style="242" customWidth="1"/>
    <col min="3842" max="3842" width="16.77734375" style="242" customWidth="1"/>
    <col min="3843" max="3845" width="14.77734375" style="242" customWidth="1"/>
    <col min="3846" max="4096" width="8.88671875" style="242"/>
    <col min="4097" max="4097" width="5.33203125" style="242" customWidth="1"/>
    <col min="4098" max="4098" width="16.77734375" style="242" customWidth="1"/>
    <col min="4099" max="4101" width="14.77734375" style="242" customWidth="1"/>
    <col min="4102" max="4352" width="8.88671875" style="242"/>
    <col min="4353" max="4353" width="5.33203125" style="242" customWidth="1"/>
    <col min="4354" max="4354" width="16.77734375" style="242" customWidth="1"/>
    <col min="4355" max="4357" width="14.77734375" style="242" customWidth="1"/>
    <col min="4358" max="4608" width="8.88671875" style="242"/>
    <col min="4609" max="4609" width="5.33203125" style="242" customWidth="1"/>
    <col min="4610" max="4610" width="16.77734375" style="242" customWidth="1"/>
    <col min="4611" max="4613" width="14.77734375" style="242" customWidth="1"/>
    <col min="4614" max="4864" width="8.88671875" style="242"/>
    <col min="4865" max="4865" width="5.33203125" style="242" customWidth="1"/>
    <col min="4866" max="4866" width="16.77734375" style="242" customWidth="1"/>
    <col min="4867" max="4869" width="14.77734375" style="242" customWidth="1"/>
    <col min="4870" max="5120" width="8.88671875" style="242"/>
    <col min="5121" max="5121" width="5.33203125" style="242" customWidth="1"/>
    <col min="5122" max="5122" width="16.77734375" style="242" customWidth="1"/>
    <col min="5123" max="5125" width="14.77734375" style="242" customWidth="1"/>
    <col min="5126" max="5376" width="8.88671875" style="242"/>
    <col min="5377" max="5377" width="5.33203125" style="242" customWidth="1"/>
    <col min="5378" max="5378" width="16.77734375" style="242" customWidth="1"/>
    <col min="5379" max="5381" width="14.77734375" style="242" customWidth="1"/>
    <col min="5382" max="5632" width="8.88671875" style="242"/>
    <col min="5633" max="5633" width="5.33203125" style="242" customWidth="1"/>
    <col min="5634" max="5634" width="16.77734375" style="242" customWidth="1"/>
    <col min="5635" max="5637" width="14.77734375" style="242" customWidth="1"/>
    <col min="5638" max="5888" width="8.88671875" style="242"/>
    <col min="5889" max="5889" width="5.33203125" style="242" customWidth="1"/>
    <col min="5890" max="5890" width="16.77734375" style="242" customWidth="1"/>
    <col min="5891" max="5893" width="14.77734375" style="242" customWidth="1"/>
    <col min="5894" max="6144" width="8.88671875" style="242"/>
    <col min="6145" max="6145" width="5.33203125" style="242" customWidth="1"/>
    <col min="6146" max="6146" width="16.77734375" style="242" customWidth="1"/>
    <col min="6147" max="6149" width="14.77734375" style="242" customWidth="1"/>
    <col min="6150" max="6400" width="8.88671875" style="242"/>
    <col min="6401" max="6401" width="5.33203125" style="242" customWidth="1"/>
    <col min="6402" max="6402" width="16.77734375" style="242" customWidth="1"/>
    <col min="6403" max="6405" width="14.77734375" style="242" customWidth="1"/>
    <col min="6406" max="6656" width="8.88671875" style="242"/>
    <col min="6657" max="6657" width="5.33203125" style="242" customWidth="1"/>
    <col min="6658" max="6658" width="16.77734375" style="242" customWidth="1"/>
    <col min="6659" max="6661" width="14.77734375" style="242" customWidth="1"/>
    <col min="6662" max="6912" width="8.88671875" style="242"/>
    <col min="6913" max="6913" width="5.33203125" style="242" customWidth="1"/>
    <col min="6914" max="6914" width="16.77734375" style="242" customWidth="1"/>
    <col min="6915" max="6917" width="14.77734375" style="242" customWidth="1"/>
    <col min="6918" max="7168" width="8.88671875" style="242"/>
    <col min="7169" max="7169" width="5.33203125" style="242" customWidth="1"/>
    <col min="7170" max="7170" width="16.77734375" style="242" customWidth="1"/>
    <col min="7171" max="7173" width="14.77734375" style="242" customWidth="1"/>
    <col min="7174" max="7424" width="8.88671875" style="242"/>
    <col min="7425" max="7425" width="5.33203125" style="242" customWidth="1"/>
    <col min="7426" max="7426" width="16.77734375" style="242" customWidth="1"/>
    <col min="7427" max="7429" width="14.77734375" style="242" customWidth="1"/>
    <col min="7430" max="7680" width="8.88671875" style="242"/>
    <col min="7681" max="7681" width="5.33203125" style="242" customWidth="1"/>
    <col min="7682" max="7682" width="16.77734375" style="242" customWidth="1"/>
    <col min="7683" max="7685" width="14.77734375" style="242" customWidth="1"/>
    <col min="7686" max="7936" width="8.88671875" style="242"/>
    <col min="7937" max="7937" width="5.33203125" style="242" customWidth="1"/>
    <col min="7938" max="7938" width="16.77734375" style="242" customWidth="1"/>
    <col min="7939" max="7941" width="14.77734375" style="242" customWidth="1"/>
    <col min="7942" max="8192" width="8.88671875" style="242"/>
    <col min="8193" max="8193" width="5.33203125" style="242" customWidth="1"/>
    <col min="8194" max="8194" width="16.77734375" style="242" customWidth="1"/>
    <col min="8195" max="8197" width="14.77734375" style="242" customWidth="1"/>
    <col min="8198" max="8448" width="8.88671875" style="242"/>
    <col min="8449" max="8449" width="5.33203125" style="242" customWidth="1"/>
    <col min="8450" max="8450" width="16.77734375" style="242" customWidth="1"/>
    <col min="8451" max="8453" width="14.77734375" style="242" customWidth="1"/>
    <col min="8454" max="8704" width="8.88671875" style="242"/>
    <col min="8705" max="8705" width="5.33203125" style="242" customWidth="1"/>
    <col min="8706" max="8706" width="16.77734375" style="242" customWidth="1"/>
    <col min="8707" max="8709" width="14.77734375" style="242" customWidth="1"/>
    <col min="8710" max="8960" width="8.88671875" style="242"/>
    <col min="8961" max="8961" width="5.33203125" style="242" customWidth="1"/>
    <col min="8962" max="8962" width="16.77734375" style="242" customWidth="1"/>
    <col min="8963" max="8965" width="14.77734375" style="242" customWidth="1"/>
    <col min="8966" max="9216" width="8.88671875" style="242"/>
    <col min="9217" max="9217" width="5.33203125" style="242" customWidth="1"/>
    <col min="9218" max="9218" width="16.77734375" style="242" customWidth="1"/>
    <col min="9219" max="9221" width="14.77734375" style="242" customWidth="1"/>
    <col min="9222" max="9472" width="8.88671875" style="242"/>
    <col min="9473" max="9473" width="5.33203125" style="242" customWidth="1"/>
    <col min="9474" max="9474" width="16.77734375" style="242" customWidth="1"/>
    <col min="9475" max="9477" width="14.77734375" style="242" customWidth="1"/>
    <col min="9478" max="9728" width="8.88671875" style="242"/>
    <col min="9729" max="9729" width="5.33203125" style="242" customWidth="1"/>
    <col min="9730" max="9730" width="16.77734375" style="242" customWidth="1"/>
    <col min="9731" max="9733" width="14.77734375" style="242" customWidth="1"/>
    <col min="9734" max="9984" width="8.88671875" style="242"/>
    <col min="9985" max="9985" width="5.33203125" style="242" customWidth="1"/>
    <col min="9986" max="9986" width="16.77734375" style="242" customWidth="1"/>
    <col min="9987" max="9989" width="14.77734375" style="242" customWidth="1"/>
    <col min="9990" max="10240" width="8.88671875" style="242"/>
    <col min="10241" max="10241" width="5.33203125" style="242" customWidth="1"/>
    <col min="10242" max="10242" width="16.77734375" style="242" customWidth="1"/>
    <col min="10243" max="10245" width="14.77734375" style="242" customWidth="1"/>
    <col min="10246" max="10496" width="8.88671875" style="242"/>
    <col min="10497" max="10497" width="5.33203125" style="242" customWidth="1"/>
    <col min="10498" max="10498" width="16.77734375" style="242" customWidth="1"/>
    <col min="10499" max="10501" width="14.77734375" style="242" customWidth="1"/>
    <col min="10502" max="10752" width="8.88671875" style="242"/>
    <col min="10753" max="10753" width="5.33203125" style="242" customWidth="1"/>
    <col min="10754" max="10754" width="16.77734375" style="242" customWidth="1"/>
    <col min="10755" max="10757" width="14.77734375" style="242" customWidth="1"/>
    <col min="10758" max="11008" width="8.88671875" style="242"/>
    <col min="11009" max="11009" width="5.33203125" style="242" customWidth="1"/>
    <col min="11010" max="11010" width="16.77734375" style="242" customWidth="1"/>
    <col min="11011" max="11013" width="14.77734375" style="242" customWidth="1"/>
    <col min="11014" max="11264" width="8.88671875" style="242"/>
    <col min="11265" max="11265" width="5.33203125" style="242" customWidth="1"/>
    <col min="11266" max="11266" width="16.77734375" style="242" customWidth="1"/>
    <col min="11267" max="11269" width="14.77734375" style="242" customWidth="1"/>
    <col min="11270" max="11520" width="8.88671875" style="242"/>
    <col min="11521" max="11521" width="5.33203125" style="242" customWidth="1"/>
    <col min="11522" max="11522" width="16.77734375" style="242" customWidth="1"/>
    <col min="11523" max="11525" width="14.77734375" style="242" customWidth="1"/>
    <col min="11526" max="11776" width="8.88671875" style="242"/>
    <col min="11777" max="11777" width="5.33203125" style="242" customWidth="1"/>
    <col min="11778" max="11778" width="16.77734375" style="242" customWidth="1"/>
    <col min="11779" max="11781" width="14.77734375" style="242" customWidth="1"/>
    <col min="11782" max="12032" width="8.88671875" style="242"/>
    <col min="12033" max="12033" width="5.33203125" style="242" customWidth="1"/>
    <col min="12034" max="12034" width="16.77734375" style="242" customWidth="1"/>
    <col min="12035" max="12037" width="14.77734375" style="242" customWidth="1"/>
    <col min="12038" max="12288" width="8.88671875" style="242"/>
    <col min="12289" max="12289" width="5.33203125" style="242" customWidth="1"/>
    <col min="12290" max="12290" width="16.77734375" style="242" customWidth="1"/>
    <col min="12291" max="12293" width="14.77734375" style="242" customWidth="1"/>
    <col min="12294" max="12544" width="8.88671875" style="242"/>
    <col min="12545" max="12545" width="5.33203125" style="242" customWidth="1"/>
    <col min="12546" max="12546" width="16.77734375" style="242" customWidth="1"/>
    <col min="12547" max="12549" width="14.77734375" style="242" customWidth="1"/>
    <col min="12550" max="12800" width="8.88671875" style="242"/>
    <col min="12801" max="12801" width="5.33203125" style="242" customWidth="1"/>
    <col min="12802" max="12802" width="16.77734375" style="242" customWidth="1"/>
    <col min="12803" max="12805" width="14.77734375" style="242" customWidth="1"/>
    <col min="12806" max="13056" width="8.88671875" style="242"/>
    <col min="13057" max="13057" width="5.33203125" style="242" customWidth="1"/>
    <col min="13058" max="13058" width="16.77734375" style="242" customWidth="1"/>
    <col min="13059" max="13061" width="14.77734375" style="242" customWidth="1"/>
    <col min="13062" max="13312" width="8.88671875" style="242"/>
    <col min="13313" max="13313" width="5.33203125" style="242" customWidth="1"/>
    <col min="13314" max="13314" width="16.77734375" style="242" customWidth="1"/>
    <col min="13315" max="13317" width="14.77734375" style="242" customWidth="1"/>
    <col min="13318" max="13568" width="8.88671875" style="242"/>
    <col min="13569" max="13569" width="5.33203125" style="242" customWidth="1"/>
    <col min="13570" max="13570" width="16.77734375" style="242" customWidth="1"/>
    <col min="13571" max="13573" width="14.77734375" style="242" customWidth="1"/>
    <col min="13574" max="13824" width="8.88671875" style="242"/>
    <col min="13825" max="13825" width="5.33203125" style="242" customWidth="1"/>
    <col min="13826" max="13826" width="16.77734375" style="242" customWidth="1"/>
    <col min="13827" max="13829" width="14.77734375" style="242" customWidth="1"/>
    <col min="13830" max="14080" width="8.88671875" style="242"/>
    <col min="14081" max="14081" width="5.33203125" style="242" customWidth="1"/>
    <col min="14082" max="14082" width="16.77734375" style="242" customWidth="1"/>
    <col min="14083" max="14085" width="14.77734375" style="242" customWidth="1"/>
    <col min="14086" max="14336" width="8.88671875" style="242"/>
    <col min="14337" max="14337" width="5.33203125" style="242" customWidth="1"/>
    <col min="14338" max="14338" width="16.77734375" style="242" customWidth="1"/>
    <col min="14339" max="14341" width="14.77734375" style="242" customWidth="1"/>
    <col min="14342" max="14592" width="8.88671875" style="242"/>
    <col min="14593" max="14593" width="5.33203125" style="242" customWidth="1"/>
    <col min="14594" max="14594" width="16.77734375" style="242" customWidth="1"/>
    <col min="14595" max="14597" width="14.77734375" style="242" customWidth="1"/>
    <col min="14598" max="14848" width="8.88671875" style="242"/>
    <col min="14849" max="14849" width="5.33203125" style="242" customWidth="1"/>
    <col min="14850" max="14850" width="16.77734375" style="242" customWidth="1"/>
    <col min="14851" max="14853" width="14.77734375" style="242" customWidth="1"/>
    <col min="14854" max="15104" width="8.88671875" style="242"/>
    <col min="15105" max="15105" width="5.33203125" style="242" customWidth="1"/>
    <col min="15106" max="15106" width="16.77734375" style="242" customWidth="1"/>
    <col min="15107" max="15109" width="14.77734375" style="242" customWidth="1"/>
    <col min="15110" max="15360" width="8.88671875" style="242"/>
    <col min="15361" max="15361" width="5.33203125" style="242" customWidth="1"/>
    <col min="15362" max="15362" width="16.77734375" style="242" customWidth="1"/>
    <col min="15363" max="15365" width="14.77734375" style="242" customWidth="1"/>
    <col min="15366" max="15616" width="8.88671875" style="242"/>
    <col min="15617" max="15617" width="5.33203125" style="242" customWidth="1"/>
    <col min="15618" max="15618" width="16.77734375" style="242" customWidth="1"/>
    <col min="15619" max="15621" width="14.77734375" style="242" customWidth="1"/>
    <col min="15622" max="15872" width="8.88671875" style="242"/>
    <col min="15873" max="15873" width="5.33203125" style="242" customWidth="1"/>
    <col min="15874" max="15874" width="16.77734375" style="242" customWidth="1"/>
    <col min="15875" max="15877" width="14.77734375" style="242" customWidth="1"/>
    <col min="15878" max="16128" width="8.88671875" style="242"/>
    <col min="16129" max="16129" width="5.33203125" style="242" customWidth="1"/>
    <col min="16130" max="16130" width="16.77734375" style="242" customWidth="1"/>
    <col min="16131" max="16133" width="14.77734375" style="242" customWidth="1"/>
    <col min="16134" max="16384" width="8.88671875" style="242"/>
  </cols>
  <sheetData>
    <row r="1" spans="1:7" ht="24.95" customHeight="1">
      <c r="A1" s="243"/>
      <c r="B1" s="243" t="s">
        <v>1928</v>
      </c>
      <c r="C1" s="243"/>
      <c r="D1" s="243"/>
      <c r="E1" s="243"/>
      <c r="F1" s="243"/>
      <c r="G1" s="243" t="s">
        <v>1929</v>
      </c>
    </row>
    <row r="2" spans="1:7" ht="50.1" customHeight="1"/>
    <row r="3" spans="1:7" ht="20.100000000000001" customHeight="1"/>
    <row r="4" spans="1:7" ht="35.1" customHeight="1"/>
    <row r="5" spans="1:7" ht="35.1" customHeight="1"/>
    <row r="6" spans="1:7" ht="35.1" customHeight="1"/>
    <row r="7" spans="1:7" ht="35.1" customHeight="1"/>
    <row r="8" spans="1:7" ht="35.1" customHeight="1"/>
    <row r="9" spans="1:7" ht="35.1" customHeight="1"/>
    <row r="10" spans="1:7" ht="35.1" customHeight="1"/>
    <row r="11" spans="1:7" ht="35.1" customHeight="1"/>
    <row r="12" spans="1:7" ht="35.1" customHeight="1"/>
    <row r="13" spans="1:7" ht="35.1" customHeight="1"/>
    <row r="14" spans="1:7" ht="35.1" customHeight="1"/>
    <row r="15" spans="1:7" ht="35.1" customHeight="1"/>
    <row r="16" spans="1:7" ht="35.1" customHeight="1"/>
    <row r="17" spans="1:1" ht="35.1" customHeight="1"/>
    <row r="18" spans="1:1" ht="35.1" customHeight="1"/>
    <row r="30" spans="1:1">
      <c r="A30" s="241"/>
    </row>
  </sheetData>
  <phoneticPr fontId="18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5">
    <tabColor theme="6"/>
  </sheetPr>
  <dimension ref="A1:O57"/>
  <sheetViews>
    <sheetView view="pageBreakPreview" zoomScale="70" zoomScaleNormal="100" zoomScaleSheetLayoutView="70" workbookViewId="0">
      <pane xSplit="4" ySplit="2" topLeftCell="E3" activePane="bottomRight" state="frozen"/>
      <selection activeCell="A4" sqref="A4"/>
      <selection pane="topRight" activeCell="A4" sqref="A4"/>
      <selection pane="bottomLeft" activeCell="A4" sqref="A4"/>
      <selection pane="bottomRight" activeCell="A4" sqref="A4"/>
    </sheetView>
  </sheetViews>
  <sheetFormatPr defaultColWidth="8.77734375" defaultRowHeight="24.95" customHeight="1"/>
  <cols>
    <col min="1" max="1" width="4.88671875" style="47" customWidth="1"/>
    <col min="2" max="2" width="22.6640625" style="36" customWidth="1"/>
    <col min="3" max="3" width="12.6640625" style="36" customWidth="1"/>
    <col min="4" max="4" width="6.44140625" style="36" bestFit="1" customWidth="1"/>
    <col min="5" max="5" width="10.88671875" style="36" bestFit="1" customWidth="1"/>
    <col min="6" max="6" width="6.21875" style="66" customWidth="1"/>
    <col min="7" max="7" width="16.44140625" style="66" bestFit="1" customWidth="1"/>
    <col min="8" max="8" width="12.21875" style="66" customWidth="1"/>
    <col min="9" max="9" width="11.88671875" style="66" customWidth="1"/>
    <col min="10" max="10" width="14.44140625" style="66" bestFit="1" customWidth="1"/>
    <col min="11" max="11" width="15.77734375" style="66" bestFit="1" customWidth="1"/>
    <col min="12" max="12" width="12.21875" style="66" customWidth="1"/>
    <col min="13" max="13" width="13" style="66" customWidth="1"/>
    <col min="14" max="14" width="6.77734375" style="36" customWidth="1"/>
    <col min="15" max="15" width="11.21875" style="36" bestFit="1" customWidth="1"/>
    <col min="16" max="16" width="13.77734375" style="36" bestFit="1" customWidth="1"/>
    <col min="17" max="17" width="11.6640625" style="36" bestFit="1" customWidth="1"/>
    <col min="18" max="257" width="8.77734375" style="36"/>
    <col min="258" max="258" width="20.6640625" style="36" customWidth="1"/>
    <col min="259" max="259" width="12.6640625" style="36" customWidth="1"/>
    <col min="260" max="260" width="6.77734375" style="36" customWidth="1"/>
    <col min="261" max="261" width="5.77734375" style="36" customWidth="1"/>
    <col min="262" max="262" width="6.21875" style="36" customWidth="1"/>
    <col min="263" max="263" width="14.77734375" style="36" customWidth="1"/>
    <col min="264" max="264" width="12.21875" style="36" customWidth="1"/>
    <col min="265" max="265" width="11.88671875" style="36" customWidth="1"/>
    <col min="266" max="266" width="12.21875" style="36" customWidth="1"/>
    <col min="267" max="267" width="13" style="36" customWidth="1"/>
    <col min="268" max="268" width="12.21875" style="36" customWidth="1"/>
    <col min="269" max="269" width="13" style="36" customWidth="1"/>
    <col min="270" max="270" width="6.77734375" style="36" customWidth="1"/>
    <col min="271" max="271" width="11.21875" style="36" bestFit="1" customWidth="1"/>
    <col min="272" max="272" width="13.77734375" style="36" bestFit="1" customWidth="1"/>
    <col min="273" max="273" width="11.6640625" style="36" bestFit="1" customWidth="1"/>
    <col min="274" max="513" width="8.77734375" style="36"/>
    <col min="514" max="514" width="20.6640625" style="36" customWidth="1"/>
    <col min="515" max="515" width="12.6640625" style="36" customWidth="1"/>
    <col min="516" max="516" width="6.77734375" style="36" customWidth="1"/>
    <col min="517" max="517" width="5.77734375" style="36" customWidth="1"/>
    <col min="518" max="518" width="6.21875" style="36" customWidth="1"/>
    <col min="519" max="519" width="14.77734375" style="36" customWidth="1"/>
    <col min="520" max="520" width="12.21875" style="36" customWidth="1"/>
    <col min="521" max="521" width="11.88671875" style="36" customWidth="1"/>
    <col min="522" max="522" width="12.21875" style="36" customWidth="1"/>
    <col min="523" max="523" width="13" style="36" customWidth="1"/>
    <col min="524" max="524" width="12.21875" style="36" customWidth="1"/>
    <col min="525" max="525" width="13" style="36" customWidth="1"/>
    <col min="526" max="526" width="6.77734375" style="36" customWidth="1"/>
    <col min="527" max="527" width="11.21875" style="36" bestFit="1" customWidth="1"/>
    <col min="528" max="528" width="13.77734375" style="36" bestFit="1" customWidth="1"/>
    <col min="529" max="529" width="11.6640625" style="36" bestFit="1" customWidth="1"/>
    <col min="530" max="769" width="8.77734375" style="36"/>
    <col min="770" max="770" width="20.6640625" style="36" customWidth="1"/>
    <col min="771" max="771" width="12.6640625" style="36" customWidth="1"/>
    <col min="772" max="772" width="6.77734375" style="36" customWidth="1"/>
    <col min="773" max="773" width="5.77734375" style="36" customWidth="1"/>
    <col min="774" max="774" width="6.21875" style="36" customWidth="1"/>
    <col min="775" max="775" width="14.77734375" style="36" customWidth="1"/>
    <col min="776" max="776" width="12.21875" style="36" customWidth="1"/>
    <col min="777" max="777" width="11.88671875" style="36" customWidth="1"/>
    <col min="778" max="778" width="12.21875" style="36" customWidth="1"/>
    <col min="779" max="779" width="13" style="36" customWidth="1"/>
    <col min="780" max="780" width="12.21875" style="36" customWidth="1"/>
    <col min="781" max="781" width="13" style="36" customWidth="1"/>
    <col min="782" max="782" width="6.77734375" style="36" customWidth="1"/>
    <col min="783" max="783" width="11.21875" style="36" bestFit="1" customWidth="1"/>
    <col min="784" max="784" width="13.77734375" style="36" bestFit="1" customWidth="1"/>
    <col min="785" max="785" width="11.6640625" style="36" bestFit="1" customWidth="1"/>
    <col min="786" max="1025" width="8.77734375" style="36"/>
    <col min="1026" max="1026" width="20.6640625" style="36" customWidth="1"/>
    <col min="1027" max="1027" width="12.6640625" style="36" customWidth="1"/>
    <col min="1028" max="1028" width="6.77734375" style="36" customWidth="1"/>
    <col min="1029" max="1029" width="5.77734375" style="36" customWidth="1"/>
    <col min="1030" max="1030" width="6.21875" style="36" customWidth="1"/>
    <col min="1031" max="1031" width="14.77734375" style="36" customWidth="1"/>
    <col min="1032" max="1032" width="12.21875" style="36" customWidth="1"/>
    <col min="1033" max="1033" width="11.88671875" style="36" customWidth="1"/>
    <col min="1034" max="1034" width="12.21875" style="36" customWidth="1"/>
    <col min="1035" max="1035" width="13" style="36" customWidth="1"/>
    <col min="1036" max="1036" width="12.21875" style="36" customWidth="1"/>
    <col min="1037" max="1037" width="13" style="36" customWidth="1"/>
    <col min="1038" max="1038" width="6.77734375" style="36" customWidth="1"/>
    <col min="1039" max="1039" width="11.21875" style="36" bestFit="1" customWidth="1"/>
    <col min="1040" max="1040" width="13.77734375" style="36" bestFit="1" customWidth="1"/>
    <col min="1041" max="1041" width="11.6640625" style="36" bestFit="1" customWidth="1"/>
    <col min="1042" max="1281" width="8.77734375" style="36"/>
    <col min="1282" max="1282" width="20.6640625" style="36" customWidth="1"/>
    <col min="1283" max="1283" width="12.6640625" style="36" customWidth="1"/>
    <col min="1284" max="1284" width="6.77734375" style="36" customWidth="1"/>
    <col min="1285" max="1285" width="5.77734375" style="36" customWidth="1"/>
    <col min="1286" max="1286" width="6.21875" style="36" customWidth="1"/>
    <col min="1287" max="1287" width="14.77734375" style="36" customWidth="1"/>
    <col min="1288" max="1288" width="12.21875" style="36" customWidth="1"/>
    <col min="1289" max="1289" width="11.88671875" style="36" customWidth="1"/>
    <col min="1290" max="1290" width="12.21875" style="36" customWidth="1"/>
    <col min="1291" max="1291" width="13" style="36" customWidth="1"/>
    <col min="1292" max="1292" width="12.21875" style="36" customWidth="1"/>
    <col min="1293" max="1293" width="13" style="36" customWidth="1"/>
    <col min="1294" max="1294" width="6.77734375" style="36" customWidth="1"/>
    <col min="1295" max="1295" width="11.21875" style="36" bestFit="1" customWidth="1"/>
    <col min="1296" max="1296" width="13.77734375" style="36" bestFit="1" customWidth="1"/>
    <col min="1297" max="1297" width="11.6640625" style="36" bestFit="1" customWidth="1"/>
    <col min="1298" max="1537" width="8.77734375" style="36"/>
    <col min="1538" max="1538" width="20.6640625" style="36" customWidth="1"/>
    <col min="1539" max="1539" width="12.6640625" style="36" customWidth="1"/>
    <col min="1540" max="1540" width="6.77734375" style="36" customWidth="1"/>
    <col min="1541" max="1541" width="5.77734375" style="36" customWidth="1"/>
    <col min="1542" max="1542" width="6.21875" style="36" customWidth="1"/>
    <col min="1543" max="1543" width="14.77734375" style="36" customWidth="1"/>
    <col min="1544" max="1544" width="12.21875" style="36" customWidth="1"/>
    <col min="1545" max="1545" width="11.88671875" style="36" customWidth="1"/>
    <col min="1546" max="1546" width="12.21875" style="36" customWidth="1"/>
    <col min="1547" max="1547" width="13" style="36" customWidth="1"/>
    <col min="1548" max="1548" width="12.21875" style="36" customWidth="1"/>
    <col min="1549" max="1549" width="13" style="36" customWidth="1"/>
    <col min="1550" max="1550" width="6.77734375" style="36" customWidth="1"/>
    <col min="1551" max="1551" width="11.21875" style="36" bestFit="1" customWidth="1"/>
    <col min="1552" max="1552" width="13.77734375" style="36" bestFit="1" customWidth="1"/>
    <col min="1553" max="1553" width="11.6640625" style="36" bestFit="1" customWidth="1"/>
    <col min="1554" max="1793" width="8.77734375" style="36"/>
    <col min="1794" max="1794" width="20.6640625" style="36" customWidth="1"/>
    <col min="1795" max="1795" width="12.6640625" style="36" customWidth="1"/>
    <col min="1796" max="1796" width="6.77734375" style="36" customWidth="1"/>
    <col min="1797" max="1797" width="5.77734375" style="36" customWidth="1"/>
    <col min="1798" max="1798" width="6.21875" style="36" customWidth="1"/>
    <col min="1799" max="1799" width="14.77734375" style="36" customWidth="1"/>
    <col min="1800" max="1800" width="12.21875" style="36" customWidth="1"/>
    <col min="1801" max="1801" width="11.88671875" style="36" customWidth="1"/>
    <col min="1802" max="1802" width="12.21875" style="36" customWidth="1"/>
    <col min="1803" max="1803" width="13" style="36" customWidth="1"/>
    <col min="1804" max="1804" width="12.21875" style="36" customWidth="1"/>
    <col min="1805" max="1805" width="13" style="36" customWidth="1"/>
    <col min="1806" max="1806" width="6.77734375" style="36" customWidth="1"/>
    <col min="1807" max="1807" width="11.21875" style="36" bestFit="1" customWidth="1"/>
    <col min="1808" max="1808" width="13.77734375" style="36" bestFit="1" customWidth="1"/>
    <col min="1809" max="1809" width="11.6640625" style="36" bestFit="1" customWidth="1"/>
    <col min="1810" max="2049" width="8.77734375" style="36"/>
    <col min="2050" max="2050" width="20.6640625" style="36" customWidth="1"/>
    <col min="2051" max="2051" width="12.6640625" style="36" customWidth="1"/>
    <col min="2052" max="2052" width="6.77734375" style="36" customWidth="1"/>
    <col min="2053" max="2053" width="5.77734375" style="36" customWidth="1"/>
    <col min="2054" max="2054" width="6.21875" style="36" customWidth="1"/>
    <col min="2055" max="2055" width="14.77734375" style="36" customWidth="1"/>
    <col min="2056" max="2056" width="12.21875" style="36" customWidth="1"/>
    <col min="2057" max="2057" width="11.88671875" style="36" customWidth="1"/>
    <col min="2058" max="2058" width="12.21875" style="36" customWidth="1"/>
    <col min="2059" max="2059" width="13" style="36" customWidth="1"/>
    <col min="2060" max="2060" width="12.21875" style="36" customWidth="1"/>
    <col min="2061" max="2061" width="13" style="36" customWidth="1"/>
    <col min="2062" max="2062" width="6.77734375" style="36" customWidth="1"/>
    <col min="2063" max="2063" width="11.21875" style="36" bestFit="1" customWidth="1"/>
    <col min="2064" max="2064" width="13.77734375" style="36" bestFit="1" customWidth="1"/>
    <col min="2065" max="2065" width="11.6640625" style="36" bestFit="1" customWidth="1"/>
    <col min="2066" max="2305" width="8.77734375" style="36"/>
    <col min="2306" max="2306" width="20.6640625" style="36" customWidth="1"/>
    <col min="2307" max="2307" width="12.6640625" style="36" customWidth="1"/>
    <col min="2308" max="2308" width="6.77734375" style="36" customWidth="1"/>
    <col min="2309" max="2309" width="5.77734375" style="36" customWidth="1"/>
    <col min="2310" max="2310" width="6.21875" style="36" customWidth="1"/>
    <col min="2311" max="2311" width="14.77734375" style="36" customWidth="1"/>
    <col min="2312" max="2312" width="12.21875" style="36" customWidth="1"/>
    <col min="2313" max="2313" width="11.88671875" style="36" customWidth="1"/>
    <col min="2314" max="2314" width="12.21875" style="36" customWidth="1"/>
    <col min="2315" max="2315" width="13" style="36" customWidth="1"/>
    <col min="2316" max="2316" width="12.21875" style="36" customWidth="1"/>
    <col min="2317" max="2317" width="13" style="36" customWidth="1"/>
    <col min="2318" max="2318" width="6.77734375" style="36" customWidth="1"/>
    <col min="2319" max="2319" width="11.21875" style="36" bestFit="1" customWidth="1"/>
    <col min="2320" max="2320" width="13.77734375" style="36" bestFit="1" customWidth="1"/>
    <col min="2321" max="2321" width="11.6640625" style="36" bestFit="1" customWidth="1"/>
    <col min="2322" max="2561" width="8.77734375" style="36"/>
    <col min="2562" max="2562" width="20.6640625" style="36" customWidth="1"/>
    <col min="2563" max="2563" width="12.6640625" style="36" customWidth="1"/>
    <col min="2564" max="2564" width="6.77734375" style="36" customWidth="1"/>
    <col min="2565" max="2565" width="5.77734375" style="36" customWidth="1"/>
    <col min="2566" max="2566" width="6.21875" style="36" customWidth="1"/>
    <col min="2567" max="2567" width="14.77734375" style="36" customWidth="1"/>
    <col min="2568" max="2568" width="12.21875" style="36" customWidth="1"/>
    <col min="2569" max="2569" width="11.88671875" style="36" customWidth="1"/>
    <col min="2570" max="2570" width="12.21875" style="36" customWidth="1"/>
    <col min="2571" max="2571" width="13" style="36" customWidth="1"/>
    <col min="2572" max="2572" width="12.21875" style="36" customWidth="1"/>
    <col min="2573" max="2573" width="13" style="36" customWidth="1"/>
    <col min="2574" max="2574" width="6.77734375" style="36" customWidth="1"/>
    <col min="2575" max="2575" width="11.21875" style="36" bestFit="1" customWidth="1"/>
    <col min="2576" max="2576" width="13.77734375" style="36" bestFit="1" customWidth="1"/>
    <col min="2577" max="2577" width="11.6640625" style="36" bestFit="1" customWidth="1"/>
    <col min="2578" max="2817" width="8.77734375" style="36"/>
    <col min="2818" max="2818" width="20.6640625" style="36" customWidth="1"/>
    <col min="2819" max="2819" width="12.6640625" style="36" customWidth="1"/>
    <col min="2820" max="2820" width="6.77734375" style="36" customWidth="1"/>
    <col min="2821" max="2821" width="5.77734375" style="36" customWidth="1"/>
    <col min="2822" max="2822" width="6.21875" style="36" customWidth="1"/>
    <col min="2823" max="2823" width="14.77734375" style="36" customWidth="1"/>
    <col min="2824" max="2824" width="12.21875" style="36" customWidth="1"/>
    <col min="2825" max="2825" width="11.88671875" style="36" customWidth="1"/>
    <col min="2826" max="2826" width="12.21875" style="36" customWidth="1"/>
    <col min="2827" max="2827" width="13" style="36" customWidth="1"/>
    <col min="2828" max="2828" width="12.21875" style="36" customWidth="1"/>
    <col min="2829" max="2829" width="13" style="36" customWidth="1"/>
    <col min="2830" max="2830" width="6.77734375" style="36" customWidth="1"/>
    <col min="2831" max="2831" width="11.21875" style="36" bestFit="1" customWidth="1"/>
    <col min="2832" max="2832" width="13.77734375" style="36" bestFit="1" customWidth="1"/>
    <col min="2833" max="2833" width="11.6640625" style="36" bestFit="1" customWidth="1"/>
    <col min="2834" max="3073" width="8.77734375" style="36"/>
    <col min="3074" max="3074" width="20.6640625" style="36" customWidth="1"/>
    <col min="3075" max="3075" width="12.6640625" style="36" customWidth="1"/>
    <col min="3076" max="3076" width="6.77734375" style="36" customWidth="1"/>
    <col min="3077" max="3077" width="5.77734375" style="36" customWidth="1"/>
    <col min="3078" max="3078" width="6.21875" style="36" customWidth="1"/>
    <col min="3079" max="3079" width="14.77734375" style="36" customWidth="1"/>
    <col min="3080" max="3080" width="12.21875" style="36" customWidth="1"/>
    <col min="3081" max="3081" width="11.88671875" style="36" customWidth="1"/>
    <col min="3082" max="3082" width="12.21875" style="36" customWidth="1"/>
    <col min="3083" max="3083" width="13" style="36" customWidth="1"/>
    <col min="3084" max="3084" width="12.21875" style="36" customWidth="1"/>
    <col min="3085" max="3085" width="13" style="36" customWidth="1"/>
    <col min="3086" max="3086" width="6.77734375" style="36" customWidth="1"/>
    <col min="3087" max="3087" width="11.21875" style="36" bestFit="1" customWidth="1"/>
    <col min="3088" max="3088" width="13.77734375" style="36" bestFit="1" customWidth="1"/>
    <col min="3089" max="3089" width="11.6640625" style="36" bestFit="1" customWidth="1"/>
    <col min="3090" max="3329" width="8.77734375" style="36"/>
    <col min="3330" max="3330" width="20.6640625" style="36" customWidth="1"/>
    <col min="3331" max="3331" width="12.6640625" style="36" customWidth="1"/>
    <col min="3332" max="3332" width="6.77734375" style="36" customWidth="1"/>
    <col min="3333" max="3333" width="5.77734375" style="36" customWidth="1"/>
    <col min="3334" max="3334" width="6.21875" style="36" customWidth="1"/>
    <col min="3335" max="3335" width="14.77734375" style="36" customWidth="1"/>
    <col min="3336" max="3336" width="12.21875" style="36" customWidth="1"/>
    <col min="3337" max="3337" width="11.88671875" style="36" customWidth="1"/>
    <col min="3338" max="3338" width="12.21875" style="36" customWidth="1"/>
    <col min="3339" max="3339" width="13" style="36" customWidth="1"/>
    <col min="3340" max="3340" width="12.21875" style="36" customWidth="1"/>
    <col min="3341" max="3341" width="13" style="36" customWidth="1"/>
    <col min="3342" max="3342" width="6.77734375" style="36" customWidth="1"/>
    <col min="3343" max="3343" width="11.21875" style="36" bestFit="1" customWidth="1"/>
    <col min="3344" max="3344" width="13.77734375" style="36" bestFit="1" customWidth="1"/>
    <col min="3345" max="3345" width="11.6640625" style="36" bestFit="1" customWidth="1"/>
    <col min="3346" max="3585" width="8.77734375" style="36"/>
    <col min="3586" max="3586" width="20.6640625" style="36" customWidth="1"/>
    <col min="3587" max="3587" width="12.6640625" style="36" customWidth="1"/>
    <col min="3588" max="3588" width="6.77734375" style="36" customWidth="1"/>
    <col min="3589" max="3589" width="5.77734375" style="36" customWidth="1"/>
    <col min="3590" max="3590" width="6.21875" style="36" customWidth="1"/>
    <col min="3591" max="3591" width="14.77734375" style="36" customWidth="1"/>
    <col min="3592" max="3592" width="12.21875" style="36" customWidth="1"/>
    <col min="3593" max="3593" width="11.88671875" style="36" customWidth="1"/>
    <col min="3594" max="3594" width="12.21875" style="36" customWidth="1"/>
    <col min="3595" max="3595" width="13" style="36" customWidth="1"/>
    <col min="3596" max="3596" width="12.21875" style="36" customWidth="1"/>
    <col min="3597" max="3597" width="13" style="36" customWidth="1"/>
    <col min="3598" max="3598" width="6.77734375" style="36" customWidth="1"/>
    <col min="3599" max="3599" width="11.21875" style="36" bestFit="1" customWidth="1"/>
    <col min="3600" max="3600" width="13.77734375" style="36" bestFit="1" customWidth="1"/>
    <col min="3601" max="3601" width="11.6640625" style="36" bestFit="1" customWidth="1"/>
    <col min="3602" max="3841" width="8.77734375" style="36"/>
    <col min="3842" max="3842" width="20.6640625" style="36" customWidth="1"/>
    <col min="3843" max="3843" width="12.6640625" style="36" customWidth="1"/>
    <col min="3844" max="3844" width="6.77734375" style="36" customWidth="1"/>
    <col min="3845" max="3845" width="5.77734375" style="36" customWidth="1"/>
    <col min="3846" max="3846" width="6.21875" style="36" customWidth="1"/>
    <col min="3847" max="3847" width="14.77734375" style="36" customWidth="1"/>
    <col min="3848" max="3848" width="12.21875" style="36" customWidth="1"/>
    <col min="3849" max="3849" width="11.88671875" style="36" customWidth="1"/>
    <col min="3850" max="3850" width="12.21875" style="36" customWidth="1"/>
    <col min="3851" max="3851" width="13" style="36" customWidth="1"/>
    <col min="3852" max="3852" width="12.21875" style="36" customWidth="1"/>
    <col min="3853" max="3853" width="13" style="36" customWidth="1"/>
    <col min="3854" max="3854" width="6.77734375" style="36" customWidth="1"/>
    <col min="3855" max="3855" width="11.21875" style="36" bestFit="1" customWidth="1"/>
    <col min="3856" max="3856" width="13.77734375" style="36" bestFit="1" customWidth="1"/>
    <col min="3857" max="3857" width="11.6640625" style="36" bestFit="1" customWidth="1"/>
    <col min="3858" max="4097" width="8.77734375" style="36"/>
    <col min="4098" max="4098" width="20.6640625" style="36" customWidth="1"/>
    <col min="4099" max="4099" width="12.6640625" style="36" customWidth="1"/>
    <col min="4100" max="4100" width="6.77734375" style="36" customWidth="1"/>
    <col min="4101" max="4101" width="5.77734375" style="36" customWidth="1"/>
    <col min="4102" max="4102" width="6.21875" style="36" customWidth="1"/>
    <col min="4103" max="4103" width="14.77734375" style="36" customWidth="1"/>
    <col min="4104" max="4104" width="12.21875" style="36" customWidth="1"/>
    <col min="4105" max="4105" width="11.88671875" style="36" customWidth="1"/>
    <col min="4106" max="4106" width="12.21875" style="36" customWidth="1"/>
    <col min="4107" max="4107" width="13" style="36" customWidth="1"/>
    <col min="4108" max="4108" width="12.21875" style="36" customWidth="1"/>
    <col min="4109" max="4109" width="13" style="36" customWidth="1"/>
    <col min="4110" max="4110" width="6.77734375" style="36" customWidth="1"/>
    <col min="4111" max="4111" width="11.21875" style="36" bestFit="1" customWidth="1"/>
    <col min="4112" max="4112" width="13.77734375" style="36" bestFit="1" customWidth="1"/>
    <col min="4113" max="4113" width="11.6640625" style="36" bestFit="1" customWidth="1"/>
    <col min="4114" max="4353" width="8.77734375" style="36"/>
    <col min="4354" max="4354" width="20.6640625" style="36" customWidth="1"/>
    <col min="4355" max="4355" width="12.6640625" style="36" customWidth="1"/>
    <col min="4356" max="4356" width="6.77734375" style="36" customWidth="1"/>
    <col min="4357" max="4357" width="5.77734375" style="36" customWidth="1"/>
    <col min="4358" max="4358" width="6.21875" style="36" customWidth="1"/>
    <col min="4359" max="4359" width="14.77734375" style="36" customWidth="1"/>
    <col min="4360" max="4360" width="12.21875" style="36" customWidth="1"/>
    <col min="4361" max="4361" width="11.88671875" style="36" customWidth="1"/>
    <col min="4362" max="4362" width="12.21875" style="36" customWidth="1"/>
    <col min="4363" max="4363" width="13" style="36" customWidth="1"/>
    <col min="4364" max="4364" width="12.21875" style="36" customWidth="1"/>
    <col min="4365" max="4365" width="13" style="36" customWidth="1"/>
    <col min="4366" max="4366" width="6.77734375" style="36" customWidth="1"/>
    <col min="4367" max="4367" width="11.21875" style="36" bestFit="1" customWidth="1"/>
    <col min="4368" max="4368" width="13.77734375" style="36" bestFit="1" customWidth="1"/>
    <col min="4369" max="4369" width="11.6640625" style="36" bestFit="1" customWidth="1"/>
    <col min="4370" max="4609" width="8.77734375" style="36"/>
    <col min="4610" max="4610" width="20.6640625" style="36" customWidth="1"/>
    <col min="4611" max="4611" width="12.6640625" style="36" customWidth="1"/>
    <col min="4612" max="4612" width="6.77734375" style="36" customWidth="1"/>
    <col min="4613" max="4613" width="5.77734375" style="36" customWidth="1"/>
    <col min="4614" max="4614" width="6.21875" style="36" customWidth="1"/>
    <col min="4615" max="4615" width="14.77734375" style="36" customWidth="1"/>
    <col min="4616" max="4616" width="12.21875" style="36" customWidth="1"/>
    <col min="4617" max="4617" width="11.88671875" style="36" customWidth="1"/>
    <col min="4618" max="4618" width="12.21875" style="36" customWidth="1"/>
    <col min="4619" max="4619" width="13" style="36" customWidth="1"/>
    <col min="4620" max="4620" width="12.21875" style="36" customWidth="1"/>
    <col min="4621" max="4621" width="13" style="36" customWidth="1"/>
    <col min="4622" max="4622" width="6.77734375" style="36" customWidth="1"/>
    <col min="4623" max="4623" width="11.21875" style="36" bestFit="1" customWidth="1"/>
    <col min="4624" max="4624" width="13.77734375" style="36" bestFit="1" customWidth="1"/>
    <col min="4625" max="4625" width="11.6640625" style="36" bestFit="1" customWidth="1"/>
    <col min="4626" max="4865" width="8.77734375" style="36"/>
    <col min="4866" max="4866" width="20.6640625" style="36" customWidth="1"/>
    <col min="4867" max="4867" width="12.6640625" style="36" customWidth="1"/>
    <col min="4868" max="4868" width="6.77734375" style="36" customWidth="1"/>
    <col min="4869" max="4869" width="5.77734375" style="36" customWidth="1"/>
    <col min="4870" max="4870" width="6.21875" style="36" customWidth="1"/>
    <col min="4871" max="4871" width="14.77734375" style="36" customWidth="1"/>
    <col min="4872" max="4872" width="12.21875" style="36" customWidth="1"/>
    <col min="4873" max="4873" width="11.88671875" style="36" customWidth="1"/>
    <col min="4874" max="4874" width="12.21875" style="36" customWidth="1"/>
    <col min="4875" max="4875" width="13" style="36" customWidth="1"/>
    <col min="4876" max="4876" width="12.21875" style="36" customWidth="1"/>
    <col min="4877" max="4877" width="13" style="36" customWidth="1"/>
    <col min="4878" max="4878" width="6.77734375" style="36" customWidth="1"/>
    <col min="4879" max="4879" width="11.21875" style="36" bestFit="1" customWidth="1"/>
    <col min="4880" max="4880" width="13.77734375" style="36" bestFit="1" customWidth="1"/>
    <col min="4881" max="4881" width="11.6640625" style="36" bestFit="1" customWidth="1"/>
    <col min="4882" max="5121" width="8.77734375" style="36"/>
    <col min="5122" max="5122" width="20.6640625" style="36" customWidth="1"/>
    <col min="5123" max="5123" width="12.6640625" style="36" customWidth="1"/>
    <col min="5124" max="5124" width="6.77734375" style="36" customWidth="1"/>
    <col min="5125" max="5125" width="5.77734375" style="36" customWidth="1"/>
    <col min="5126" max="5126" width="6.21875" style="36" customWidth="1"/>
    <col min="5127" max="5127" width="14.77734375" style="36" customWidth="1"/>
    <col min="5128" max="5128" width="12.21875" style="36" customWidth="1"/>
    <col min="5129" max="5129" width="11.88671875" style="36" customWidth="1"/>
    <col min="5130" max="5130" width="12.21875" style="36" customWidth="1"/>
    <col min="5131" max="5131" width="13" style="36" customWidth="1"/>
    <col min="5132" max="5132" width="12.21875" style="36" customWidth="1"/>
    <col min="5133" max="5133" width="13" style="36" customWidth="1"/>
    <col min="5134" max="5134" width="6.77734375" style="36" customWidth="1"/>
    <col min="5135" max="5135" width="11.21875" style="36" bestFit="1" customWidth="1"/>
    <col min="5136" max="5136" width="13.77734375" style="36" bestFit="1" customWidth="1"/>
    <col min="5137" max="5137" width="11.6640625" style="36" bestFit="1" customWidth="1"/>
    <col min="5138" max="5377" width="8.77734375" style="36"/>
    <col min="5378" max="5378" width="20.6640625" style="36" customWidth="1"/>
    <col min="5379" max="5379" width="12.6640625" style="36" customWidth="1"/>
    <col min="5380" max="5380" width="6.77734375" style="36" customWidth="1"/>
    <col min="5381" max="5381" width="5.77734375" style="36" customWidth="1"/>
    <col min="5382" max="5382" width="6.21875" style="36" customWidth="1"/>
    <col min="5383" max="5383" width="14.77734375" style="36" customWidth="1"/>
    <col min="5384" max="5384" width="12.21875" style="36" customWidth="1"/>
    <col min="5385" max="5385" width="11.88671875" style="36" customWidth="1"/>
    <col min="5386" max="5386" width="12.21875" style="36" customWidth="1"/>
    <col min="5387" max="5387" width="13" style="36" customWidth="1"/>
    <col min="5388" max="5388" width="12.21875" style="36" customWidth="1"/>
    <col min="5389" max="5389" width="13" style="36" customWidth="1"/>
    <col min="5390" max="5390" width="6.77734375" style="36" customWidth="1"/>
    <col min="5391" max="5391" width="11.21875" style="36" bestFit="1" customWidth="1"/>
    <col min="5392" max="5392" width="13.77734375" style="36" bestFit="1" customWidth="1"/>
    <col min="5393" max="5393" width="11.6640625" style="36" bestFit="1" customWidth="1"/>
    <col min="5394" max="5633" width="8.77734375" style="36"/>
    <col min="5634" max="5634" width="20.6640625" style="36" customWidth="1"/>
    <col min="5635" max="5635" width="12.6640625" style="36" customWidth="1"/>
    <col min="5636" max="5636" width="6.77734375" style="36" customWidth="1"/>
    <col min="5637" max="5637" width="5.77734375" style="36" customWidth="1"/>
    <col min="5638" max="5638" width="6.21875" style="36" customWidth="1"/>
    <col min="5639" max="5639" width="14.77734375" style="36" customWidth="1"/>
    <col min="5640" max="5640" width="12.21875" style="36" customWidth="1"/>
    <col min="5641" max="5641" width="11.88671875" style="36" customWidth="1"/>
    <col min="5642" max="5642" width="12.21875" style="36" customWidth="1"/>
    <col min="5643" max="5643" width="13" style="36" customWidth="1"/>
    <col min="5644" max="5644" width="12.21875" style="36" customWidth="1"/>
    <col min="5645" max="5645" width="13" style="36" customWidth="1"/>
    <col min="5646" max="5646" width="6.77734375" style="36" customWidth="1"/>
    <col min="5647" max="5647" width="11.21875" style="36" bestFit="1" customWidth="1"/>
    <col min="5648" max="5648" width="13.77734375" style="36" bestFit="1" customWidth="1"/>
    <col min="5649" max="5649" width="11.6640625" style="36" bestFit="1" customWidth="1"/>
    <col min="5650" max="5889" width="8.77734375" style="36"/>
    <col min="5890" max="5890" width="20.6640625" style="36" customWidth="1"/>
    <col min="5891" max="5891" width="12.6640625" style="36" customWidth="1"/>
    <col min="5892" max="5892" width="6.77734375" style="36" customWidth="1"/>
    <col min="5893" max="5893" width="5.77734375" style="36" customWidth="1"/>
    <col min="5894" max="5894" width="6.21875" style="36" customWidth="1"/>
    <col min="5895" max="5895" width="14.77734375" style="36" customWidth="1"/>
    <col min="5896" max="5896" width="12.21875" style="36" customWidth="1"/>
    <col min="5897" max="5897" width="11.88671875" style="36" customWidth="1"/>
    <col min="5898" max="5898" width="12.21875" style="36" customWidth="1"/>
    <col min="5899" max="5899" width="13" style="36" customWidth="1"/>
    <col min="5900" max="5900" width="12.21875" style="36" customWidth="1"/>
    <col min="5901" max="5901" width="13" style="36" customWidth="1"/>
    <col min="5902" max="5902" width="6.77734375" style="36" customWidth="1"/>
    <col min="5903" max="5903" width="11.21875" style="36" bestFit="1" customWidth="1"/>
    <col min="5904" max="5904" width="13.77734375" style="36" bestFit="1" customWidth="1"/>
    <col min="5905" max="5905" width="11.6640625" style="36" bestFit="1" customWidth="1"/>
    <col min="5906" max="6145" width="8.77734375" style="36"/>
    <col min="6146" max="6146" width="20.6640625" style="36" customWidth="1"/>
    <col min="6147" max="6147" width="12.6640625" style="36" customWidth="1"/>
    <col min="6148" max="6148" width="6.77734375" style="36" customWidth="1"/>
    <col min="6149" max="6149" width="5.77734375" style="36" customWidth="1"/>
    <col min="6150" max="6150" width="6.21875" style="36" customWidth="1"/>
    <col min="6151" max="6151" width="14.77734375" style="36" customWidth="1"/>
    <col min="6152" max="6152" width="12.21875" style="36" customWidth="1"/>
    <col min="6153" max="6153" width="11.88671875" style="36" customWidth="1"/>
    <col min="6154" max="6154" width="12.21875" style="36" customWidth="1"/>
    <col min="6155" max="6155" width="13" style="36" customWidth="1"/>
    <col min="6156" max="6156" width="12.21875" style="36" customWidth="1"/>
    <col min="6157" max="6157" width="13" style="36" customWidth="1"/>
    <col min="6158" max="6158" width="6.77734375" style="36" customWidth="1"/>
    <col min="6159" max="6159" width="11.21875" style="36" bestFit="1" customWidth="1"/>
    <col min="6160" max="6160" width="13.77734375" style="36" bestFit="1" customWidth="1"/>
    <col min="6161" max="6161" width="11.6640625" style="36" bestFit="1" customWidth="1"/>
    <col min="6162" max="6401" width="8.77734375" style="36"/>
    <col min="6402" max="6402" width="20.6640625" style="36" customWidth="1"/>
    <col min="6403" max="6403" width="12.6640625" style="36" customWidth="1"/>
    <col min="6404" max="6404" width="6.77734375" style="36" customWidth="1"/>
    <col min="6405" max="6405" width="5.77734375" style="36" customWidth="1"/>
    <col min="6406" max="6406" width="6.21875" style="36" customWidth="1"/>
    <col min="6407" max="6407" width="14.77734375" style="36" customWidth="1"/>
    <col min="6408" max="6408" width="12.21875" style="36" customWidth="1"/>
    <col min="6409" max="6409" width="11.88671875" style="36" customWidth="1"/>
    <col min="6410" max="6410" width="12.21875" style="36" customWidth="1"/>
    <col min="6411" max="6411" width="13" style="36" customWidth="1"/>
    <col min="6412" max="6412" width="12.21875" style="36" customWidth="1"/>
    <col min="6413" max="6413" width="13" style="36" customWidth="1"/>
    <col min="6414" max="6414" width="6.77734375" style="36" customWidth="1"/>
    <col min="6415" max="6415" width="11.21875" style="36" bestFit="1" customWidth="1"/>
    <col min="6416" max="6416" width="13.77734375" style="36" bestFit="1" customWidth="1"/>
    <col min="6417" max="6417" width="11.6640625" style="36" bestFit="1" customWidth="1"/>
    <col min="6418" max="6657" width="8.77734375" style="36"/>
    <col min="6658" max="6658" width="20.6640625" style="36" customWidth="1"/>
    <col min="6659" max="6659" width="12.6640625" style="36" customWidth="1"/>
    <col min="6660" max="6660" width="6.77734375" style="36" customWidth="1"/>
    <col min="6661" max="6661" width="5.77734375" style="36" customWidth="1"/>
    <col min="6662" max="6662" width="6.21875" style="36" customWidth="1"/>
    <col min="6663" max="6663" width="14.77734375" style="36" customWidth="1"/>
    <col min="6664" max="6664" width="12.21875" style="36" customWidth="1"/>
    <col min="6665" max="6665" width="11.88671875" style="36" customWidth="1"/>
    <col min="6666" max="6666" width="12.21875" style="36" customWidth="1"/>
    <col min="6667" max="6667" width="13" style="36" customWidth="1"/>
    <col min="6668" max="6668" width="12.21875" style="36" customWidth="1"/>
    <col min="6669" max="6669" width="13" style="36" customWidth="1"/>
    <col min="6670" max="6670" width="6.77734375" style="36" customWidth="1"/>
    <col min="6671" max="6671" width="11.21875" style="36" bestFit="1" customWidth="1"/>
    <col min="6672" max="6672" width="13.77734375" style="36" bestFit="1" customWidth="1"/>
    <col min="6673" max="6673" width="11.6640625" style="36" bestFit="1" customWidth="1"/>
    <col min="6674" max="6913" width="8.77734375" style="36"/>
    <col min="6914" max="6914" width="20.6640625" style="36" customWidth="1"/>
    <col min="6915" max="6915" width="12.6640625" style="36" customWidth="1"/>
    <col min="6916" max="6916" width="6.77734375" style="36" customWidth="1"/>
    <col min="6917" max="6917" width="5.77734375" style="36" customWidth="1"/>
    <col min="6918" max="6918" width="6.21875" style="36" customWidth="1"/>
    <col min="6919" max="6919" width="14.77734375" style="36" customWidth="1"/>
    <col min="6920" max="6920" width="12.21875" style="36" customWidth="1"/>
    <col min="6921" max="6921" width="11.88671875" style="36" customWidth="1"/>
    <col min="6922" max="6922" width="12.21875" style="36" customWidth="1"/>
    <col min="6923" max="6923" width="13" style="36" customWidth="1"/>
    <col min="6924" max="6924" width="12.21875" style="36" customWidth="1"/>
    <col min="6925" max="6925" width="13" style="36" customWidth="1"/>
    <col min="6926" max="6926" width="6.77734375" style="36" customWidth="1"/>
    <col min="6927" max="6927" width="11.21875" style="36" bestFit="1" customWidth="1"/>
    <col min="6928" max="6928" width="13.77734375" style="36" bestFit="1" customWidth="1"/>
    <col min="6929" max="6929" width="11.6640625" style="36" bestFit="1" customWidth="1"/>
    <col min="6930" max="7169" width="8.77734375" style="36"/>
    <col min="7170" max="7170" width="20.6640625" style="36" customWidth="1"/>
    <col min="7171" max="7171" width="12.6640625" style="36" customWidth="1"/>
    <col min="7172" max="7172" width="6.77734375" style="36" customWidth="1"/>
    <col min="7173" max="7173" width="5.77734375" style="36" customWidth="1"/>
    <col min="7174" max="7174" width="6.21875" style="36" customWidth="1"/>
    <col min="7175" max="7175" width="14.77734375" style="36" customWidth="1"/>
    <col min="7176" max="7176" width="12.21875" style="36" customWidth="1"/>
    <col min="7177" max="7177" width="11.88671875" style="36" customWidth="1"/>
    <col min="7178" max="7178" width="12.21875" style="36" customWidth="1"/>
    <col min="7179" max="7179" width="13" style="36" customWidth="1"/>
    <col min="7180" max="7180" width="12.21875" style="36" customWidth="1"/>
    <col min="7181" max="7181" width="13" style="36" customWidth="1"/>
    <col min="7182" max="7182" width="6.77734375" style="36" customWidth="1"/>
    <col min="7183" max="7183" width="11.21875" style="36" bestFit="1" customWidth="1"/>
    <col min="7184" max="7184" width="13.77734375" style="36" bestFit="1" customWidth="1"/>
    <col min="7185" max="7185" width="11.6640625" style="36" bestFit="1" customWidth="1"/>
    <col min="7186" max="7425" width="8.77734375" style="36"/>
    <col min="7426" max="7426" width="20.6640625" style="36" customWidth="1"/>
    <col min="7427" max="7427" width="12.6640625" style="36" customWidth="1"/>
    <col min="7428" max="7428" width="6.77734375" style="36" customWidth="1"/>
    <col min="7429" max="7429" width="5.77734375" style="36" customWidth="1"/>
    <col min="7430" max="7430" width="6.21875" style="36" customWidth="1"/>
    <col min="7431" max="7431" width="14.77734375" style="36" customWidth="1"/>
    <col min="7432" max="7432" width="12.21875" style="36" customWidth="1"/>
    <col min="7433" max="7433" width="11.88671875" style="36" customWidth="1"/>
    <col min="7434" max="7434" width="12.21875" style="36" customWidth="1"/>
    <col min="7435" max="7435" width="13" style="36" customWidth="1"/>
    <col min="7436" max="7436" width="12.21875" style="36" customWidth="1"/>
    <col min="7437" max="7437" width="13" style="36" customWidth="1"/>
    <col min="7438" max="7438" width="6.77734375" style="36" customWidth="1"/>
    <col min="7439" max="7439" width="11.21875" style="36" bestFit="1" customWidth="1"/>
    <col min="7440" max="7440" width="13.77734375" style="36" bestFit="1" customWidth="1"/>
    <col min="7441" max="7441" width="11.6640625" style="36" bestFit="1" customWidth="1"/>
    <col min="7442" max="7681" width="8.77734375" style="36"/>
    <col min="7682" max="7682" width="20.6640625" style="36" customWidth="1"/>
    <col min="7683" max="7683" width="12.6640625" style="36" customWidth="1"/>
    <col min="7684" max="7684" width="6.77734375" style="36" customWidth="1"/>
    <col min="7685" max="7685" width="5.77734375" style="36" customWidth="1"/>
    <col min="7686" max="7686" width="6.21875" style="36" customWidth="1"/>
    <col min="7687" max="7687" width="14.77734375" style="36" customWidth="1"/>
    <col min="7688" max="7688" width="12.21875" style="36" customWidth="1"/>
    <col min="7689" max="7689" width="11.88671875" style="36" customWidth="1"/>
    <col min="7690" max="7690" width="12.21875" style="36" customWidth="1"/>
    <col min="7691" max="7691" width="13" style="36" customWidth="1"/>
    <col min="7692" max="7692" width="12.21875" style="36" customWidth="1"/>
    <col min="7693" max="7693" width="13" style="36" customWidth="1"/>
    <col min="7694" max="7694" width="6.77734375" style="36" customWidth="1"/>
    <col min="7695" max="7695" width="11.21875" style="36" bestFit="1" customWidth="1"/>
    <col min="7696" max="7696" width="13.77734375" style="36" bestFit="1" customWidth="1"/>
    <col min="7697" max="7697" width="11.6640625" style="36" bestFit="1" customWidth="1"/>
    <col min="7698" max="7937" width="8.77734375" style="36"/>
    <col min="7938" max="7938" width="20.6640625" style="36" customWidth="1"/>
    <col min="7939" max="7939" width="12.6640625" style="36" customWidth="1"/>
    <col min="7940" max="7940" width="6.77734375" style="36" customWidth="1"/>
    <col min="7941" max="7941" width="5.77734375" style="36" customWidth="1"/>
    <col min="7942" max="7942" width="6.21875" style="36" customWidth="1"/>
    <col min="7943" max="7943" width="14.77734375" style="36" customWidth="1"/>
    <col min="7944" max="7944" width="12.21875" style="36" customWidth="1"/>
    <col min="7945" max="7945" width="11.88671875" style="36" customWidth="1"/>
    <col min="7946" max="7946" width="12.21875" style="36" customWidth="1"/>
    <col min="7947" max="7947" width="13" style="36" customWidth="1"/>
    <col min="7948" max="7948" width="12.21875" style="36" customWidth="1"/>
    <col min="7949" max="7949" width="13" style="36" customWidth="1"/>
    <col min="7950" max="7950" width="6.77734375" style="36" customWidth="1"/>
    <col min="7951" max="7951" width="11.21875" style="36" bestFit="1" customWidth="1"/>
    <col min="7952" max="7952" width="13.77734375" style="36" bestFit="1" customWidth="1"/>
    <col min="7953" max="7953" width="11.6640625" style="36" bestFit="1" customWidth="1"/>
    <col min="7954" max="8193" width="8.77734375" style="36"/>
    <col min="8194" max="8194" width="20.6640625" style="36" customWidth="1"/>
    <col min="8195" max="8195" width="12.6640625" style="36" customWidth="1"/>
    <col min="8196" max="8196" width="6.77734375" style="36" customWidth="1"/>
    <col min="8197" max="8197" width="5.77734375" style="36" customWidth="1"/>
    <col min="8198" max="8198" width="6.21875" style="36" customWidth="1"/>
    <col min="8199" max="8199" width="14.77734375" style="36" customWidth="1"/>
    <col min="8200" max="8200" width="12.21875" style="36" customWidth="1"/>
    <col min="8201" max="8201" width="11.88671875" style="36" customWidth="1"/>
    <col min="8202" max="8202" width="12.21875" style="36" customWidth="1"/>
    <col min="8203" max="8203" width="13" style="36" customWidth="1"/>
    <col min="8204" max="8204" width="12.21875" style="36" customWidth="1"/>
    <col min="8205" max="8205" width="13" style="36" customWidth="1"/>
    <col min="8206" max="8206" width="6.77734375" style="36" customWidth="1"/>
    <col min="8207" max="8207" width="11.21875" style="36" bestFit="1" customWidth="1"/>
    <col min="8208" max="8208" width="13.77734375" style="36" bestFit="1" customWidth="1"/>
    <col min="8209" max="8209" width="11.6640625" style="36" bestFit="1" customWidth="1"/>
    <col min="8210" max="8449" width="8.77734375" style="36"/>
    <col min="8450" max="8450" width="20.6640625" style="36" customWidth="1"/>
    <col min="8451" max="8451" width="12.6640625" style="36" customWidth="1"/>
    <col min="8452" max="8452" width="6.77734375" style="36" customWidth="1"/>
    <col min="8453" max="8453" width="5.77734375" style="36" customWidth="1"/>
    <col min="8454" max="8454" width="6.21875" style="36" customWidth="1"/>
    <col min="8455" max="8455" width="14.77734375" style="36" customWidth="1"/>
    <col min="8456" max="8456" width="12.21875" style="36" customWidth="1"/>
    <col min="8457" max="8457" width="11.88671875" style="36" customWidth="1"/>
    <col min="8458" max="8458" width="12.21875" style="36" customWidth="1"/>
    <col min="8459" max="8459" width="13" style="36" customWidth="1"/>
    <col min="8460" max="8460" width="12.21875" style="36" customWidth="1"/>
    <col min="8461" max="8461" width="13" style="36" customWidth="1"/>
    <col min="8462" max="8462" width="6.77734375" style="36" customWidth="1"/>
    <col min="8463" max="8463" width="11.21875" style="36" bestFit="1" customWidth="1"/>
    <col min="8464" max="8464" width="13.77734375" style="36" bestFit="1" customWidth="1"/>
    <col min="8465" max="8465" width="11.6640625" style="36" bestFit="1" customWidth="1"/>
    <col min="8466" max="8705" width="8.77734375" style="36"/>
    <col min="8706" max="8706" width="20.6640625" style="36" customWidth="1"/>
    <col min="8707" max="8707" width="12.6640625" style="36" customWidth="1"/>
    <col min="8708" max="8708" width="6.77734375" style="36" customWidth="1"/>
    <col min="8709" max="8709" width="5.77734375" style="36" customWidth="1"/>
    <col min="8710" max="8710" width="6.21875" style="36" customWidth="1"/>
    <col min="8711" max="8711" width="14.77734375" style="36" customWidth="1"/>
    <col min="8712" max="8712" width="12.21875" style="36" customWidth="1"/>
    <col min="8713" max="8713" width="11.88671875" style="36" customWidth="1"/>
    <col min="8714" max="8714" width="12.21875" style="36" customWidth="1"/>
    <col min="8715" max="8715" width="13" style="36" customWidth="1"/>
    <col min="8716" max="8716" width="12.21875" style="36" customWidth="1"/>
    <col min="8717" max="8717" width="13" style="36" customWidth="1"/>
    <col min="8718" max="8718" width="6.77734375" style="36" customWidth="1"/>
    <col min="8719" max="8719" width="11.21875" style="36" bestFit="1" customWidth="1"/>
    <col min="8720" max="8720" width="13.77734375" style="36" bestFit="1" customWidth="1"/>
    <col min="8721" max="8721" width="11.6640625" style="36" bestFit="1" customWidth="1"/>
    <col min="8722" max="8961" width="8.77734375" style="36"/>
    <col min="8962" max="8962" width="20.6640625" style="36" customWidth="1"/>
    <col min="8963" max="8963" width="12.6640625" style="36" customWidth="1"/>
    <col min="8964" max="8964" width="6.77734375" style="36" customWidth="1"/>
    <col min="8965" max="8965" width="5.77734375" style="36" customWidth="1"/>
    <col min="8966" max="8966" width="6.21875" style="36" customWidth="1"/>
    <col min="8967" max="8967" width="14.77734375" style="36" customWidth="1"/>
    <col min="8968" max="8968" width="12.21875" style="36" customWidth="1"/>
    <col min="8969" max="8969" width="11.88671875" style="36" customWidth="1"/>
    <col min="8970" max="8970" width="12.21875" style="36" customWidth="1"/>
    <col min="8971" max="8971" width="13" style="36" customWidth="1"/>
    <col min="8972" max="8972" width="12.21875" style="36" customWidth="1"/>
    <col min="8973" max="8973" width="13" style="36" customWidth="1"/>
    <col min="8974" max="8974" width="6.77734375" style="36" customWidth="1"/>
    <col min="8975" max="8975" width="11.21875" style="36" bestFit="1" customWidth="1"/>
    <col min="8976" max="8976" width="13.77734375" style="36" bestFit="1" customWidth="1"/>
    <col min="8977" max="8977" width="11.6640625" style="36" bestFit="1" customWidth="1"/>
    <col min="8978" max="9217" width="8.77734375" style="36"/>
    <col min="9218" max="9218" width="20.6640625" style="36" customWidth="1"/>
    <col min="9219" max="9219" width="12.6640625" style="36" customWidth="1"/>
    <col min="9220" max="9220" width="6.77734375" style="36" customWidth="1"/>
    <col min="9221" max="9221" width="5.77734375" style="36" customWidth="1"/>
    <col min="9222" max="9222" width="6.21875" style="36" customWidth="1"/>
    <col min="9223" max="9223" width="14.77734375" style="36" customWidth="1"/>
    <col min="9224" max="9224" width="12.21875" style="36" customWidth="1"/>
    <col min="9225" max="9225" width="11.88671875" style="36" customWidth="1"/>
    <col min="9226" max="9226" width="12.21875" style="36" customWidth="1"/>
    <col min="9227" max="9227" width="13" style="36" customWidth="1"/>
    <col min="9228" max="9228" width="12.21875" style="36" customWidth="1"/>
    <col min="9229" max="9229" width="13" style="36" customWidth="1"/>
    <col min="9230" max="9230" width="6.77734375" style="36" customWidth="1"/>
    <col min="9231" max="9231" width="11.21875" style="36" bestFit="1" customWidth="1"/>
    <col min="9232" max="9232" width="13.77734375" style="36" bestFit="1" customWidth="1"/>
    <col min="9233" max="9233" width="11.6640625" style="36" bestFit="1" customWidth="1"/>
    <col min="9234" max="9473" width="8.77734375" style="36"/>
    <col min="9474" max="9474" width="20.6640625" style="36" customWidth="1"/>
    <col min="9475" max="9475" width="12.6640625" style="36" customWidth="1"/>
    <col min="9476" max="9476" width="6.77734375" style="36" customWidth="1"/>
    <col min="9477" max="9477" width="5.77734375" style="36" customWidth="1"/>
    <col min="9478" max="9478" width="6.21875" style="36" customWidth="1"/>
    <col min="9479" max="9479" width="14.77734375" style="36" customWidth="1"/>
    <col min="9480" max="9480" width="12.21875" style="36" customWidth="1"/>
    <col min="9481" max="9481" width="11.88671875" style="36" customWidth="1"/>
    <col min="9482" max="9482" width="12.21875" style="36" customWidth="1"/>
    <col min="9483" max="9483" width="13" style="36" customWidth="1"/>
    <col min="9484" max="9484" width="12.21875" style="36" customWidth="1"/>
    <col min="9485" max="9485" width="13" style="36" customWidth="1"/>
    <col min="9486" max="9486" width="6.77734375" style="36" customWidth="1"/>
    <col min="9487" max="9487" width="11.21875" style="36" bestFit="1" customWidth="1"/>
    <col min="9488" max="9488" width="13.77734375" style="36" bestFit="1" customWidth="1"/>
    <col min="9489" max="9489" width="11.6640625" style="36" bestFit="1" customWidth="1"/>
    <col min="9490" max="9729" width="8.77734375" style="36"/>
    <col min="9730" max="9730" width="20.6640625" style="36" customWidth="1"/>
    <col min="9731" max="9731" width="12.6640625" style="36" customWidth="1"/>
    <col min="9732" max="9732" width="6.77734375" style="36" customWidth="1"/>
    <col min="9733" max="9733" width="5.77734375" style="36" customWidth="1"/>
    <col min="9734" max="9734" width="6.21875" style="36" customWidth="1"/>
    <col min="9735" max="9735" width="14.77734375" style="36" customWidth="1"/>
    <col min="9736" max="9736" width="12.21875" style="36" customWidth="1"/>
    <col min="9737" max="9737" width="11.88671875" style="36" customWidth="1"/>
    <col min="9738" max="9738" width="12.21875" style="36" customWidth="1"/>
    <col min="9739" max="9739" width="13" style="36" customWidth="1"/>
    <col min="9740" max="9740" width="12.21875" style="36" customWidth="1"/>
    <col min="9741" max="9741" width="13" style="36" customWidth="1"/>
    <col min="9742" max="9742" width="6.77734375" style="36" customWidth="1"/>
    <col min="9743" max="9743" width="11.21875" style="36" bestFit="1" customWidth="1"/>
    <col min="9744" max="9744" width="13.77734375" style="36" bestFit="1" customWidth="1"/>
    <col min="9745" max="9745" width="11.6640625" style="36" bestFit="1" customWidth="1"/>
    <col min="9746" max="9985" width="8.77734375" style="36"/>
    <col min="9986" max="9986" width="20.6640625" style="36" customWidth="1"/>
    <col min="9987" max="9987" width="12.6640625" style="36" customWidth="1"/>
    <col min="9988" max="9988" width="6.77734375" style="36" customWidth="1"/>
    <col min="9989" max="9989" width="5.77734375" style="36" customWidth="1"/>
    <col min="9990" max="9990" width="6.21875" style="36" customWidth="1"/>
    <col min="9991" max="9991" width="14.77734375" style="36" customWidth="1"/>
    <col min="9992" max="9992" width="12.21875" style="36" customWidth="1"/>
    <col min="9993" max="9993" width="11.88671875" style="36" customWidth="1"/>
    <col min="9994" max="9994" width="12.21875" style="36" customWidth="1"/>
    <col min="9995" max="9995" width="13" style="36" customWidth="1"/>
    <col min="9996" max="9996" width="12.21875" style="36" customWidth="1"/>
    <col min="9997" max="9997" width="13" style="36" customWidth="1"/>
    <col min="9998" max="9998" width="6.77734375" style="36" customWidth="1"/>
    <col min="9999" max="9999" width="11.21875" style="36" bestFit="1" customWidth="1"/>
    <col min="10000" max="10000" width="13.77734375" style="36" bestFit="1" customWidth="1"/>
    <col min="10001" max="10001" width="11.6640625" style="36" bestFit="1" customWidth="1"/>
    <col min="10002" max="10241" width="8.77734375" style="36"/>
    <col min="10242" max="10242" width="20.6640625" style="36" customWidth="1"/>
    <col min="10243" max="10243" width="12.6640625" style="36" customWidth="1"/>
    <col min="10244" max="10244" width="6.77734375" style="36" customWidth="1"/>
    <col min="10245" max="10245" width="5.77734375" style="36" customWidth="1"/>
    <col min="10246" max="10246" width="6.21875" style="36" customWidth="1"/>
    <col min="10247" max="10247" width="14.77734375" style="36" customWidth="1"/>
    <col min="10248" max="10248" width="12.21875" style="36" customWidth="1"/>
    <col min="10249" max="10249" width="11.88671875" style="36" customWidth="1"/>
    <col min="10250" max="10250" width="12.21875" style="36" customWidth="1"/>
    <col min="10251" max="10251" width="13" style="36" customWidth="1"/>
    <col min="10252" max="10252" width="12.21875" style="36" customWidth="1"/>
    <col min="10253" max="10253" width="13" style="36" customWidth="1"/>
    <col min="10254" max="10254" width="6.77734375" style="36" customWidth="1"/>
    <col min="10255" max="10255" width="11.21875" style="36" bestFit="1" customWidth="1"/>
    <col min="10256" max="10256" width="13.77734375" style="36" bestFit="1" customWidth="1"/>
    <col min="10257" max="10257" width="11.6640625" style="36" bestFit="1" customWidth="1"/>
    <col min="10258" max="10497" width="8.77734375" style="36"/>
    <col min="10498" max="10498" width="20.6640625" style="36" customWidth="1"/>
    <col min="10499" max="10499" width="12.6640625" style="36" customWidth="1"/>
    <col min="10500" max="10500" width="6.77734375" style="36" customWidth="1"/>
    <col min="10501" max="10501" width="5.77734375" style="36" customWidth="1"/>
    <col min="10502" max="10502" width="6.21875" style="36" customWidth="1"/>
    <col min="10503" max="10503" width="14.77734375" style="36" customWidth="1"/>
    <col min="10504" max="10504" width="12.21875" style="36" customWidth="1"/>
    <col min="10505" max="10505" width="11.88671875" style="36" customWidth="1"/>
    <col min="10506" max="10506" width="12.21875" style="36" customWidth="1"/>
    <col min="10507" max="10507" width="13" style="36" customWidth="1"/>
    <col min="10508" max="10508" width="12.21875" style="36" customWidth="1"/>
    <col min="10509" max="10509" width="13" style="36" customWidth="1"/>
    <col min="10510" max="10510" width="6.77734375" style="36" customWidth="1"/>
    <col min="10511" max="10511" width="11.21875" style="36" bestFit="1" customWidth="1"/>
    <col min="10512" max="10512" width="13.77734375" style="36" bestFit="1" customWidth="1"/>
    <col min="10513" max="10513" width="11.6640625" style="36" bestFit="1" customWidth="1"/>
    <col min="10514" max="10753" width="8.77734375" style="36"/>
    <col min="10754" max="10754" width="20.6640625" style="36" customWidth="1"/>
    <col min="10755" max="10755" width="12.6640625" style="36" customWidth="1"/>
    <col min="10756" max="10756" width="6.77734375" style="36" customWidth="1"/>
    <col min="10757" max="10757" width="5.77734375" style="36" customWidth="1"/>
    <col min="10758" max="10758" width="6.21875" style="36" customWidth="1"/>
    <col min="10759" max="10759" width="14.77734375" style="36" customWidth="1"/>
    <col min="10760" max="10760" width="12.21875" style="36" customWidth="1"/>
    <col min="10761" max="10761" width="11.88671875" style="36" customWidth="1"/>
    <col min="10762" max="10762" width="12.21875" style="36" customWidth="1"/>
    <col min="10763" max="10763" width="13" style="36" customWidth="1"/>
    <col min="10764" max="10764" width="12.21875" style="36" customWidth="1"/>
    <col min="10765" max="10765" width="13" style="36" customWidth="1"/>
    <col min="10766" max="10766" width="6.77734375" style="36" customWidth="1"/>
    <col min="10767" max="10767" width="11.21875" style="36" bestFit="1" customWidth="1"/>
    <col min="10768" max="10768" width="13.77734375" style="36" bestFit="1" customWidth="1"/>
    <col min="10769" max="10769" width="11.6640625" style="36" bestFit="1" customWidth="1"/>
    <col min="10770" max="11009" width="8.77734375" style="36"/>
    <col min="11010" max="11010" width="20.6640625" style="36" customWidth="1"/>
    <col min="11011" max="11011" width="12.6640625" style="36" customWidth="1"/>
    <col min="11012" max="11012" width="6.77734375" style="36" customWidth="1"/>
    <col min="11013" max="11013" width="5.77734375" style="36" customWidth="1"/>
    <col min="11014" max="11014" width="6.21875" style="36" customWidth="1"/>
    <col min="11015" max="11015" width="14.77734375" style="36" customWidth="1"/>
    <col min="11016" max="11016" width="12.21875" style="36" customWidth="1"/>
    <col min="11017" max="11017" width="11.88671875" style="36" customWidth="1"/>
    <col min="11018" max="11018" width="12.21875" style="36" customWidth="1"/>
    <col min="11019" max="11019" width="13" style="36" customWidth="1"/>
    <col min="11020" max="11020" width="12.21875" style="36" customWidth="1"/>
    <col min="11021" max="11021" width="13" style="36" customWidth="1"/>
    <col min="11022" max="11022" width="6.77734375" style="36" customWidth="1"/>
    <col min="11023" max="11023" width="11.21875" style="36" bestFit="1" customWidth="1"/>
    <col min="11024" max="11024" width="13.77734375" style="36" bestFit="1" customWidth="1"/>
    <col min="11025" max="11025" width="11.6640625" style="36" bestFit="1" customWidth="1"/>
    <col min="11026" max="11265" width="8.77734375" style="36"/>
    <col min="11266" max="11266" width="20.6640625" style="36" customWidth="1"/>
    <col min="11267" max="11267" width="12.6640625" style="36" customWidth="1"/>
    <col min="11268" max="11268" width="6.77734375" style="36" customWidth="1"/>
    <col min="11269" max="11269" width="5.77734375" style="36" customWidth="1"/>
    <col min="11270" max="11270" width="6.21875" style="36" customWidth="1"/>
    <col min="11271" max="11271" width="14.77734375" style="36" customWidth="1"/>
    <col min="11272" max="11272" width="12.21875" style="36" customWidth="1"/>
    <col min="11273" max="11273" width="11.88671875" style="36" customWidth="1"/>
    <col min="11274" max="11274" width="12.21875" style="36" customWidth="1"/>
    <col min="11275" max="11275" width="13" style="36" customWidth="1"/>
    <col min="11276" max="11276" width="12.21875" style="36" customWidth="1"/>
    <col min="11277" max="11277" width="13" style="36" customWidth="1"/>
    <col min="11278" max="11278" width="6.77734375" style="36" customWidth="1"/>
    <col min="11279" max="11279" width="11.21875" style="36" bestFit="1" customWidth="1"/>
    <col min="11280" max="11280" width="13.77734375" style="36" bestFit="1" customWidth="1"/>
    <col min="11281" max="11281" width="11.6640625" style="36" bestFit="1" customWidth="1"/>
    <col min="11282" max="11521" width="8.77734375" style="36"/>
    <col min="11522" max="11522" width="20.6640625" style="36" customWidth="1"/>
    <col min="11523" max="11523" width="12.6640625" style="36" customWidth="1"/>
    <col min="11524" max="11524" width="6.77734375" style="36" customWidth="1"/>
    <col min="11525" max="11525" width="5.77734375" style="36" customWidth="1"/>
    <col min="11526" max="11526" width="6.21875" style="36" customWidth="1"/>
    <col min="11527" max="11527" width="14.77734375" style="36" customWidth="1"/>
    <col min="11528" max="11528" width="12.21875" style="36" customWidth="1"/>
    <col min="11529" max="11529" width="11.88671875" style="36" customWidth="1"/>
    <col min="11530" max="11530" width="12.21875" style="36" customWidth="1"/>
    <col min="11531" max="11531" width="13" style="36" customWidth="1"/>
    <col min="11532" max="11532" width="12.21875" style="36" customWidth="1"/>
    <col min="11533" max="11533" width="13" style="36" customWidth="1"/>
    <col min="11534" max="11534" width="6.77734375" style="36" customWidth="1"/>
    <col min="11535" max="11535" width="11.21875" style="36" bestFit="1" customWidth="1"/>
    <col min="11536" max="11536" width="13.77734375" style="36" bestFit="1" customWidth="1"/>
    <col min="11537" max="11537" width="11.6640625" style="36" bestFit="1" customWidth="1"/>
    <col min="11538" max="11777" width="8.77734375" style="36"/>
    <col min="11778" max="11778" width="20.6640625" style="36" customWidth="1"/>
    <col min="11779" max="11779" width="12.6640625" style="36" customWidth="1"/>
    <col min="11780" max="11780" width="6.77734375" style="36" customWidth="1"/>
    <col min="11781" max="11781" width="5.77734375" style="36" customWidth="1"/>
    <col min="11782" max="11782" width="6.21875" style="36" customWidth="1"/>
    <col min="11783" max="11783" width="14.77734375" style="36" customWidth="1"/>
    <col min="11784" max="11784" width="12.21875" style="36" customWidth="1"/>
    <col min="11785" max="11785" width="11.88671875" style="36" customWidth="1"/>
    <col min="11786" max="11786" width="12.21875" style="36" customWidth="1"/>
    <col min="11787" max="11787" width="13" style="36" customWidth="1"/>
    <col min="11788" max="11788" width="12.21875" style="36" customWidth="1"/>
    <col min="11789" max="11789" width="13" style="36" customWidth="1"/>
    <col min="11790" max="11790" width="6.77734375" style="36" customWidth="1"/>
    <col min="11791" max="11791" width="11.21875" style="36" bestFit="1" customWidth="1"/>
    <col min="11792" max="11792" width="13.77734375" style="36" bestFit="1" customWidth="1"/>
    <col min="11793" max="11793" width="11.6640625" style="36" bestFit="1" customWidth="1"/>
    <col min="11794" max="12033" width="8.77734375" style="36"/>
    <col min="12034" max="12034" width="20.6640625" style="36" customWidth="1"/>
    <col min="12035" max="12035" width="12.6640625" style="36" customWidth="1"/>
    <col min="12036" max="12036" width="6.77734375" style="36" customWidth="1"/>
    <col min="12037" max="12037" width="5.77734375" style="36" customWidth="1"/>
    <col min="12038" max="12038" width="6.21875" style="36" customWidth="1"/>
    <col min="12039" max="12039" width="14.77734375" style="36" customWidth="1"/>
    <col min="12040" max="12040" width="12.21875" style="36" customWidth="1"/>
    <col min="12041" max="12041" width="11.88671875" style="36" customWidth="1"/>
    <col min="12042" max="12042" width="12.21875" style="36" customWidth="1"/>
    <col min="12043" max="12043" width="13" style="36" customWidth="1"/>
    <col min="12044" max="12044" width="12.21875" style="36" customWidth="1"/>
    <col min="12045" max="12045" width="13" style="36" customWidth="1"/>
    <col min="12046" max="12046" width="6.77734375" style="36" customWidth="1"/>
    <col min="12047" max="12047" width="11.21875" style="36" bestFit="1" customWidth="1"/>
    <col min="12048" max="12048" width="13.77734375" style="36" bestFit="1" customWidth="1"/>
    <col min="12049" max="12049" width="11.6640625" style="36" bestFit="1" customWidth="1"/>
    <col min="12050" max="12289" width="8.77734375" style="36"/>
    <col min="12290" max="12290" width="20.6640625" style="36" customWidth="1"/>
    <col min="12291" max="12291" width="12.6640625" style="36" customWidth="1"/>
    <col min="12292" max="12292" width="6.77734375" style="36" customWidth="1"/>
    <col min="12293" max="12293" width="5.77734375" style="36" customWidth="1"/>
    <col min="12294" max="12294" width="6.21875" style="36" customWidth="1"/>
    <col min="12295" max="12295" width="14.77734375" style="36" customWidth="1"/>
    <col min="12296" max="12296" width="12.21875" style="36" customWidth="1"/>
    <col min="12297" max="12297" width="11.88671875" style="36" customWidth="1"/>
    <col min="12298" max="12298" width="12.21875" style="36" customWidth="1"/>
    <col min="12299" max="12299" width="13" style="36" customWidth="1"/>
    <col min="12300" max="12300" width="12.21875" style="36" customWidth="1"/>
    <col min="12301" max="12301" width="13" style="36" customWidth="1"/>
    <col min="12302" max="12302" width="6.77734375" style="36" customWidth="1"/>
    <col min="12303" max="12303" width="11.21875" style="36" bestFit="1" customWidth="1"/>
    <col min="12304" max="12304" width="13.77734375" style="36" bestFit="1" customWidth="1"/>
    <col min="12305" max="12305" width="11.6640625" style="36" bestFit="1" customWidth="1"/>
    <col min="12306" max="12545" width="8.77734375" style="36"/>
    <col min="12546" max="12546" width="20.6640625" style="36" customWidth="1"/>
    <col min="12547" max="12547" width="12.6640625" style="36" customWidth="1"/>
    <col min="12548" max="12548" width="6.77734375" style="36" customWidth="1"/>
    <col min="12549" max="12549" width="5.77734375" style="36" customWidth="1"/>
    <col min="12550" max="12550" width="6.21875" style="36" customWidth="1"/>
    <col min="12551" max="12551" width="14.77734375" style="36" customWidth="1"/>
    <col min="12552" max="12552" width="12.21875" style="36" customWidth="1"/>
    <col min="12553" max="12553" width="11.88671875" style="36" customWidth="1"/>
    <col min="12554" max="12554" width="12.21875" style="36" customWidth="1"/>
    <col min="12555" max="12555" width="13" style="36" customWidth="1"/>
    <col min="12556" max="12556" width="12.21875" style="36" customWidth="1"/>
    <col min="12557" max="12557" width="13" style="36" customWidth="1"/>
    <col min="12558" max="12558" width="6.77734375" style="36" customWidth="1"/>
    <col min="12559" max="12559" width="11.21875" style="36" bestFit="1" customWidth="1"/>
    <col min="12560" max="12560" width="13.77734375" style="36" bestFit="1" customWidth="1"/>
    <col min="12561" max="12561" width="11.6640625" style="36" bestFit="1" customWidth="1"/>
    <col min="12562" max="12801" width="8.77734375" style="36"/>
    <col min="12802" max="12802" width="20.6640625" style="36" customWidth="1"/>
    <col min="12803" max="12803" width="12.6640625" style="36" customWidth="1"/>
    <col min="12804" max="12804" width="6.77734375" style="36" customWidth="1"/>
    <col min="12805" max="12805" width="5.77734375" style="36" customWidth="1"/>
    <col min="12806" max="12806" width="6.21875" style="36" customWidth="1"/>
    <col min="12807" max="12807" width="14.77734375" style="36" customWidth="1"/>
    <col min="12808" max="12808" width="12.21875" style="36" customWidth="1"/>
    <col min="12809" max="12809" width="11.88671875" style="36" customWidth="1"/>
    <col min="12810" max="12810" width="12.21875" style="36" customWidth="1"/>
    <col min="12811" max="12811" width="13" style="36" customWidth="1"/>
    <col min="12812" max="12812" width="12.21875" style="36" customWidth="1"/>
    <col min="12813" max="12813" width="13" style="36" customWidth="1"/>
    <col min="12814" max="12814" width="6.77734375" style="36" customWidth="1"/>
    <col min="12815" max="12815" width="11.21875" style="36" bestFit="1" customWidth="1"/>
    <col min="12816" max="12816" width="13.77734375" style="36" bestFit="1" customWidth="1"/>
    <col min="12817" max="12817" width="11.6640625" style="36" bestFit="1" customWidth="1"/>
    <col min="12818" max="13057" width="8.77734375" style="36"/>
    <col min="13058" max="13058" width="20.6640625" style="36" customWidth="1"/>
    <col min="13059" max="13059" width="12.6640625" style="36" customWidth="1"/>
    <col min="13060" max="13060" width="6.77734375" style="36" customWidth="1"/>
    <col min="13061" max="13061" width="5.77734375" style="36" customWidth="1"/>
    <col min="13062" max="13062" width="6.21875" style="36" customWidth="1"/>
    <col min="13063" max="13063" width="14.77734375" style="36" customWidth="1"/>
    <col min="13064" max="13064" width="12.21875" style="36" customWidth="1"/>
    <col min="13065" max="13065" width="11.88671875" style="36" customWidth="1"/>
    <col min="13066" max="13066" width="12.21875" style="36" customWidth="1"/>
    <col min="13067" max="13067" width="13" style="36" customWidth="1"/>
    <col min="13068" max="13068" width="12.21875" style="36" customWidth="1"/>
    <col min="13069" max="13069" width="13" style="36" customWidth="1"/>
    <col min="13070" max="13070" width="6.77734375" style="36" customWidth="1"/>
    <col min="13071" max="13071" width="11.21875" style="36" bestFit="1" customWidth="1"/>
    <col min="13072" max="13072" width="13.77734375" style="36" bestFit="1" customWidth="1"/>
    <col min="13073" max="13073" width="11.6640625" style="36" bestFit="1" customWidth="1"/>
    <col min="13074" max="13313" width="8.77734375" style="36"/>
    <col min="13314" max="13314" width="20.6640625" style="36" customWidth="1"/>
    <col min="13315" max="13315" width="12.6640625" style="36" customWidth="1"/>
    <col min="13316" max="13316" width="6.77734375" style="36" customWidth="1"/>
    <col min="13317" max="13317" width="5.77734375" style="36" customWidth="1"/>
    <col min="13318" max="13318" width="6.21875" style="36" customWidth="1"/>
    <col min="13319" max="13319" width="14.77734375" style="36" customWidth="1"/>
    <col min="13320" max="13320" width="12.21875" style="36" customWidth="1"/>
    <col min="13321" max="13321" width="11.88671875" style="36" customWidth="1"/>
    <col min="13322" max="13322" width="12.21875" style="36" customWidth="1"/>
    <col min="13323" max="13323" width="13" style="36" customWidth="1"/>
    <col min="13324" max="13324" width="12.21875" style="36" customWidth="1"/>
    <col min="13325" max="13325" width="13" style="36" customWidth="1"/>
    <col min="13326" max="13326" width="6.77734375" style="36" customWidth="1"/>
    <col min="13327" max="13327" width="11.21875" style="36" bestFit="1" customWidth="1"/>
    <col min="13328" max="13328" width="13.77734375" style="36" bestFit="1" customWidth="1"/>
    <col min="13329" max="13329" width="11.6640625" style="36" bestFit="1" customWidth="1"/>
    <col min="13330" max="13569" width="8.77734375" style="36"/>
    <col min="13570" max="13570" width="20.6640625" style="36" customWidth="1"/>
    <col min="13571" max="13571" width="12.6640625" style="36" customWidth="1"/>
    <col min="13572" max="13572" width="6.77734375" style="36" customWidth="1"/>
    <col min="13573" max="13573" width="5.77734375" style="36" customWidth="1"/>
    <col min="13574" max="13574" width="6.21875" style="36" customWidth="1"/>
    <col min="13575" max="13575" width="14.77734375" style="36" customWidth="1"/>
    <col min="13576" max="13576" width="12.21875" style="36" customWidth="1"/>
    <col min="13577" max="13577" width="11.88671875" style="36" customWidth="1"/>
    <col min="13578" max="13578" width="12.21875" style="36" customWidth="1"/>
    <col min="13579" max="13579" width="13" style="36" customWidth="1"/>
    <col min="13580" max="13580" width="12.21875" style="36" customWidth="1"/>
    <col min="13581" max="13581" width="13" style="36" customWidth="1"/>
    <col min="13582" max="13582" width="6.77734375" style="36" customWidth="1"/>
    <col min="13583" max="13583" width="11.21875" style="36" bestFit="1" customWidth="1"/>
    <col min="13584" max="13584" width="13.77734375" style="36" bestFit="1" customWidth="1"/>
    <col min="13585" max="13585" width="11.6640625" style="36" bestFit="1" customWidth="1"/>
    <col min="13586" max="13825" width="8.77734375" style="36"/>
    <col min="13826" max="13826" width="20.6640625" style="36" customWidth="1"/>
    <col min="13827" max="13827" width="12.6640625" style="36" customWidth="1"/>
    <col min="13828" max="13828" width="6.77734375" style="36" customWidth="1"/>
    <col min="13829" max="13829" width="5.77734375" style="36" customWidth="1"/>
    <col min="13830" max="13830" width="6.21875" style="36" customWidth="1"/>
    <col min="13831" max="13831" width="14.77734375" style="36" customWidth="1"/>
    <col min="13832" max="13832" width="12.21875" style="36" customWidth="1"/>
    <col min="13833" max="13833" width="11.88671875" style="36" customWidth="1"/>
    <col min="13834" max="13834" width="12.21875" style="36" customWidth="1"/>
    <col min="13835" max="13835" width="13" style="36" customWidth="1"/>
    <col min="13836" max="13836" width="12.21875" style="36" customWidth="1"/>
    <col min="13837" max="13837" width="13" style="36" customWidth="1"/>
    <col min="13838" max="13838" width="6.77734375" style="36" customWidth="1"/>
    <col min="13839" max="13839" width="11.21875" style="36" bestFit="1" customWidth="1"/>
    <col min="13840" max="13840" width="13.77734375" style="36" bestFit="1" customWidth="1"/>
    <col min="13841" max="13841" width="11.6640625" style="36" bestFit="1" customWidth="1"/>
    <col min="13842" max="14081" width="8.77734375" style="36"/>
    <col min="14082" max="14082" width="20.6640625" style="36" customWidth="1"/>
    <col min="14083" max="14083" width="12.6640625" style="36" customWidth="1"/>
    <col min="14084" max="14084" width="6.77734375" style="36" customWidth="1"/>
    <col min="14085" max="14085" width="5.77734375" style="36" customWidth="1"/>
    <col min="14086" max="14086" width="6.21875" style="36" customWidth="1"/>
    <col min="14087" max="14087" width="14.77734375" style="36" customWidth="1"/>
    <col min="14088" max="14088" width="12.21875" style="36" customWidth="1"/>
    <col min="14089" max="14089" width="11.88671875" style="36" customWidth="1"/>
    <col min="14090" max="14090" width="12.21875" style="36" customWidth="1"/>
    <col min="14091" max="14091" width="13" style="36" customWidth="1"/>
    <col min="14092" max="14092" width="12.21875" style="36" customWidth="1"/>
    <col min="14093" max="14093" width="13" style="36" customWidth="1"/>
    <col min="14094" max="14094" width="6.77734375" style="36" customWidth="1"/>
    <col min="14095" max="14095" width="11.21875" style="36" bestFit="1" customWidth="1"/>
    <col min="14096" max="14096" width="13.77734375" style="36" bestFit="1" customWidth="1"/>
    <col min="14097" max="14097" width="11.6640625" style="36" bestFit="1" customWidth="1"/>
    <col min="14098" max="14337" width="8.77734375" style="36"/>
    <col min="14338" max="14338" width="20.6640625" style="36" customWidth="1"/>
    <col min="14339" max="14339" width="12.6640625" style="36" customWidth="1"/>
    <col min="14340" max="14340" width="6.77734375" style="36" customWidth="1"/>
    <col min="14341" max="14341" width="5.77734375" style="36" customWidth="1"/>
    <col min="14342" max="14342" width="6.21875" style="36" customWidth="1"/>
    <col min="14343" max="14343" width="14.77734375" style="36" customWidth="1"/>
    <col min="14344" max="14344" width="12.21875" style="36" customWidth="1"/>
    <col min="14345" max="14345" width="11.88671875" style="36" customWidth="1"/>
    <col min="14346" max="14346" width="12.21875" style="36" customWidth="1"/>
    <col min="14347" max="14347" width="13" style="36" customWidth="1"/>
    <col min="14348" max="14348" width="12.21875" style="36" customWidth="1"/>
    <col min="14349" max="14349" width="13" style="36" customWidth="1"/>
    <col min="14350" max="14350" width="6.77734375" style="36" customWidth="1"/>
    <col min="14351" max="14351" width="11.21875" style="36" bestFit="1" customWidth="1"/>
    <col min="14352" max="14352" width="13.77734375" style="36" bestFit="1" customWidth="1"/>
    <col min="14353" max="14353" width="11.6640625" style="36" bestFit="1" customWidth="1"/>
    <col min="14354" max="14593" width="8.77734375" style="36"/>
    <col min="14594" max="14594" width="20.6640625" style="36" customWidth="1"/>
    <col min="14595" max="14595" width="12.6640625" style="36" customWidth="1"/>
    <col min="14596" max="14596" width="6.77734375" style="36" customWidth="1"/>
    <col min="14597" max="14597" width="5.77734375" style="36" customWidth="1"/>
    <col min="14598" max="14598" width="6.21875" style="36" customWidth="1"/>
    <col min="14599" max="14599" width="14.77734375" style="36" customWidth="1"/>
    <col min="14600" max="14600" width="12.21875" style="36" customWidth="1"/>
    <col min="14601" max="14601" width="11.88671875" style="36" customWidth="1"/>
    <col min="14602" max="14602" width="12.21875" style="36" customWidth="1"/>
    <col min="14603" max="14603" width="13" style="36" customWidth="1"/>
    <col min="14604" max="14604" width="12.21875" style="36" customWidth="1"/>
    <col min="14605" max="14605" width="13" style="36" customWidth="1"/>
    <col min="14606" max="14606" width="6.77734375" style="36" customWidth="1"/>
    <col min="14607" max="14607" width="11.21875" style="36" bestFit="1" customWidth="1"/>
    <col min="14608" max="14608" width="13.77734375" style="36" bestFit="1" customWidth="1"/>
    <col min="14609" max="14609" width="11.6640625" style="36" bestFit="1" customWidth="1"/>
    <col min="14610" max="14849" width="8.77734375" style="36"/>
    <col min="14850" max="14850" width="20.6640625" style="36" customWidth="1"/>
    <col min="14851" max="14851" width="12.6640625" style="36" customWidth="1"/>
    <col min="14852" max="14852" width="6.77734375" style="36" customWidth="1"/>
    <col min="14853" max="14853" width="5.77734375" style="36" customWidth="1"/>
    <col min="14854" max="14854" width="6.21875" style="36" customWidth="1"/>
    <col min="14855" max="14855" width="14.77734375" style="36" customWidth="1"/>
    <col min="14856" max="14856" width="12.21875" style="36" customWidth="1"/>
    <col min="14857" max="14857" width="11.88671875" style="36" customWidth="1"/>
    <col min="14858" max="14858" width="12.21875" style="36" customWidth="1"/>
    <col min="14859" max="14859" width="13" style="36" customWidth="1"/>
    <col min="14860" max="14860" width="12.21875" style="36" customWidth="1"/>
    <col min="14861" max="14861" width="13" style="36" customWidth="1"/>
    <col min="14862" max="14862" width="6.77734375" style="36" customWidth="1"/>
    <col min="14863" max="14863" width="11.21875" style="36" bestFit="1" customWidth="1"/>
    <col min="14864" max="14864" width="13.77734375" style="36" bestFit="1" customWidth="1"/>
    <col min="14865" max="14865" width="11.6640625" style="36" bestFit="1" customWidth="1"/>
    <col min="14866" max="15105" width="8.77734375" style="36"/>
    <col min="15106" max="15106" width="20.6640625" style="36" customWidth="1"/>
    <col min="15107" max="15107" width="12.6640625" style="36" customWidth="1"/>
    <col min="15108" max="15108" width="6.77734375" style="36" customWidth="1"/>
    <col min="15109" max="15109" width="5.77734375" style="36" customWidth="1"/>
    <col min="15110" max="15110" width="6.21875" style="36" customWidth="1"/>
    <col min="15111" max="15111" width="14.77734375" style="36" customWidth="1"/>
    <col min="15112" max="15112" width="12.21875" style="36" customWidth="1"/>
    <col min="15113" max="15113" width="11.88671875" style="36" customWidth="1"/>
    <col min="15114" max="15114" width="12.21875" style="36" customWidth="1"/>
    <col min="15115" max="15115" width="13" style="36" customWidth="1"/>
    <col min="15116" max="15116" width="12.21875" style="36" customWidth="1"/>
    <col min="15117" max="15117" width="13" style="36" customWidth="1"/>
    <col min="15118" max="15118" width="6.77734375" style="36" customWidth="1"/>
    <col min="15119" max="15119" width="11.21875" style="36" bestFit="1" customWidth="1"/>
    <col min="15120" max="15120" width="13.77734375" style="36" bestFit="1" customWidth="1"/>
    <col min="15121" max="15121" width="11.6640625" style="36" bestFit="1" customWidth="1"/>
    <col min="15122" max="15361" width="8.77734375" style="36"/>
    <col min="15362" max="15362" width="20.6640625" style="36" customWidth="1"/>
    <col min="15363" max="15363" width="12.6640625" style="36" customWidth="1"/>
    <col min="15364" max="15364" width="6.77734375" style="36" customWidth="1"/>
    <col min="15365" max="15365" width="5.77734375" style="36" customWidth="1"/>
    <col min="15366" max="15366" width="6.21875" style="36" customWidth="1"/>
    <col min="15367" max="15367" width="14.77734375" style="36" customWidth="1"/>
    <col min="15368" max="15368" width="12.21875" style="36" customWidth="1"/>
    <col min="15369" max="15369" width="11.88671875" style="36" customWidth="1"/>
    <col min="15370" max="15370" width="12.21875" style="36" customWidth="1"/>
    <col min="15371" max="15371" width="13" style="36" customWidth="1"/>
    <col min="15372" max="15372" width="12.21875" style="36" customWidth="1"/>
    <col min="15373" max="15373" width="13" style="36" customWidth="1"/>
    <col min="15374" max="15374" width="6.77734375" style="36" customWidth="1"/>
    <col min="15375" max="15375" width="11.21875" style="36" bestFit="1" customWidth="1"/>
    <col min="15376" max="15376" width="13.77734375" style="36" bestFit="1" customWidth="1"/>
    <col min="15377" max="15377" width="11.6640625" style="36" bestFit="1" customWidth="1"/>
    <col min="15378" max="15617" width="8.77734375" style="36"/>
    <col min="15618" max="15618" width="20.6640625" style="36" customWidth="1"/>
    <col min="15619" max="15619" width="12.6640625" style="36" customWidth="1"/>
    <col min="15620" max="15620" width="6.77734375" style="36" customWidth="1"/>
    <col min="15621" max="15621" width="5.77734375" style="36" customWidth="1"/>
    <col min="15622" max="15622" width="6.21875" style="36" customWidth="1"/>
    <col min="15623" max="15623" width="14.77734375" style="36" customWidth="1"/>
    <col min="15624" max="15624" width="12.21875" style="36" customWidth="1"/>
    <col min="15625" max="15625" width="11.88671875" style="36" customWidth="1"/>
    <col min="15626" max="15626" width="12.21875" style="36" customWidth="1"/>
    <col min="15627" max="15627" width="13" style="36" customWidth="1"/>
    <col min="15628" max="15628" width="12.21875" style="36" customWidth="1"/>
    <col min="15629" max="15629" width="13" style="36" customWidth="1"/>
    <col min="15630" max="15630" width="6.77734375" style="36" customWidth="1"/>
    <col min="15631" max="15631" width="11.21875" style="36" bestFit="1" customWidth="1"/>
    <col min="15632" max="15632" width="13.77734375" style="36" bestFit="1" customWidth="1"/>
    <col min="15633" max="15633" width="11.6640625" style="36" bestFit="1" customWidth="1"/>
    <col min="15634" max="15873" width="8.77734375" style="36"/>
    <col min="15874" max="15874" width="20.6640625" style="36" customWidth="1"/>
    <col min="15875" max="15875" width="12.6640625" style="36" customWidth="1"/>
    <col min="15876" max="15876" width="6.77734375" style="36" customWidth="1"/>
    <col min="15877" max="15877" width="5.77734375" style="36" customWidth="1"/>
    <col min="15878" max="15878" width="6.21875" style="36" customWidth="1"/>
    <col min="15879" max="15879" width="14.77734375" style="36" customWidth="1"/>
    <col min="15880" max="15880" width="12.21875" style="36" customWidth="1"/>
    <col min="15881" max="15881" width="11.88671875" style="36" customWidth="1"/>
    <col min="15882" max="15882" width="12.21875" style="36" customWidth="1"/>
    <col min="15883" max="15883" width="13" style="36" customWidth="1"/>
    <col min="15884" max="15884" width="12.21875" style="36" customWidth="1"/>
    <col min="15885" max="15885" width="13" style="36" customWidth="1"/>
    <col min="15886" max="15886" width="6.77734375" style="36" customWidth="1"/>
    <col min="15887" max="15887" width="11.21875" style="36" bestFit="1" customWidth="1"/>
    <col min="15888" max="15888" width="13.77734375" style="36" bestFit="1" customWidth="1"/>
    <col min="15889" max="15889" width="11.6640625" style="36" bestFit="1" customWidth="1"/>
    <col min="15890" max="16129" width="8.77734375" style="36"/>
    <col min="16130" max="16130" width="20.6640625" style="36" customWidth="1"/>
    <col min="16131" max="16131" width="12.6640625" style="36" customWidth="1"/>
    <col min="16132" max="16132" width="6.77734375" style="36" customWidth="1"/>
    <col min="16133" max="16133" width="5.77734375" style="36" customWidth="1"/>
    <col min="16134" max="16134" width="6.21875" style="36" customWidth="1"/>
    <col min="16135" max="16135" width="14.77734375" style="36" customWidth="1"/>
    <col min="16136" max="16136" width="12.21875" style="36" customWidth="1"/>
    <col min="16137" max="16137" width="11.88671875" style="36" customWidth="1"/>
    <col min="16138" max="16138" width="12.21875" style="36" customWidth="1"/>
    <col min="16139" max="16139" width="13" style="36" customWidth="1"/>
    <col min="16140" max="16140" width="12.21875" style="36" customWidth="1"/>
    <col min="16141" max="16141" width="13" style="36" customWidth="1"/>
    <col min="16142" max="16142" width="6.77734375" style="36" customWidth="1"/>
    <col min="16143" max="16143" width="11.21875" style="36" bestFit="1" customWidth="1"/>
    <col min="16144" max="16144" width="13.77734375" style="36" bestFit="1" customWidth="1"/>
    <col min="16145" max="16145" width="11.6640625" style="36" bestFit="1" customWidth="1"/>
    <col min="16146" max="16384" width="8.77734375" style="36"/>
  </cols>
  <sheetData>
    <row r="1" spans="2:15" ht="24.95" customHeight="1">
      <c r="B1" s="1710" t="s">
        <v>153</v>
      </c>
      <c r="C1" s="1712" t="s">
        <v>157</v>
      </c>
      <c r="D1" s="1714" t="s">
        <v>155</v>
      </c>
      <c r="E1" s="1712" t="s">
        <v>49</v>
      </c>
      <c r="F1" s="1707" t="s">
        <v>167</v>
      </c>
      <c r="G1" s="1707"/>
      <c r="H1" s="1707" t="s">
        <v>173</v>
      </c>
      <c r="I1" s="1707"/>
      <c r="J1" s="1707" t="s">
        <v>164</v>
      </c>
      <c r="K1" s="1707"/>
      <c r="L1" s="1707" t="s">
        <v>154</v>
      </c>
      <c r="M1" s="1707"/>
      <c r="N1" s="1708" t="s">
        <v>42</v>
      </c>
    </row>
    <row r="2" spans="2:15" ht="24.95" customHeight="1" thickBot="1">
      <c r="B2" s="1711"/>
      <c r="C2" s="1713"/>
      <c r="D2" s="1713"/>
      <c r="E2" s="1713"/>
      <c r="F2" s="37" t="s">
        <v>75</v>
      </c>
      <c r="G2" s="37" t="s">
        <v>71</v>
      </c>
      <c r="H2" s="37" t="s">
        <v>75</v>
      </c>
      <c r="I2" s="37" t="s">
        <v>71</v>
      </c>
      <c r="J2" s="37" t="s">
        <v>75</v>
      </c>
      <c r="K2" s="37" t="s">
        <v>71</v>
      </c>
      <c r="L2" s="37" t="s">
        <v>75</v>
      </c>
      <c r="M2" s="37" t="s">
        <v>71</v>
      </c>
      <c r="N2" s="1709"/>
    </row>
    <row r="3" spans="2:15" ht="30" customHeight="1" thickTop="1">
      <c r="B3" s="38" t="s">
        <v>1927</v>
      </c>
      <c r="C3" s="39"/>
      <c r="D3" s="39"/>
      <c r="E3" s="39"/>
      <c r="F3" s="40"/>
      <c r="G3" s="40"/>
      <c r="H3" s="40"/>
      <c r="I3" s="40"/>
      <c r="J3" s="40"/>
      <c r="K3" s="40"/>
      <c r="L3" s="40"/>
      <c r="M3" s="40"/>
      <c r="N3" s="41"/>
    </row>
    <row r="4" spans="2:15" s="47" customFormat="1" ht="30" customHeight="1">
      <c r="B4" s="42" t="s">
        <v>94</v>
      </c>
      <c r="C4" s="43"/>
      <c r="D4" s="44"/>
      <c r="E4" s="44"/>
      <c r="F4" s="45"/>
      <c r="G4" s="45" t="e">
        <f t="shared" ref="G4:G44" si="0">I4+K4+M4</f>
        <v>#REF!</v>
      </c>
      <c r="H4" s="45"/>
      <c r="I4" s="45">
        <f>I5+I6+I10+I27+I32+I39+I45+I48</f>
        <v>0</v>
      </c>
      <c r="J4" s="45"/>
      <c r="K4" s="45" t="e">
        <f>K5+K6+K10+K27+K32+K39+K45+K48</f>
        <v>#REF!</v>
      </c>
      <c r="L4" s="45"/>
      <c r="M4" s="45">
        <f>M5+M6+M10+M27+M32+M39+M45+M48</f>
        <v>0</v>
      </c>
      <c r="N4" s="46"/>
    </row>
    <row r="5" spans="2:15" s="47" customFormat="1" ht="30" customHeight="1">
      <c r="B5" s="57" t="str">
        <f>'비상대처계획(적용수량)'!A5</f>
        <v xml:space="preserve"> 가. 작업계획</v>
      </c>
      <c r="C5" s="48"/>
      <c r="D5" s="1449">
        <f>'비상대처계획(적용수량)'!K5</f>
        <v>0.32200000000000001</v>
      </c>
      <c r="E5" s="50" t="str">
        <f>'비상대처계획(적용수량)'!B5</f>
        <v>10㎞</v>
      </c>
      <c r="F5" s="51"/>
      <c r="G5" s="51">
        <f t="shared" si="0"/>
        <v>938840.58799999999</v>
      </c>
      <c r="H5" s="51">
        <f>'일위대가5(비상대처계획)'!H11</f>
        <v>0</v>
      </c>
      <c r="I5" s="56">
        <f>H5*$D$5</f>
        <v>0</v>
      </c>
      <c r="J5" s="51">
        <f>'일위대가5(비상대처계획)'!J11</f>
        <v>2915654</v>
      </c>
      <c r="K5" s="56">
        <f>J5*$D$5</f>
        <v>938840.58799999999</v>
      </c>
      <c r="L5" s="51">
        <f>'일위대가5(비상대처계획)'!L11</f>
        <v>0</v>
      </c>
      <c r="M5" s="56">
        <f>L5*$D$5</f>
        <v>0</v>
      </c>
      <c r="N5" s="52" t="s">
        <v>1370</v>
      </c>
      <c r="O5" s="53"/>
    </row>
    <row r="6" spans="2:15" s="47" customFormat="1" ht="30" customHeight="1">
      <c r="B6" s="57" t="str">
        <f>'비상대처계획(적용수량)'!A6</f>
        <v xml:space="preserve"> 나. 사업개요</v>
      </c>
      <c r="C6" s="87"/>
      <c r="D6" s="1449"/>
      <c r="E6" s="50"/>
      <c r="F6" s="51"/>
      <c r="G6" s="51">
        <f t="shared" si="0"/>
        <v>2823763</v>
      </c>
      <c r="H6" s="51"/>
      <c r="I6" s="51">
        <f>SUM(I7:I9)</f>
        <v>0</v>
      </c>
      <c r="J6" s="51"/>
      <c r="K6" s="51">
        <f>SUM(K7:K9)</f>
        <v>2823763</v>
      </c>
      <c r="L6" s="51"/>
      <c r="M6" s="51">
        <f>SUM(M7:M9)</f>
        <v>0</v>
      </c>
      <c r="N6" s="1451"/>
    </row>
    <row r="7" spans="2:15" s="47" customFormat="1" ht="30" customHeight="1">
      <c r="B7" s="58" t="str">
        <f>'비상대처계획(적용수량)'!A7</f>
        <v xml:space="preserve">  1) EAP 기본정보 및 댐저수지 일반정보</v>
      </c>
      <c r="C7" s="48"/>
      <c r="D7" s="1450">
        <f>'비상대처계획(적용수량)'!K7</f>
        <v>1</v>
      </c>
      <c r="E7" s="55" t="str">
        <f>'비상대처계획(적용수량)'!B7</f>
        <v>1개소</v>
      </c>
      <c r="F7" s="51"/>
      <c r="G7" s="56">
        <f t="shared" si="0"/>
        <v>1611512</v>
      </c>
      <c r="H7" s="51">
        <f>'일위대가5(비상대처계획)'!H21</f>
        <v>0</v>
      </c>
      <c r="I7" s="51"/>
      <c r="J7" s="56">
        <f>'일위대가5(비상대처계획)'!J21</f>
        <v>1611512</v>
      </c>
      <c r="K7" s="56">
        <f>J7*D7</f>
        <v>1611512</v>
      </c>
      <c r="L7" s="51"/>
      <c r="M7" s="51"/>
      <c r="N7" s="52" t="s">
        <v>1403</v>
      </c>
      <c r="O7" s="53"/>
    </row>
    <row r="8" spans="2:15" s="47" customFormat="1" ht="30" customHeight="1">
      <c r="B8" s="58" t="str">
        <f>'비상대처계획(적용수량)'!A8</f>
        <v xml:space="preserve">  2) EAP 배포기관</v>
      </c>
      <c r="C8" s="48"/>
      <c r="D8" s="1450">
        <f>'비상대처계획(적용수량)'!K8</f>
        <v>1</v>
      </c>
      <c r="E8" s="55" t="str">
        <f>'비상대처계획(적용수량)'!B8</f>
        <v>1개소</v>
      </c>
      <c r="F8" s="51"/>
      <c r="G8" s="56">
        <f t="shared" si="0"/>
        <v>405318</v>
      </c>
      <c r="H8" s="51">
        <f>'일위대가5(비상대처계획)'!H31</f>
        <v>0</v>
      </c>
      <c r="I8" s="51"/>
      <c r="J8" s="56">
        <f>'일위대가5(비상대처계획)'!J31</f>
        <v>405318</v>
      </c>
      <c r="K8" s="56">
        <f>J8*D8</f>
        <v>405318</v>
      </c>
      <c r="L8" s="51"/>
      <c r="M8" s="51"/>
      <c r="N8" s="52" t="s">
        <v>1404</v>
      </c>
    </row>
    <row r="9" spans="2:15" s="47" customFormat="1" ht="30" customHeight="1">
      <c r="B9" s="58" t="str">
        <f>'비상대처계획(적용수량)'!A9</f>
        <v xml:space="preserve">  3) EAP 작성, 보완 및 갱신</v>
      </c>
      <c r="C9" s="48"/>
      <c r="D9" s="1450">
        <f>'비상대처계획(적용수량)'!K9</f>
        <v>1</v>
      </c>
      <c r="E9" s="55" t="str">
        <f>'비상대처계획(적용수량)'!B9</f>
        <v>1개소</v>
      </c>
      <c r="F9" s="51"/>
      <c r="G9" s="56">
        <f t="shared" si="0"/>
        <v>806933</v>
      </c>
      <c r="H9" s="51">
        <f>'일위대가5(비상대처계획)'!H42</f>
        <v>0</v>
      </c>
      <c r="I9" s="51"/>
      <c r="J9" s="56">
        <f>'일위대가5(비상대처계획)'!J42</f>
        <v>806933</v>
      </c>
      <c r="K9" s="56">
        <f>J9*D9</f>
        <v>806933</v>
      </c>
      <c r="L9" s="51"/>
      <c r="M9" s="51"/>
      <c r="N9" s="52" t="s">
        <v>1405</v>
      </c>
    </row>
    <row r="10" spans="2:15" s="47" customFormat="1" ht="30" customHeight="1">
      <c r="B10" s="57" t="str">
        <f>'비상대처계획(적용수량)'!A10</f>
        <v xml:space="preserve"> 다. 하류부 영향 평가</v>
      </c>
      <c r="C10" s="48"/>
      <c r="D10" s="1449"/>
      <c r="E10" s="50"/>
      <c r="F10" s="51"/>
      <c r="G10" s="56">
        <f t="shared" si="0"/>
        <v>0</v>
      </c>
      <c r="H10" s="51"/>
      <c r="I10" s="51"/>
      <c r="J10" s="56"/>
      <c r="K10" s="56"/>
      <c r="L10" s="51"/>
      <c r="M10" s="51"/>
      <c r="N10" s="52"/>
    </row>
    <row r="11" spans="2:15" s="47" customFormat="1" ht="30" customHeight="1">
      <c r="B11" s="58" t="str">
        <f>'비상대처계획(적용수량)'!A11</f>
        <v xml:space="preserve">  1) 하류부 하천 및 유역개요</v>
      </c>
      <c r="C11" s="48"/>
      <c r="D11" s="1450" t="e">
        <f>'비상대처계획(적용수량)'!K11</f>
        <v>#REF!</v>
      </c>
      <c r="E11" s="55" t="str">
        <f>'비상대처계획(적용수량)'!B11</f>
        <v>100km2</v>
      </c>
      <c r="F11" s="51"/>
      <c r="G11" s="56" t="e">
        <f t="shared" si="0"/>
        <v>#REF!</v>
      </c>
      <c r="H11" s="56"/>
      <c r="I11" s="56"/>
      <c r="J11" s="56">
        <f>'일위대가5(비상대처계획)'!J51</f>
        <v>0</v>
      </c>
      <c r="K11" s="56" t="e">
        <f>J11*D11</f>
        <v>#REF!</v>
      </c>
      <c r="L11" s="51"/>
      <c r="M11" s="51"/>
      <c r="N11" s="52" t="s">
        <v>1406</v>
      </c>
      <c r="O11" s="53"/>
    </row>
    <row r="12" spans="2:15" s="47" customFormat="1" ht="30" customHeight="1">
      <c r="B12" s="58" t="str">
        <f>'비상대처계획(적용수량)'!A12</f>
        <v xml:space="preserve">  2) 댐 붕괴 위험성의 평가</v>
      </c>
      <c r="C12" s="48"/>
      <c r="D12" s="1450">
        <f>'비상대처계획(적용수량)'!K12</f>
        <v>0</v>
      </c>
      <c r="E12" s="55"/>
      <c r="F12" s="51"/>
      <c r="G12" s="56">
        <f t="shared" si="0"/>
        <v>0</v>
      </c>
      <c r="H12" s="51"/>
      <c r="I12" s="51"/>
      <c r="J12" s="59"/>
      <c r="K12" s="51">
        <f>SUM(K13:K15)</f>
        <v>0</v>
      </c>
      <c r="L12" s="51"/>
      <c r="M12" s="51"/>
      <c r="N12" s="52"/>
    </row>
    <row r="13" spans="2:15" s="47" customFormat="1" ht="30" customHeight="1">
      <c r="B13" s="58" t="str">
        <f>'비상대처계획(적용수량)'!A13</f>
        <v xml:space="preserve">   ① 관련자료 조사검토</v>
      </c>
      <c r="C13" s="48"/>
      <c r="D13" s="1450">
        <f>'비상대처계획(적용수량)'!K13</f>
        <v>0</v>
      </c>
      <c r="E13" s="55" t="str">
        <f>'비상대처계획(적용수량)'!B13</f>
        <v>1개소</v>
      </c>
      <c r="F13" s="51"/>
      <c r="G13" s="56">
        <f t="shared" si="0"/>
        <v>0</v>
      </c>
      <c r="H13" s="51"/>
      <c r="I13" s="51"/>
      <c r="J13" s="56">
        <f>'일위대가5(비상대처계획)'!J62</f>
        <v>0</v>
      </c>
      <c r="K13" s="56">
        <f>J13*D13</f>
        <v>0</v>
      </c>
      <c r="L13" s="51"/>
      <c r="M13" s="51"/>
      <c r="N13" s="52" t="s">
        <v>1407</v>
      </c>
    </row>
    <row r="14" spans="2:15" s="47" customFormat="1" ht="30" customHeight="1">
      <c r="B14" s="58" t="str">
        <f>'비상대처계획(적용수량)'!A14</f>
        <v xml:space="preserve">   ② 수문학적 안전성 평가</v>
      </c>
      <c r="C14" s="48"/>
      <c r="D14" s="1450">
        <f>'비상대처계획(적용수량)'!K14</f>
        <v>0</v>
      </c>
      <c r="E14" s="55" t="str">
        <f>'비상대처계획(적용수량)'!B14</f>
        <v>1개소</v>
      </c>
      <c r="F14" s="51"/>
      <c r="G14" s="56">
        <f t="shared" si="0"/>
        <v>0</v>
      </c>
      <c r="H14" s="56"/>
      <c r="I14" s="56"/>
      <c r="J14" s="56">
        <f>'일위대가5(비상대처계획)'!J71</f>
        <v>0</v>
      </c>
      <c r="K14" s="56">
        <f t="shared" ref="K14:K31" si="1">J14*D14</f>
        <v>0</v>
      </c>
      <c r="L14" s="51"/>
      <c r="M14" s="51"/>
      <c r="N14" s="52" t="s">
        <v>1408</v>
      </c>
    </row>
    <row r="15" spans="2:15" s="47" customFormat="1" ht="30" customHeight="1">
      <c r="B15" s="58" t="str">
        <f>'비상대처계획(적용수량)'!A15</f>
        <v xml:space="preserve">   ③ 내진 안전성 평가</v>
      </c>
      <c r="C15" s="48"/>
      <c r="D15" s="1450">
        <f>'비상대처계획(적용수량)'!K15</f>
        <v>0</v>
      </c>
      <c r="E15" s="55" t="str">
        <f>'비상대처계획(적용수량)'!B15</f>
        <v>1개소</v>
      </c>
      <c r="F15" s="51"/>
      <c r="G15" s="56">
        <f t="shared" si="0"/>
        <v>0</v>
      </c>
      <c r="H15" s="51"/>
      <c r="I15" s="51"/>
      <c r="J15" s="56">
        <f>'일위대가5(비상대처계획)'!J82</f>
        <v>0</v>
      </c>
      <c r="K15" s="56">
        <f t="shared" si="1"/>
        <v>0</v>
      </c>
      <c r="L15" s="51"/>
      <c r="M15" s="51"/>
      <c r="N15" s="52" t="s">
        <v>1409</v>
      </c>
    </row>
    <row r="16" spans="2:15" s="47" customFormat="1" ht="30" customHeight="1">
      <c r="B16" s="58" t="str">
        <f>'비상대처계획(적용수량)'!A16</f>
        <v xml:space="preserve">  3) 댐 붕괴 홍수류 해석</v>
      </c>
      <c r="C16" s="48"/>
      <c r="D16" s="1450">
        <f>'비상대처계획(적용수량)'!K16</f>
        <v>0</v>
      </c>
      <c r="E16" s="55"/>
      <c r="F16" s="51"/>
      <c r="G16" s="56" t="e">
        <f t="shared" si="0"/>
        <v>#REF!</v>
      </c>
      <c r="H16" s="56"/>
      <c r="I16" s="56"/>
      <c r="J16" s="56"/>
      <c r="K16" s="56" t="e">
        <f>SUM(K17:K26)</f>
        <v>#REF!</v>
      </c>
      <c r="L16" s="51"/>
      <c r="M16" s="56">
        <f>SUM(M17:M26)</f>
        <v>0</v>
      </c>
      <c r="N16" s="52"/>
    </row>
    <row r="17" spans="1:15" s="47" customFormat="1" ht="30" customHeight="1">
      <c r="B17" s="58" t="str">
        <f>'비상대처계획(적용수량)'!A17</f>
        <v xml:space="preserve">   ① 기초자료 조사</v>
      </c>
      <c r="C17" s="48"/>
      <c r="D17" s="1450" t="e">
        <f>'비상대처계획(적용수량)'!K17</f>
        <v>#REF!</v>
      </c>
      <c r="E17" s="55" t="str">
        <f>'비상대처계획(적용수량)'!B17</f>
        <v>100km2</v>
      </c>
      <c r="F17" s="51"/>
      <c r="G17" s="56" t="e">
        <f t="shared" si="0"/>
        <v>#REF!</v>
      </c>
      <c r="H17" s="56"/>
      <c r="I17" s="56"/>
      <c r="J17" s="56">
        <f>'일위대가5(비상대처계획)'!J91</f>
        <v>0</v>
      </c>
      <c r="K17" s="56" t="e">
        <f t="shared" si="1"/>
        <v>#REF!</v>
      </c>
      <c r="L17" s="51"/>
      <c r="M17" s="51"/>
      <c r="N17" s="52" t="s">
        <v>1410</v>
      </c>
      <c r="O17" s="53"/>
    </row>
    <row r="18" spans="1:15" s="47" customFormat="1" ht="30" customHeight="1">
      <c r="B18" s="58" t="str">
        <f>'비상대처계획(적용수량)'!A18</f>
        <v xml:space="preserve">   ② 최근의 국·내외 댐 붕괴 사례 조사</v>
      </c>
      <c r="C18" s="48"/>
      <c r="D18" s="1450">
        <f>'비상대처계획(적용수량)'!K18</f>
        <v>0</v>
      </c>
      <c r="E18" s="55" t="str">
        <f>'비상대처계획(적용수량)'!B18</f>
        <v>1식</v>
      </c>
      <c r="F18" s="56"/>
      <c r="G18" s="56">
        <f t="shared" si="0"/>
        <v>0</v>
      </c>
      <c r="H18" s="56"/>
      <c r="I18" s="56"/>
      <c r="J18" s="56">
        <f>'일위대가5(비상대처계획)'!J102</f>
        <v>0</v>
      </c>
      <c r="K18" s="56">
        <f t="shared" si="1"/>
        <v>0</v>
      </c>
      <c r="L18" s="51"/>
      <c r="M18" s="51"/>
      <c r="N18" s="1463" t="s">
        <v>1411</v>
      </c>
    </row>
    <row r="19" spans="1:15" s="47" customFormat="1" ht="30" customHeight="1">
      <c r="B19" s="58" t="str">
        <f>'비상대처계획(적용수량)'!A19</f>
        <v xml:space="preserve">   ③ 댐 및 저수지 붕괴 시나리오 구성</v>
      </c>
      <c r="C19" s="48"/>
      <c r="D19" s="1450">
        <f>'비상대처계획(적용수량)'!K19</f>
        <v>0</v>
      </c>
      <c r="E19" s="55" t="str">
        <f>'비상대처계획(적용수량)'!B19</f>
        <v>10㎞</v>
      </c>
      <c r="F19" s="56"/>
      <c r="G19" s="56">
        <f t="shared" si="0"/>
        <v>0</v>
      </c>
      <c r="H19" s="56"/>
      <c r="I19" s="56"/>
      <c r="J19" s="56">
        <f>'일위대가5(비상대처계획)'!J111</f>
        <v>0</v>
      </c>
      <c r="K19" s="56">
        <f t="shared" si="1"/>
        <v>0</v>
      </c>
      <c r="L19" s="51"/>
      <c r="M19" s="51"/>
      <c r="N19" s="1463" t="s">
        <v>1412</v>
      </c>
    </row>
    <row r="20" spans="1:15" s="47" customFormat="1" ht="30" customHeight="1">
      <c r="B20" s="58" t="str">
        <f>'비상대처계획(적용수량)'!A20</f>
        <v xml:space="preserve">   ④ 시나리오에 따른 홍수량 산정(댐 유역)</v>
      </c>
      <c r="C20" s="48"/>
      <c r="D20" s="1450" t="e">
        <f>'비상대처계획(적용수량)'!K20</f>
        <v>#REF!</v>
      </c>
      <c r="E20" s="55" t="str">
        <f>'비상대처계획(적용수량)'!B20</f>
        <v>100km2</v>
      </c>
      <c r="F20" s="56"/>
      <c r="G20" s="56" t="e">
        <f t="shared" si="0"/>
        <v>#REF!</v>
      </c>
      <c r="H20" s="56"/>
      <c r="I20" s="56"/>
      <c r="J20" s="56">
        <f>'일위대가5(비상대처계획)'!J122</f>
        <v>0</v>
      </c>
      <c r="K20" s="56" t="e">
        <f t="shared" si="1"/>
        <v>#REF!</v>
      </c>
      <c r="L20" s="51"/>
      <c r="M20" s="51"/>
      <c r="N20" s="1463" t="s">
        <v>1413</v>
      </c>
    </row>
    <row r="21" spans="1:15" s="47" customFormat="1" ht="30" customHeight="1">
      <c r="B21" s="58" t="str">
        <f>'비상대처계획(적용수량)'!A21</f>
        <v xml:space="preserve">   ⑤ 시나리오에 따른 홍수량 산정(댐 하류유역)</v>
      </c>
      <c r="C21" s="48"/>
      <c r="D21" s="1450" t="e">
        <f>'비상대처계획(적용수량)'!K21</f>
        <v>#REF!</v>
      </c>
      <c r="E21" s="55" t="str">
        <f>'비상대처계획(적용수량)'!B21</f>
        <v>100km2</v>
      </c>
      <c r="F21" s="56"/>
      <c r="G21" s="51" t="e">
        <f t="shared" si="0"/>
        <v>#REF!</v>
      </c>
      <c r="H21" s="51"/>
      <c r="I21" s="51"/>
      <c r="J21" s="56">
        <f>'일위대가5(비상대처계획)'!J131</f>
        <v>0</v>
      </c>
      <c r="K21" s="56" t="e">
        <f t="shared" si="1"/>
        <v>#REF!</v>
      </c>
      <c r="L21" s="51"/>
      <c r="M21" s="51"/>
      <c r="N21" s="1463" t="s">
        <v>1414</v>
      </c>
    </row>
    <row r="22" spans="1:15" s="47" customFormat="1" ht="30" customHeight="1">
      <c r="B22" s="58" t="str">
        <f>'비상대처계획(적용수량)'!A22</f>
        <v xml:space="preserve">   ⑥ 댐 하류부 지형분석</v>
      </c>
      <c r="C22" s="48"/>
      <c r="D22" s="1450">
        <f>'비상대처계획(적용수량)'!K22</f>
        <v>0</v>
      </c>
      <c r="E22" s="55" t="str">
        <f>'비상대처계획(적용수량)'!B22</f>
        <v>50km2</v>
      </c>
      <c r="F22" s="56"/>
      <c r="G22" s="56">
        <f t="shared" si="0"/>
        <v>0</v>
      </c>
      <c r="H22" s="56"/>
      <c r="I22" s="56"/>
      <c r="J22" s="56">
        <f>'일위대가5(비상대처계획)'!J142</f>
        <v>0</v>
      </c>
      <c r="K22" s="56">
        <f t="shared" si="1"/>
        <v>0</v>
      </c>
      <c r="L22" s="51"/>
      <c r="M22" s="56"/>
      <c r="N22" s="1463" t="s">
        <v>1415</v>
      </c>
    </row>
    <row r="23" spans="1:15" s="47" customFormat="1" ht="30" customHeight="1">
      <c r="B23" s="58" t="str">
        <f>'비상대처계획(적용수량)'!A23</f>
        <v xml:space="preserve">   ⑦ 댐 붕괴 모의 수행(1차원 해석)</v>
      </c>
      <c r="C23" s="48"/>
      <c r="D23" s="1450">
        <f>'비상대처계획(적용수량)'!K23</f>
        <v>0</v>
      </c>
      <c r="E23" s="55" t="str">
        <f>'비상대처계획(적용수량)'!B23</f>
        <v>10㎞</v>
      </c>
      <c r="F23" s="56"/>
      <c r="G23" s="56">
        <f t="shared" si="0"/>
        <v>0</v>
      </c>
      <c r="H23" s="56"/>
      <c r="I23" s="56"/>
      <c r="J23" s="56">
        <f>'일위대가5(비상대처계획)'!J151</f>
        <v>0</v>
      </c>
      <c r="K23" s="56">
        <f t="shared" si="1"/>
        <v>0</v>
      </c>
      <c r="L23" s="51"/>
      <c r="M23" s="51"/>
      <c r="N23" s="1463" t="s">
        <v>1416</v>
      </c>
    </row>
    <row r="24" spans="1:15" s="47" customFormat="1" ht="30" customHeight="1">
      <c r="B24" s="58" t="str">
        <f>'비상대처계획(적용수량)'!A24</f>
        <v xml:space="preserve">   ⑧ 댐 붕괴 모의 수행(2차원 해석)</v>
      </c>
      <c r="C24" s="48"/>
      <c r="D24" s="1450">
        <f>'비상대처계획(적용수량)'!K24</f>
        <v>0</v>
      </c>
      <c r="E24" s="55" t="str">
        <f>'비상대처계획(적용수량)'!B24</f>
        <v>10㎞</v>
      </c>
      <c r="F24" s="56"/>
      <c r="G24" s="56">
        <f t="shared" si="0"/>
        <v>0</v>
      </c>
      <c r="H24" s="56"/>
      <c r="I24" s="56"/>
      <c r="J24" s="56">
        <f>'일위대가5(비상대처계획)'!J162</f>
        <v>0</v>
      </c>
      <c r="K24" s="56">
        <f t="shared" si="1"/>
        <v>0</v>
      </c>
      <c r="L24" s="51"/>
      <c r="M24" s="51"/>
      <c r="N24" s="1463" t="s">
        <v>1417</v>
      </c>
    </row>
    <row r="25" spans="1:15" s="162" customFormat="1" ht="30" customHeight="1">
      <c r="B25" s="58" t="str">
        <f>'비상대처계획(적용수량)'!A25</f>
        <v xml:space="preserve">   ⑨ 홍수범람도 작성</v>
      </c>
      <c r="C25" s="227"/>
      <c r="D25" s="1450">
        <f>'비상대처계획(적용수량)'!K25</f>
        <v>0</v>
      </c>
      <c r="E25" s="55" t="str">
        <f>'비상대처계획(적용수량)'!B25</f>
        <v>50km2</v>
      </c>
      <c r="F25" s="163"/>
      <c r="G25" s="163">
        <f t="shared" si="0"/>
        <v>0</v>
      </c>
      <c r="H25" s="163"/>
      <c r="I25" s="163"/>
      <c r="J25" s="56">
        <f>'일위대가5(비상대처계획)'!J171</f>
        <v>0</v>
      </c>
      <c r="K25" s="56">
        <f t="shared" si="1"/>
        <v>0</v>
      </c>
      <c r="L25" s="165"/>
      <c r="M25" s="165"/>
      <c r="N25" s="1463" t="s">
        <v>1418</v>
      </c>
    </row>
    <row r="26" spans="1:15" s="162" customFormat="1" ht="30" customHeight="1">
      <c r="B26" s="58" t="str">
        <f>'비상대처계획(적용수량)'!A26</f>
        <v xml:space="preserve">   ⑩ 주요지점별 홍수해석 결과 분석</v>
      </c>
      <c r="C26" s="227"/>
      <c r="D26" s="1450">
        <f>'비상대처계획(적용수량)'!K26</f>
        <v>0</v>
      </c>
      <c r="E26" s="55" t="str">
        <f>'비상대처계획(적용수량)'!B26</f>
        <v>10㎞</v>
      </c>
      <c r="F26" s="163"/>
      <c r="G26" s="163">
        <f t="shared" si="0"/>
        <v>0</v>
      </c>
      <c r="H26" s="163"/>
      <c r="I26" s="163"/>
      <c r="J26" s="56">
        <f>'일위대가5(비상대처계획)'!J182</f>
        <v>0</v>
      </c>
      <c r="K26" s="56">
        <f t="shared" si="1"/>
        <v>0</v>
      </c>
      <c r="L26" s="165"/>
      <c r="M26" s="165"/>
      <c r="N26" s="1463" t="s">
        <v>1419</v>
      </c>
    </row>
    <row r="27" spans="1:15" s="167" customFormat="1" ht="30" customHeight="1">
      <c r="A27" s="162"/>
      <c r="B27" s="57" t="str">
        <f>'비상대처계획(적용수량)'!A27</f>
        <v xml:space="preserve"> 라. 비상상황 관리</v>
      </c>
      <c r="C27" s="227"/>
      <c r="D27" s="1449"/>
      <c r="E27" s="50"/>
      <c r="F27" s="165"/>
      <c r="G27" s="165" t="e">
        <f t="shared" si="0"/>
        <v>#REF!</v>
      </c>
      <c r="H27" s="165"/>
      <c r="I27" s="165"/>
      <c r="J27" s="165"/>
      <c r="K27" s="165" t="e">
        <f>SUM(K28:K31)</f>
        <v>#REF!</v>
      </c>
      <c r="L27" s="165"/>
      <c r="M27" s="163"/>
      <c r="N27" s="1464"/>
    </row>
    <row r="28" spans="1:15" s="167" customFormat="1" ht="30" customHeight="1">
      <c r="A28" s="162"/>
      <c r="B28" s="58" t="str">
        <f>'비상대처계획(적용수량)'!A28</f>
        <v xml:space="preserve">  1) 비상상황시 정보취득 및 보고방법</v>
      </c>
      <c r="C28" s="227"/>
      <c r="D28" s="1450">
        <f>'비상대처계획(적용수량)'!K28</f>
        <v>0.9</v>
      </c>
      <c r="E28" s="55" t="str">
        <f>'비상대처계획(적용수량)'!B28</f>
        <v>1개소</v>
      </c>
      <c r="F28" s="163"/>
      <c r="G28" s="163">
        <f t="shared" si="0"/>
        <v>522653.4</v>
      </c>
      <c r="H28" s="165"/>
      <c r="I28" s="165"/>
      <c r="J28" s="163">
        <f>'일위대가5(비상대처계획)'!J191</f>
        <v>580726</v>
      </c>
      <c r="K28" s="56">
        <f t="shared" si="1"/>
        <v>522653.4</v>
      </c>
      <c r="L28" s="163"/>
      <c r="M28" s="163"/>
      <c r="N28" s="1463" t="s">
        <v>1420</v>
      </c>
    </row>
    <row r="29" spans="1:15" s="167" customFormat="1" ht="30" customHeight="1">
      <c r="A29" s="162"/>
      <c r="B29" s="58" t="str">
        <f>'비상대처계획(적용수량)'!A29</f>
        <v xml:space="preserve">  2) 비상대응기관의 책임과 의무</v>
      </c>
      <c r="C29" s="227"/>
      <c r="D29" s="1450">
        <f>'비상대처계획(적용수량)'!K29</f>
        <v>0.9</v>
      </c>
      <c r="E29" s="55" t="str">
        <f>'비상대처계획(적용수량)'!B29</f>
        <v>1개소</v>
      </c>
      <c r="F29" s="163"/>
      <c r="G29" s="163">
        <f t="shared" si="0"/>
        <v>592914.6</v>
      </c>
      <c r="H29" s="165"/>
      <c r="I29" s="165"/>
      <c r="J29" s="163">
        <f>'일위대가5(비상대처계획)'!J202</f>
        <v>658794</v>
      </c>
      <c r="K29" s="56">
        <f t="shared" si="1"/>
        <v>592914.6</v>
      </c>
      <c r="L29" s="163"/>
      <c r="M29" s="163"/>
      <c r="N29" s="1463" t="s">
        <v>1421</v>
      </c>
    </row>
    <row r="30" spans="1:15" s="167" customFormat="1" ht="30" customHeight="1">
      <c r="A30" s="162"/>
      <c r="B30" s="58" t="str">
        <f>'비상대처계획(적용수량)'!A30</f>
        <v xml:space="preserve">  3) 비상발령절차 및 상황관리체계 </v>
      </c>
      <c r="C30" s="227"/>
      <c r="D30" s="1450">
        <f>'비상대처계획(적용수량)'!K30</f>
        <v>0.9</v>
      </c>
      <c r="E30" s="55" t="str">
        <f>'비상대처계획(적용수량)'!B30</f>
        <v>1개소</v>
      </c>
      <c r="F30" s="163"/>
      <c r="G30" s="163">
        <f t="shared" si="0"/>
        <v>3872024.1</v>
      </c>
      <c r="H30" s="165"/>
      <c r="I30" s="165"/>
      <c r="J30" s="163">
        <f>'일위대가5(비상대처계획)'!J211</f>
        <v>4302249</v>
      </c>
      <c r="K30" s="56">
        <f t="shared" si="1"/>
        <v>3872024.1</v>
      </c>
      <c r="L30" s="163"/>
      <c r="M30" s="163"/>
      <c r="N30" s="1463" t="s">
        <v>1422</v>
      </c>
    </row>
    <row r="31" spans="1:15" s="167" customFormat="1" ht="30" customHeight="1">
      <c r="A31" s="162"/>
      <c r="B31" s="58" t="str">
        <f>'비상대처계획(적용수량)'!A31</f>
        <v xml:space="preserve">  4) 유관기관 협조체계</v>
      </c>
      <c r="C31" s="227"/>
      <c r="D31" s="1450" t="e">
        <f>'비상대처계획(적용수량)'!K31</f>
        <v>#REF!</v>
      </c>
      <c r="E31" s="55" t="str">
        <f>'비상대처계획(적용수량)'!B31</f>
        <v>1개소</v>
      </c>
      <c r="F31" s="163"/>
      <c r="G31" s="163" t="e">
        <f t="shared" si="0"/>
        <v>#REF!</v>
      </c>
      <c r="H31" s="165"/>
      <c r="I31" s="165"/>
      <c r="J31" s="163">
        <f>'일위대가5(비상대처계획)'!J222</f>
        <v>658794</v>
      </c>
      <c r="K31" s="56" t="e">
        <f t="shared" si="1"/>
        <v>#REF!</v>
      </c>
      <c r="L31" s="163"/>
      <c r="M31" s="163"/>
      <c r="N31" s="1463" t="s">
        <v>1423</v>
      </c>
    </row>
    <row r="32" spans="1:15" s="47" customFormat="1" ht="30" customHeight="1">
      <c r="B32" s="57" t="str">
        <f>'비상대처계획(적용수량)'!A32</f>
        <v xml:space="preserve"> 마. 응급조치 계획</v>
      </c>
      <c r="C32" s="227"/>
      <c r="D32" s="1449"/>
      <c r="E32" s="50"/>
      <c r="F32" s="51"/>
      <c r="G32" s="51">
        <f t="shared" si="0"/>
        <v>28178066.700000003</v>
      </c>
      <c r="H32" s="51"/>
      <c r="I32" s="51">
        <f>SUM(I33:I42)</f>
        <v>0</v>
      </c>
      <c r="J32" s="51"/>
      <c r="K32" s="51">
        <f>SUM(K33:K38)</f>
        <v>28178066.700000003</v>
      </c>
      <c r="L32" s="56"/>
      <c r="M32" s="51">
        <f>SUM(M33:M42)</f>
        <v>0</v>
      </c>
      <c r="N32" s="52"/>
    </row>
    <row r="33" spans="1:14" s="47" customFormat="1" ht="30" customHeight="1">
      <c r="B33" s="58" t="str">
        <f>'비상대처계획(적용수량)'!A33</f>
        <v xml:space="preserve">  1) 현장조사(대피장소, 대피경로 등)</v>
      </c>
      <c r="C33" s="227"/>
      <c r="D33" s="1450">
        <f>'비상대처계획(적용수량)'!K33</f>
        <v>0.9</v>
      </c>
      <c r="E33" s="55" t="str">
        <f>'비상대처계획(적용수량)'!B33</f>
        <v>100km2</v>
      </c>
      <c r="F33" s="51"/>
      <c r="G33" s="56">
        <f t="shared" si="0"/>
        <v>1923384.6</v>
      </c>
      <c r="H33" s="51"/>
      <c r="I33" s="51"/>
      <c r="J33" s="56">
        <f>'일위대가5(비상대처계획)'!J231</f>
        <v>2137094</v>
      </c>
      <c r="K33" s="56">
        <f t="shared" ref="K33:K44" si="2">J33*D33</f>
        <v>1923384.6</v>
      </c>
      <c r="L33" s="51"/>
      <c r="M33" s="51"/>
      <c r="N33" s="1463" t="s">
        <v>1424</v>
      </c>
    </row>
    <row r="34" spans="1:14" s="47" customFormat="1" ht="30" customHeight="1">
      <c r="B34" s="58" t="str">
        <f>'비상대처계획(적용수량)'!A34</f>
        <v xml:space="preserve">  2) 주민대피</v>
      </c>
      <c r="C34" s="227"/>
      <c r="D34" s="1450">
        <f>'비상대처계획(적용수량)'!K34</f>
        <v>0.9</v>
      </c>
      <c r="E34" s="55" t="str">
        <f>'비상대처계획(적용수량)'!B34</f>
        <v>1개소</v>
      </c>
      <c r="F34" s="51"/>
      <c r="G34" s="56">
        <f t="shared" si="0"/>
        <v>7876404.9000000004</v>
      </c>
      <c r="H34" s="51"/>
      <c r="I34" s="51"/>
      <c r="J34" s="56">
        <f>'일위대가5(비상대처계획)'!J242</f>
        <v>8751561</v>
      </c>
      <c r="K34" s="56">
        <f t="shared" si="2"/>
        <v>7876404.9000000004</v>
      </c>
      <c r="L34" s="51"/>
      <c r="M34" s="51"/>
      <c r="N34" s="1463" t="s">
        <v>1425</v>
      </c>
    </row>
    <row r="35" spans="1:14" s="47" customFormat="1" ht="30" customHeight="1">
      <c r="B35" s="58" t="str">
        <f>'비상대처계획(적용수량)'!A35</f>
        <v xml:space="preserve">  3) 대체도로, 긴급통신, 비상급수</v>
      </c>
      <c r="C35" s="227"/>
      <c r="D35" s="1450">
        <f>'비상대처계획(적용수량)'!K35</f>
        <v>0.9</v>
      </c>
      <c r="E35" s="55" t="str">
        <f>'비상대처계획(적용수량)'!B35</f>
        <v>1개소</v>
      </c>
      <c r="F35" s="51"/>
      <c r="G35" s="56">
        <f t="shared" si="0"/>
        <v>5720254.2000000002</v>
      </c>
      <c r="H35" s="51"/>
      <c r="I35" s="51"/>
      <c r="J35" s="56">
        <f>'일위대가5(비상대처계획)'!J251</f>
        <v>6355838</v>
      </c>
      <c r="K35" s="56">
        <f t="shared" si="2"/>
        <v>5720254.2000000002</v>
      </c>
      <c r="L35" s="51"/>
      <c r="M35" s="51"/>
      <c r="N35" s="1463" t="s">
        <v>1426</v>
      </c>
    </row>
    <row r="36" spans="1:14" s="47" customFormat="1" ht="30" customHeight="1">
      <c r="B36" s="58" t="str">
        <f>'비상대처계획(적용수량)'!A36</f>
        <v xml:space="preserve">  4) 긴급 구조·구급</v>
      </c>
      <c r="C36" s="227"/>
      <c r="D36" s="1450">
        <f>'비상대처계획(적용수량)'!K36</f>
        <v>0.9</v>
      </c>
      <c r="E36" s="55" t="str">
        <f>'비상대처계획(적용수량)'!B36</f>
        <v>1개소</v>
      </c>
      <c r="F36" s="51"/>
      <c r="G36" s="56">
        <f t="shared" si="0"/>
        <v>2333357.1</v>
      </c>
      <c r="H36" s="51"/>
      <c r="I36" s="51"/>
      <c r="J36" s="56">
        <f>'일위대가5(비상대처계획)'!J262</f>
        <v>2592619</v>
      </c>
      <c r="K36" s="56">
        <f t="shared" si="2"/>
        <v>2333357.1</v>
      </c>
      <c r="L36" s="51"/>
      <c r="M36" s="51"/>
      <c r="N36" s="1463" t="s">
        <v>1427</v>
      </c>
    </row>
    <row r="37" spans="1:14" s="47" customFormat="1" ht="30" customHeight="1">
      <c r="B37" s="58" t="str">
        <f>'비상대처계획(적용수량)'!A37</f>
        <v xml:space="preserve">  5) 유발재난 및 2차피해 방지</v>
      </c>
      <c r="C37" s="227"/>
      <c r="D37" s="1450">
        <f>'비상대처계획(적용수량)'!K37</f>
        <v>0.9</v>
      </c>
      <c r="E37" s="55" t="str">
        <f>'비상대처계획(적용수량)'!B37</f>
        <v>1개소</v>
      </c>
      <c r="F37" s="51"/>
      <c r="G37" s="56">
        <f t="shared" si="0"/>
        <v>5717456.1000000006</v>
      </c>
      <c r="H37" s="51"/>
      <c r="I37" s="51"/>
      <c r="J37" s="56">
        <f>'일위대가5(비상대처계획)'!J271</f>
        <v>6352729</v>
      </c>
      <c r="K37" s="56">
        <f t="shared" si="2"/>
        <v>5717456.1000000006</v>
      </c>
      <c r="L37" s="51"/>
      <c r="M37" s="51"/>
      <c r="N37" s="1463" t="s">
        <v>1428</v>
      </c>
    </row>
    <row r="38" spans="1:14" s="47" customFormat="1" ht="30" customHeight="1">
      <c r="B38" s="58" t="str">
        <f>'비상대처계획(적용수량)'!A38</f>
        <v xml:space="preserve">  6) 시설물 응급복구</v>
      </c>
      <c r="C38" s="227"/>
      <c r="D38" s="1450">
        <f>'비상대처계획(적용수량)'!K38</f>
        <v>0.9</v>
      </c>
      <c r="E38" s="55" t="str">
        <f>'비상대처계획(적용수량)'!B38</f>
        <v>1개소</v>
      </c>
      <c r="F38" s="51"/>
      <c r="G38" s="56">
        <f t="shared" si="0"/>
        <v>4607209.8</v>
      </c>
      <c r="H38" s="51"/>
      <c r="I38" s="51"/>
      <c r="J38" s="56">
        <f>'일위대가5(비상대처계획)'!J282</f>
        <v>5119122</v>
      </c>
      <c r="K38" s="56">
        <f t="shared" si="2"/>
        <v>4607209.8</v>
      </c>
      <c r="L38" s="51"/>
      <c r="M38" s="51"/>
      <c r="N38" s="1463" t="s">
        <v>1429</v>
      </c>
    </row>
    <row r="39" spans="1:14" s="47" customFormat="1" ht="30" customHeight="1">
      <c r="B39" s="57" t="str">
        <f>'비상대처계획(적용수량)'!A39</f>
        <v xml:space="preserve"> 마. 재해구호 및 지역안정 계획</v>
      </c>
      <c r="C39" s="227"/>
      <c r="D39" s="1449"/>
      <c r="E39" s="50"/>
      <c r="F39" s="51"/>
      <c r="G39" s="51">
        <f t="shared" si="0"/>
        <v>26254680.300000001</v>
      </c>
      <c r="H39" s="51"/>
      <c r="I39" s="51"/>
      <c r="J39" s="51"/>
      <c r="K39" s="51">
        <f>SUM(K40:K44)</f>
        <v>26254680.300000001</v>
      </c>
      <c r="L39" s="51"/>
      <c r="M39" s="51"/>
      <c r="N39" s="52"/>
    </row>
    <row r="40" spans="1:14" s="47" customFormat="1" ht="30" customHeight="1">
      <c r="B40" s="58" t="str">
        <f>'비상대처계획(적용수량)'!A40</f>
        <v xml:space="preserve">  1) 이재민수용관리</v>
      </c>
      <c r="C40" s="227"/>
      <c r="D40" s="1450">
        <f>'비상대처계획(적용수량)'!K40</f>
        <v>0.9</v>
      </c>
      <c r="E40" s="55" t="str">
        <f>'비상대처계획(적용수량)'!B40</f>
        <v>1개소</v>
      </c>
      <c r="F40" s="51"/>
      <c r="G40" s="56">
        <f t="shared" si="0"/>
        <v>7876404.9000000004</v>
      </c>
      <c r="H40" s="51"/>
      <c r="I40" s="51"/>
      <c r="J40" s="56">
        <f>'일위대가5(비상대처계획)'!J291</f>
        <v>8751561</v>
      </c>
      <c r="K40" s="56">
        <f t="shared" si="2"/>
        <v>7876404.9000000004</v>
      </c>
      <c r="L40" s="51"/>
      <c r="M40" s="51"/>
      <c r="N40" s="1463" t="s">
        <v>1430</v>
      </c>
    </row>
    <row r="41" spans="1:14" s="47" customFormat="1" ht="30" customHeight="1">
      <c r="B41" s="58" t="str">
        <f>'비상대처계획(적용수량)'!A41</f>
        <v xml:space="preserve">  2) 구호물자 접수·배분 및 생필품 공급</v>
      </c>
      <c r="C41" s="227"/>
      <c r="D41" s="1450">
        <f>'비상대처계획(적용수량)'!K41</f>
        <v>0.9</v>
      </c>
      <c r="E41" s="55" t="str">
        <f>'비상대처계획(적용수량)'!B41</f>
        <v>1개소</v>
      </c>
      <c r="F41" s="51"/>
      <c r="G41" s="56">
        <f t="shared" si="0"/>
        <v>5250935.7</v>
      </c>
      <c r="H41" s="51"/>
      <c r="I41" s="51"/>
      <c r="J41" s="56">
        <f>'일위대가5(비상대처계획)'!J302</f>
        <v>5834373</v>
      </c>
      <c r="K41" s="56">
        <f t="shared" si="2"/>
        <v>5250935.7</v>
      </c>
      <c r="L41" s="51"/>
      <c r="M41" s="51"/>
      <c r="N41" s="1463" t="s">
        <v>1431</v>
      </c>
    </row>
    <row r="42" spans="1:14" s="47" customFormat="1" ht="30" customHeight="1">
      <c r="B42" s="58" t="str">
        <f>'비상대처계획(적용수량)'!A42</f>
        <v xml:space="preserve">  3) 의료·청소·방역 활동</v>
      </c>
      <c r="C42" s="227"/>
      <c r="D42" s="1450">
        <f>'비상대처계획(적용수량)'!K42</f>
        <v>0.9</v>
      </c>
      <c r="E42" s="55" t="str">
        <f>'비상대처계획(적용수량)'!B42</f>
        <v>1개소</v>
      </c>
      <c r="F42" s="51"/>
      <c r="G42" s="56">
        <f t="shared" si="0"/>
        <v>6563671.2000000002</v>
      </c>
      <c r="H42" s="51"/>
      <c r="I42" s="51"/>
      <c r="J42" s="56">
        <f>'일위대가5(비상대처계획)'!J311</f>
        <v>7292968</v>
      </c>
      <c r="K42" s="56">
        <f t="shared" si="2"/>
        <v>6563671.2000000002</v>
      </c>
      <c r="L42" s="51"/>
      <c r="M42" s="51"/>
      <c r="N42" s="1463" t="s">
        <v>1432</v>
      </c>
    </row>
    <row r="43" spans="1:14" s="47" customFormat="1" ht="30" customHeight="1">
      <c r="B43" s="58" t="str">
        <f>'비상대처계획(적용수량)'!A43</f>
        <v xml:space="preserve">  4) 사회질서 유지 등 지역안정</v>
      </c>
      <c r="C43" s="227"/>
      <c r="D43" s="1450">
        <f>'비상대처계획(적용수량)'!K43</f>
        <v>0.9</v>
      </c>
      <c r="E43" s="55" t="str">
        <f>'비상대처계획(적용수량)'!B43</f>
        <v>1개소</v>
      </c>
      <c r="F43" s="51"/>
      <c r="G43" s="56">
        <f t="shared" si="0"/>
        <v>3938201.1</v>
      </c>
      <c r="H43" s="51"/>
      <c r="I43" s="51"/>
      <c r="J43" s="56">
        <f>'일위대가5(비상대처계획)'!J322</f>
        <v>4375779</v>
      </c>
      <c r="K43" s="56">
        <f t="shared" si="2"/>
        <v>3938201.1</v>
      </c>
      <c r="L43" s="51"/>
      <c r="M43" s="51"/>
      <c r="N43" s="1463" t="s">
        <v>1433</v>
      </c>
    </row>
    <row r="44" spans="1:14" s="47" customFormat="1" ht="30" customHeight="1">
      <c r="A44" s="157"/>
      <c r="B44" s="58" t="str">
        <f>'비상대처계획(적용수량)'!A44</f>
        <v xml:space="preserve">  5) 자원봉사활동</v>
      </c>
      <c r="C44" s="227"/>
      <c r="D44" s="1450">
        <f>'비상대처계획(적용수량)'!K44</f>
        <v>0.9</v>
      </c>
      <c r="E44" s="55" t="str">
        <f>'비상대처계획(적용수량)'!B44</f>
        <v>1개소</v>
      </c>
      <c r="F44" s="51"/>
      <c r="G44" s="56">
        <f t="shared" si="0"/>
        <v>2625467.4</v>
      </c>
      <c r="H44" s="51"/>
      <c r="I44" s="51"/>
      <c r="J44" s="56">
        <f>'일위대가5(비상대처계획)'!J331</f>
        <v>2917186</v>
      </c>
      <c r="K44" s="56">
        <f t="shared" si="2"/>
        <v>2625467.4</v>
      </c>
      <c r="L44" s="51"/>
      <c r="M44" s="51"/>
      <c r="N44" s="1463" t="s">
        <v>1434</v>
      </c>
    </row>
    <row r="45" spans="1:14" s="47" customFormat="1" ht="30" customHeight="1">
      <c r="B45" s="57" t="str">
        <f>'비상대처계획(적용수량)'!A45</f>
        <v xml:space="preserve"> 사. EAP 실습 및 훈련</v>
      </c>
      <c r="C45" s="227"/>
      <c r="D45" s="1449"/>
      <c r="E45" s="50"/>
      <c r="F45" s="51"/>
      <c r="G45" s="51">
        <f>I45+K45+M45</f>
        <v>14585934</v>
      </c>
      <c r="H45" s="51"/>
      <c r="I45" s="51"/>
      <c r="J45" s="56"/>
      <c r="K45" s="51">
        <f>SUM(K46:K47)</f>
        <v>14585934</v>
      </c>
      <c r="L45" s="56"/>
      <c r="M45" s="51">
        <f>SUM(M46:M51)</f>
        <v>0</v>
      </c>
      <c r="N45" s="52"/>
    </row>
    <row r="46" spans="1:14" s="47" customFormat="1" ht="30" customHeight="1">
      <c r="B46" s="58" t="str">
        <f>'비상대처계획(적용수량)'!A46</f>
        <v xml:space="preserve">  1) 훈련계획</v>
      </c>
      <c r="C46" s="227"/>
      <c r="D46" s="1450">
        <f>'비상대처계획(적용수량)'!K46</f>
        <v>1</v>
      </c>
      <c r="E46" s="55" t="str">
        <f>'비상대처계획(적용수량)'!B46</f>
        <v>1개소</v>
      </c>
      <c r="F46" s="51"/>
      <c r="G46" s="56">
        <f t="shared" ref="G46:G51" si="3">I46+K46+M46</f>
        <v>8751561</v>
      </c>
      <c r="H46" s="51"/>
      <c r="I46" s="51"/>
      <c r="J46" s="56">
        <f>'일위대가5(비상대처계획)'!J342</f>
        <v>8751561</v>
      </c>
      <c r="K46" s="56">
        <f t="shared" ref="K46:K51" si="4">J46*D46</f>
        <v>8751561</v>
      </c>
      <c r="L46" s="51"/>
      <c r="M46" s="51"/>
      <c r="N46" s="1463" t="s">
        <v>1435</v>
      </c>
    </row>
    <row r="47" spans="1:14" s="47" customFormat="1" ht="30" customHeight="1">
      <c r="B47" s="58" t="str">
        <f>'비상대처계획(적용수량)'!A47</f>
        <v xml:space="preserve">  2) 훈련 메시지 작성</v>
      </c>
      <c r="C47" s="227"/>
      <c r="D47" s="1450">
        <f>'비상대처계획(적용수량)'!K47</f>
        <v>1</v>
      </c>
      <c r="E47" s="55" t="str">
        <f>'비상대처계획(적용수량)'!B47</f>
        <v>1개소</v>
      </c>
      <c r="F47" s="51"/>
      <c r="G47" s="56">
        <f t="shared" si="3"/>
        <v>5834373</v>
      </c>
      <c r="H47" s="51"/>
      <c r="I47" s="51"/>
      <c r="J47" s="56">
        <f>'일위대가5(비상대처계획)'!J351</f>
        <v>5834373</v>
      </c>
      <c r="K47" s="56">
        <f t="shared" si="4"/>
        <v>5834373</v>
      </c>
      <c r="L47" s="51"/>
      <c r="M47" s="51"/>
      <c r="N47" s="1463" t="s">
        <v>1436</v>
      </c>
    </row>
    <row r="48" spans="1:14" s="47" customFormat="1" ht="30" customHeight="1">
      <c r="B48" s="57" t="str">
        <f>'비상대처계획(적용수량)'!A48</f>
        <v xml:space="preserve"> 아. 결론 및 보고서 작성</v>
      </c>
      <c r="C48" s="227"/>
      <c r="D48" s="1449"/>
      <c r="E48" s="50"/>
      <c r="F48" s="51"/>
      <c r="G48" s="51">
        <f t="shared" si="3"/>
        <v>8440864.852</v>
      </c>
      <c r="H48" s="51"/>
      <c r="I48" s="51"/>
      <c r="J48" s="51"/>
      <c r="K48" s="51">
        <f>SUM(K49:K51)</f>
        <v>8440864.852</v>
      </c>
      <c r="L48" s="51"/>
      <c r="M48" s="51"/>
      <c r="N48" s="1463"/>
    </row>
    <row r="49" spans="2:15" s="47" customFormat="1" ht="30" customHeight="1">
      <c r="B49" s="58" t="str">
        <f>'비상대처계획(적용수량)'!A49</f>
        <v xml:space="preserve">  1) EAP 보고서 작성</v>
      </c>
      <c r="C49" s="227"/>
      <c r="D49" s="1450">
        <f>'비상대처계획(적용수량)'!K49</f>
        <v>0.32200000000000001</v>
      </c>
      <c r="E49" s="55" t="str">
        <f>'비상대처계획(적용수량)'!B49</f>
        <v>10㎞</v>
      </c>
      <c r="F49" s="51"/>
      <c r="G49" s="56">
        <f t="shared" si="3"/>
        <v>579926.82999999996</v>
      </c>
      <c r="H49" s="51"/>
      <c r="I49" s="51"/>
      <c r="J49" s="56">
        <f>'일위대가5(비상대처계획)'!J362</f>
        <v>1801015</v>
      </c>
      <c r="K49" s="56">
        <f t="shared" si="4"/>
        <v>579926.82999999996</v>
      </c>
      <c r="L49" s="51"/>
      <c r="M49" s="51"/>
      <c r="N49" s="1463" t="s">
        <v>1437</v>
      </c>
    </row>
    <row r="50" spans="2:15" s="47" customFormat="1" ht="30" customHeight="1">
      <c r="B50" s="58" t="str">
        <f>'비상대처계획(적용수량)'!A50</f>
        <v xml:space="preserve">  2) 하류부 영향평가 및 비상대처계획 수립</v>
      </c>
      <c r="C50" s="227"/>
      <c r="D50" s="1450">
        <f>'비상대처계획(적용수량)'!K50</f>
        <v>0.32200000000000001</v>
      </c>
      <c r="E50" s="55" t="str">
        <f>'비상대처계획(적용수량)'!B50</f>
        <v>10㎞</v>
      </c>
      <c r="F50" s="51"/>
      <c r="G50" s="56">
        <f t="shared" si="3"/>
        <v>1498017.416</v>
      </c>
      <c r="H50" s="51"/>
      <c r="I50" s="51"/>
      <c r="J50" s="56">
        <f>'일위대가5(비상대처계획)'!J371</f>
        <v>4652228</v>
      </c>
      <c r="K50" s="56">
        <f t="shared" si="4"/>
        <v>1498017.416</v>
      </c>
      <c r="L50" s="51"/>
      <c r="M50" s="51"/>
      <c r="N50" s="1463" t="s">
        <v>1438</v>
      </c>
    </row>
    <row r="51" spans="2:15" s="47" customFormat="1" ht="30" customHeight="1">
      <c r="B51" s="58" t="str">
        <f>'비상대처계획(적용수량)'!A51</f>
        <v xml:space="preserve">  3) 비상대처계획도 작성</v>
      </c>
      <c r="C51" s="227"/>
      <c r="D51" s="1450">
        <f>'비상대처계획(적용수량)'!K51</f>
        <v>0.32200000000000001</v>
      </c>
      <c r="E51" s="55" t="str">
        <f>'비상대처계획(적용수량)'!B51</f>
        <v>10㎞</v>
      </c>
      <c r="F51" s="51"/>
      <c r="G51" s="56">
        <f t="shared" si="3"/>
        <v>6362920.6060000006</v>
      </c>
      <c r="H51" s="51"/>
      <c r="I51" s="51"/>
      <c r="J51" s="56">
        <f>'일위대가5(비상대처계획)'!J382</f>
        <v>19760623</v>
      </c>
      <c r="K51" s="56">
        <f t="shared" si="4"/>
        <v>6362920.6060000006</v>
      </c>
      <c r="L51" s="51"/>
      <c r="M51" s="51"/>
      <c r="N51" s="1463" t="s">
        <v>1439</v>
      </c>
    </row>
    <row r="52" spans="2:15" ht="30" customHeight="1">
      <c r="B52" s="42" t="s">
        <v>1371</v>
      </c>
      <c r="C52" s="231"/>
      <c r="D52" s="232"/>
      <c r="E52" s="233"/>
      <c r="F52" s="63"/>
      <c r="G52" s="63">
        <f t="shared" ref="G52:G57" si="5">I52+K52+M52</f>
        <v>7744000</v>
      </c>
      <c r="H52" s="63"/>
      <c r="I52" s="63"/>
      <c r="J52" s="63"/>
      <c r="K52" s="63"/>
      <c r="L52" s="64"/>
      <c r="M52" s="63">
        <f>SUM(M53,M54,M55)</f>
        <v>7744000</v>
      </c>
      <c r="N52" s="65"/>
      <c r="O52" s="53"/>
    </row>
    <row r="53" spans="2:15" ht="30" customHeight="1">
      <c r="B53" s="57" t="s">
        <v>1398</v>
      </c>
      <c r="C53" s="1456"/>
      <c r="D53" s="1460">
        <v>1</v>
      </c>
      <c r="E53" s="1457" t="s">
        <v>214</v>
      </c>
      <c r="F53" s="1458"/>
      <c r="G53" s="51">
        <f t="shared" si="5"/>
        <v>4900000</v>
      </c>
      <c r="H53" s="1458"/>
      <c r="I53" s="1458"/>
      <c r="J53" s="1454"/>
      <c r="K53" s="1454"/>
      <c r="L53" s="1455">
        <f>'비상대처계획(직접경비)'!F23</f>
        <v>4900000</v>
      </c>
      <c r="M53" s="56">
        <f>D53*L53</f>
        <v>4900000</v>
      </c>
      <c r="N53" s="1463" t="s">
        <v>1440</v>
      </c>
      <c r="O53" s="53"/>
    </row>
    <row r="54" spans="2:15" ht="30" customHeight="1">
      <c r="B54" s="57" t="s">
        <v>1399</v>
      </c>
      <c r="C54" s="227"/>
      <c r="D54" s="1460">
        <v>1</v>
      </c>
      <c r="E54" s="187" t="s">
        <v>214</v>
      </c>
      <c r="F54" s="51"/>
      <c r="G54" s="51">
        <f t="shared" si="5"/>
        <v>1534000</v>
      </c>
      <c r="H54" s="51"/>
      <c r="I54" s="51"/>
      <c r="J54" s="51"/>
      <c r="K54" s="51"/>
      <c r="L54" s="56">
        <f>'비상대처계획(직접경비)'!F3</f>
        <v>1534000</v>
      </c>
      <c r="M54" s="56">
        <f>D54*L54</f>
        <v>1534000</v>
      </c>
      <c r="N54" s="1463" t="s">
        <v>1441</v>
      </c>
      <c r="O54" s="53"/>
    </row>
    <row r="55" spans="2:15" ht="30" customHeight="1">
      <c r="B55" s="57" t="s">
        <v>1400</v>
      </c>
      <c r="C55" s="227"/>
      <c r="D55" s="1461"/>
      <c r="E55" s="1381"/>
      <c r="F55" s="51"/>
      <c r="G55" s="51">
        <f t="shared" si="5"/>
        <v>1310000</v>
      </c>
      <c r="H55" s="51"/>
      <c r="I55" s="51"/>
      <c r="J55" s="51"/>
      <c r="K55" s="51"/>
      <c r="L55" s="51"/>
      <c r="M55" s="51">
        <f>SUM(M56:M57)</f>
        <v>1310000</v>
      </c>
      <c r="N55" s="1462"/>
      <c r="O55" s="53"/>
    </row>
    <row r="56" spans="2:15" ht="30" customHeight="1">
      <c r="B56" s="58" t="s">
        <v>1401</v>
      </c>
      <c r="C56" s="1452"/>
      <c r="D56" s="1460">
        <v>1</v>
      </c>
      <c r="E56" s="1453" t="s">
        <v>214</v>
      </c>
      <c r="F56" s="1454"/>
      <c r="G56" s="1455">
        <f t="shared" si="5"/>
        <v>810000</v>
      </c>
      <c r="H56" s="1454"/>
      <c r="I56" s="1454"/>
      <c r="J56" s="1454"/>
      <c r="K56" s="1454"/>
      <c r="L56" s="1455">
        <f>'비상대처계획(직접경비)'!F32</f>
        <v>810000</v>
      </c>
      <c r="M56" s="56">
        <f>D56*L56</f>
        <v>810000</v>
      </c>
      <c r="N56" s="1463" t="s">
        <v>1442</v>
      </c>
      <c r="O56" s="53"/>
    </row>
    <row r="57" spans="2:15" ht="30" customHeight="1">
      <c r="B57" s="58" t="s">
        <v>1402</v>
      </c>
      <c r="C57" s="230"/>
      <c r="D57" s="1459">
        <v>1</v>
      </c>
      <c r="E57" s="236" t="s">
        <v>56</v>
      </c>
      <c r="F57" s="61"/>
      <c r="G57" s="61">
        <f t="shared" si="5"/>
        <v>500000</v>
      </c>
      <c r="H57" s="61"/>
      <c r="I57" s="61"/>
      <c r="J57" s="61"/>
      <c r="K57" s="61"/>
      <c r="L57" s="61">
        <f>'비상대처계획(직접경비)'!F37</f>
        <v>500000</v>
      </c>
      <c r="M57" s="61">
        <f>D57*L57</f>
        <v>500000</v>
      </c>
      <c r="N57" s="1463" t="s">
        <v>1443</v>
      </c>
    </row>
  </sheetData>
  <mergeCells count="9">
    <mergeCell ref="J1:K1"/>
    <mergeCell ref="L1:M1"/>
    <mergeCell ref="N1:N2"/>
    <mergeCell ref="B1:B2"/>
    <mergeCell ref="C1:C2"/>
    <mergeCell ref="D1:D2"/>
    <mergeCell ref="E1:E2"/>
    <mergeCell ref="F1:G1"/>
    <mergeCell ref="H1:I1"/>
  </mergeCells>
  <phoneticPr fontId="181" type="noConversion"/>
  <printOptions horizontalCentered="1"/>
  <pageMargins left="0.47244094488188981" right="0.47244094488188981" top="0.78740157480314965" bottom="0.59055118110236227" header="0.39370078740157483" footer="0.39370078740157483"/>
  <pageSetup paperSize="9" scale="73" fitToWidth="0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6">
    <tabColor theme="6"/>
  </sheetPr>
  <dimension ref="A1:AB382"/>
  <sheetViews>
    <sheetView view="pageBreakPreview" zoomScale="70" zoomScaleNormal="85" zoomScaleSheetLayoutView="70" workbookViewId="0">
      <selection activeCell="A4" sqref="A4"/>
    </sheetView>
  </sheetViews>
  <sheetFormatPr defaultColWidth="8.77734375" defaultRowHeight="24.95" customHeight="1"/>
  <cols>
    <col min="1" max="1" width="17.44140625" style="36" customWidth="1"/>
    <col min="2" max="2" width="7.77734375" style="36" customWidth="1"/>
    <col min="3" max="3" width="7.77734375" style="105" customWidth="1"/>
    <col min="4" max="4" width="4.21875" style="36" customWidth="1"/>
    <col min="5" max="5" width="15" style="36" bestFit="1" customWidth="1"/>
    <col min="6" max="6" width="14.44140625" style="36" bestFit="1" customWidth="1"/>
    <col min="7" max="8" width="8.33203125" style="36" customWidth="1"/>
    <col min="9" max="9" width="10.33203125" style="36" customWidth="1"/>
    <col min="10" max="10" width="14.44140625" style="36" bestFit="1" customWidth="1"/>
    <col min="11" max="12" width="10.33203125" style="36" customWidth="1"/>
    <col min="13" max="13" width="7.33203125" style="36" customWidth="1"/>
    <col min="14" max="14" width="11.21875" style="36" bestFit="1" customWidth="1"/>
    <col min="15" max="15" width="8.77734375" style="36"/>
    <col min="16" max="17" width="8.6640625" style="36" customWidth="1"/>
    <col min="18" max="18" width="13.5546875" style="36" bestFit="1" customWidth="1"/>
    <col min="19" max="256" width="8.77734375" style="36"/>
    <col min="257" max="257" width="17.44140625" style="36" customWidth="1"/>
    <col min="258" max="259" width="7.77734375" style="36" customWidth="1"/>
    <col min="260" max="260" width="4.21875" style="36" customWidth="1"/>
    <col min="261" max="262" width="11.77734375" style="36" customWidth="1"/>
    <col min="263" max="264" width="8.33203125" style="36" customWidth="1"/>
    <col min="265" max="265" width="10.33203125" style="36" customWidth="1"/>
    <col min="266" max="266" width="11.77734375" style="36" customWidth="1"/>
    <col min="267" max="268" width="10.33203125" style="36" customWidth="1"/>
    <col min="269" max="269" width="7.33203125" style="36" customWidth="1"/>
    <col min="270" max="270" width="11.21875" style="36" bestFit="1" customWidth="1"/>
    <col min="271" max="273" width="8.77734375" style="36"/>
    <col min="274" max="274" width="13.5546875" style="36" bestFit="1" customWidth="1"/>
    <col min="275" max="512" width="8.77734375" style="36"/>
    <col min="513" max="513" width="17.44140625" style="36" customWidth="1"/>
    <col min="514" max="515" width="7.77734375" style="36" customWidth="1"/>
    <col min="516" max="516" width="4.21875" style="36" customWidth="1"/>
    <col min="517" max="518" width="11.77734375" style="36" customWidth="1"/>
    <col min="519" max="520" width="8.33203125" style="36" customWidth="1"/>
    <col min="521" max="521" width="10.33203125" style="36" customWidth="1"/>
    <col min="522" max="522" width="11.77734375" style="36" customWidth="1"/>
    <col min="523" max="524" width="10.33203125" style="36" customWidth="1"/>
    <col min="525" max="525" width="7.33203125" style="36" customWidth="1"/>
    <col min="526" max="526" width="11.21875" style="36" bestFit="1" customWidth="1"/>
    <col min="527" max="529" width="8.77734375" style="36"/>
    <col min="530" max="530" width="13.5546875" style="36" bestFit="1" customWidth="1"/>
    <col min="531" max="768" width="8.77734375" style="36"/>
    <col min="769" max="769" width="17.44140625" style="36" customWidth="1"/>
    <col min="770" max="771" width="7.77734375" style="36" customWidth="1"/>
    <col min="772" max="772" width="4.21875" style="36" customWidth="1"/>
    <col min="773" max="774" width="11.77734375" style="36" customWidth="1"/>
    <col min="775" max="776" width="8.33203125" style="36" customWidth="1"/>
    <col min="777" max="777" width="10.33203125" style="36" customWidth="1"/>
    <col min="778" max="778" width="11.77734375" style="36" customWidth="1"/>
    <col min="779" max="780" width="10.33203125" style="36" customWidth="1"/>
    <col min="781" max="781" width="7.33203125" style="36" customWidth="1"/>
    <col min="782" max="782" width="11.21875" style="36" bestFit="1" customWidth="1"/>
    <col min="783" max="785" width="8.77734375" style="36"/>
    <col min="786" max="786" width="13.5546875" style="36" bestFit="1" customWidth="1"/>
    <col min="787" max="1024" width="8.77734375" style="36"/>
    <col min="1025" max="1025" width="17.44140625" style="36" customWidth="1"/>
    <col min="1026" max="1027" width="7.77734375" style="36" customWidth="1"/>
    <col min="1028" max="1028" width="4.21875" style="36" customWidth="1"/>
    <col min="1029" max="1030" width="11.77734375" style="36" customWidth="1"/>
    <col min="1031" max="1032" width="8.33203125" style="36" customWidth="1"/>
    <col min="1033" max="1033" width="10.33203125" style="36" customWidth="1"/>
    <col min="1034" max="1034" width="11.77734375" style="36" customWidth="1"/>
    <col min="1035" max="1036" width="10.33203125" style="36" customWidth="1"/>
    <col min="1037" max="1037" width="7.33203125" style="36" customWidth="1"/>
    <col min="1038" max="1038" width="11.21875" style="36" bestFit="1" customWidth="1"/>
    <col min="1039" max="1041" width="8.77734375" style="36"/>
    <col min="1042" max="1042" width="13.5546875" style="36" bestFit="1" customWidth="1"/>
    <col min="1043" max="1280" width="8.77734375" style="36"/>
    <col min="1281" max="1281" width="17.44140625" style="36" customWidth="1"/>
    <col min="1282" max="1283" width="7.77734375" style="36" customWidth="1"/>
    <col min="1284" max="1284" width="4.21875" style="36" customWidth="1"/>
    <col min="1285" max="1286" width="11.77734375" style="36" customWidth="1"/>
    <col min="1287" max="1288" width="8.33203125" style="36" customWidth="1"/>
    <col min="1289" max="1289" width="10.33203125" style="36" customWidth="1"/>
    <col min="1290" max="1290" width="11.77734375" style="36" customWidth="1"/>
    <col min="1291" max="1292" width="10.33203125" style="36" customWidth="1"/>
    <col min="1293" max="1293" width="7.33203125" style="36" customWidth="1"/>
    <col min="1294" max="1294" width="11.21875" style="36" bestFit="1" customWidth="1"/>
    <col min="1295" max="1297" width="8.77734375" style="36"/>
    <col min="1298" max="1298" width="13.5546875" style="36" bestFit="1" customWidth="1"/>
    <col min="1299" max="1536" width="8.77734375" style="36"/>
    <col min="1537" max="1537" width="17.44140625" style="36" customWidth="1"/>
    <col min="1538" max="1539" width="7.77734375" style="36" customWidth="1"/>
    <col min="1540" max="1540" width="4.21875" style="36" customWidth="1"/>
    <col min="1541" max="1542" width="11.77734375" style="36" customWidth="1"/>
    <col min="1543" max="1544" width="8.33203125" style="36" customWidth="1"/>
    <col min="1545" max="1545" width="10.33203125" style="36" customWidth="1"/>
    <col min="1546" max="1546" width="11.77734375" style="36" customWidth="1"/>
    <col min="1547" max="1548" width="10.33203125" style="36" customWidth="1"/>
    <col min="1549" max="1549" width="7.33203125" style="36" customWidth="1"/>
    <col min="1550" max="1550" width="11.21875" style="36" bestFit="1" customWidth="1"/>
    <col min="1551" max="1553" width="8.77734375" style="36"/>
    <col min="1554" max="1554" width="13.5546875" style="36" bestFit="1" customWidth="1"/>
    <col min="1555" max="1792" width="8.77734375" style="36"/>
    <col min="1793" max="1793" width="17.44140625" style="36" customWidth="1"/>
    <col min="1794" max="1795" width="7.77734375" style="36" customWidth="1"/>
    <col min="1796" max="1796" width="4.21875" style="36" customWidth="1"/>
    <col min="1797" max="1798" width="11.77734375" style="36" customWidth="1"/>
    <col min="1799" max="1800" width="8.33203125" style="36" customWidth="1"/>
    <col min="1801" max="1801" width="10.33203125" style="36" customWidth="1"/>
    <col min="1802" max="1802" width="11.77734375" style="36" customWidth="1"/>
    <col min="1803" max="1804" width="10.33203125" style="36" customWidth="1"/>
    <col min="1805" max="1805" width="7.33203125" style="36" customWidth="1"/>
    <col min="1806" max="1806" width="11.21875" style="36" bestFit="1" customWidth="1"/>
    <col min="1807" max="1809" width="8.77734375" style="36"/>
    <col min="1810" max="1810" width="13.5546875" style="36" bestFit="1" customWidth="1"/>
    <col min="1811" max="2048" width="8.77734375" style="36"/>
    <col min="2049" max="2049" width="17.44140625" style="36" customWidth="1"/>
    <col min="2050" max="2051" width="7.77734375" style="36" customWidth="1"/>
    <col min="2052" max="2052" width="4.21875" style="36" customWidth="1"/>
    <col min="2053" max="2054" width="11.77734375" style="36" customWidth="1"/>
    <col min="2055" max="2056" width="8.33203125" style="36" customWidth="1"/>
    <col min="2057" max="2057" width="10.33203125" style="36" customWidth="1"/>
    <col min="2058" max="2058" width="11.77734375" style="36" customWidth="1"/>
    <col min="2059" max="2060" width="10.33203125" style="36" customWidth="1"/>
    <col min="2061" max="2061" width="7.33203125" style="36" customWidth="1"/>
    <col min="2062" max="2062" width="11.21875" style="36" bestFit="1" customWidth="1"/>
    <col min="2063" max="2065" width="8.77734375" style="36"/>
    <col min="2066" max="2066" width="13.5546875" style="36" bestFit="1" customWidth="1"/>
    <col min="2067" max="2304" width="8.77734375" style="36"/>
    <col min="2305" max="2305" width="17.44140625" style="36" customWidth="1"/>
    <col min="2306" max="2307" width="7.77734375" style="36" customWidth="1"/>
    <col min="2308" max="2308" width="4.21875" style="36" customWidth="1"/>
    <col min="2309" max="2310" width="11.77734375" style="36" customWidth="1"/>
    <col min="2311" max="2312" width="8.33203125" style="36" customWidth="1"/>
    <col min="2313" max="2313" width="10.33203125" style="36" customWidth="1"/>
    <col min="2314" max="2314" width="11.77734375" style="36" customWidth="1"/>
    <col min="2315" max="2316" width="10.33203125" style="36" customWidth="1"/>
    <col min="2317" max="2317" width="7.33203125" style="36" customWidth="1"/>
    <col min="2318" max="2318" width="11.21875" style="36" bestFit="1" customWidth="1"/>
    <col min="2319" max="2321" width="8.77734375" style="36"/>
    <col min="2322" max="2322" width="13.5546875" style="36" bestFit="1" customWidth="1"/>
    <col min="2323" max="2560" width="8.77734375" style="36"/>
    <col min="2561" max="2561" width="17.44140625" style="36" customWidth="1"/>
    <col min="2562" max="2563" width="7.77734375" style="36" customWidth="1"/>
    <col min="2564" max="2564" width="4.21875" style="36" customWidth="1"/>
    <col min="2565" max="2566" width="11.77734375" style="36" customWidth="1"/>
    <col min="2567" max="2568" width="8.33203125" style="36" customWidth="1"/>
    <col min="2569" max="2569" width="10.33203125" style="36" customWidth="1"/>
    <col min="2570" max="2570" width="11.77734375" style="36" customWidth="1"/>
    <col min="2571" max="2572" width="10.33203125" style="36" customWidth="1"/>
    <col min="2573" max="2573" width="7.33203125" style="36" customWidth="1"/>
    <col min="2574" max="2574" width="11.21875" style="36" bestFit="1" customWidth="1"/>
    <col min="2575" max="2577" width="8.77734375" style="36"/>
    <col min="2578" max="2578" width="13.5546875" style="36" bestFit="1" customWidth="1"/>
    <col min="2579" max="2816" width="8.77734375" style="36"/>
    <col min="2817" max="2817" width="17.44140625" style="36" customWidth="1"/>
    <col min="2818" max="2819" width="7.77734375" style="36" customWidth="1"/>
    <col min="2820" max="2820" width="4.21875" style="36" customWidth="1"/>
    <col min="2821" max="2822" width="11.77734375" style="36" customWidth="1"/>
    <col min="2823" max="2824" width="8.33203125" style="36" customWidth="1"/>
    <col min="2825" max="2825" width="10.33203125" style="36" customWidth="1"/>
    <col min="2826" max="2826" width="11.77734375" style="36" customWidth="1"/>
    <col min="2827" max="2828" width="10.33203125" style="36" customWidth="1"/>
    <col min="2829" max="2829" width="7.33203125" style="36" customWidth="1"/>
    <col min="2830" max="2830" width="11.21875" style="36" bestFit="1" customWidth="1"/>
    <col min="2831" max="2833" width="8.77734375" style="36"/>
    <col min="2834" max="2834" width="13.5546875" style="36" bestFit="1" customWidth="1"/>
    <col min="2835" max="3072" width="8.77734375" style="36"/>
    <col min="3073" max="3073" width="17.44140625" style="36" customWidth="1"/>
    <col min="3074" max="3075" width="7.77734375" style="36" customWidth="1"/>
    <col min="3076" max="3076" width="4.21875" style="36" customWidth="1"/>
    <col min="3077" max="3078" width="11.77734375" style="36" customWidth="1"/>
    <col min="3079" max="3080" width="8.33203125" style="36" customWidth="1"/>
    <col min="3081" max="3081" width="10.33203125" style="36" customWidth="1"/>
    <col min="3082" max="3082" width="11.77734375" style="36" customWidth="1"/>
    <col min="3083" max="3084" width="10.33203125" style="36" customWidth="1"/>
    <col min="3085" max="3085" width="7.33203125" style="36" customWidth="1"/>
    <col min="3086" max="3086" width="11.21875" style="36" bestFit="1" customWidth="1"/>
    <col min="3087" max="3089" width="8.77734375" style="36"/>
    <col min="3090" max="3090" width="13.5546875" style="36" bestFit="1" customWidth="1"/>
    <col min="3091" max="3328" width="8.77734375" style="36"/>
    <col min="3329" max="3329" width="17.44140625" style="36" customWidth="1"/>
    <col min="3330" max="3331" width="7.77734375" style="36" customWidth="1"/>
    <col min="3332" max="3332" width="4.21875" style="36" customWidth="1"/>
    <col min="3333" max="3334" width="11.77734375" style="36" customWidth="1"/>
    <col min="3335" max="3336" width="8.33203125" style="36" customWidth="1"/>
    <col min="3337" max="3337" width="10.33203125" style="36" customWidth="1"/>
    <col min="3338" max="3338" width="11.77734375" style="36" customWidth="1"/>
    <col min="3339" max="3340" width="10.33203125" style="36" customWidth="1"/>
    <col min="3341" max="3341" width="7.33203125" style="36" customWidth="1"/>
    <col min="3342" max="3342" width="11.21875" style="36" bestFit="1" customWidth="1"/>
    <col min="3343" max="3345" width="8.77734375" style="36"/>
    <col min="3346" max="3346" width="13.5546875" style="36" bestFit="1" customWidth="1"/>
    <col min="3347" max="3584" width="8.77734375" style="36"/>
    <col min="3585" max="3585" width="17.44140625" style="36" customWidth="1"/>
    <col min="3586" max="3587" width="7.77734375" style="36" customWidth="1"/>
    <col min="3588" max="3588" width="4.21875" style="36" customWidth="1"/>
    <col min="3589" max="3590" width="11.77734375" style="36" customWidth="1"/>
    <col min="3591" max="3592" width="8.33203125" style="36" customWidth="1"/>
    <col min="3593" max="3593" width="10.33203125" style="36" customWidth="1"/>
    <col min="3594" max="3594" width="11.77734375" style="36" customWidth="1"/>
    <col min="3595" max="3596" width="10.33203125" style="36" customWidth="1"/>
    <col min="3597" max="3597" width="7.33203125" style="36" customWidth="1"/>
    <col min="3598" max="3598" width="11.21875" style="36" bestFit="1" customWidth="1"/>
    <col min="3599" max="3601" width="8.77734375" style="36"/>
    <col min="3602" max="3602" width="13.5546875" style="36" bestFit="1" customWidth="1"/>
    <col min="3603" max="3840" width="8.77734375" style="36"/>
    <col min="3841" max="3841" width="17.44140625" style="36" customWidth="1"/>
    <col min="3842" max="3843" width="7.77734375" style="36" customWidth="1"/>
    <col min="3844" max="3844" width="4.21875" style="36" customWidth="1"/>
    <col min="3845" max="3846" width="11.77734375" style="36" customWidth="1"/>
    <col min="3847" max="3848" width="8.33203125" style="36" customWidth="1"/>
    <col min="3849" max="3849" width="10.33203125" style="36" customWidth="1"/>
    <col min="3850" max="3850" width="11.77734375" style="36" customWidth="1"/>
    <col min="3851" max="3852" width="10.33203125" style="36" customWidth="1"/>
    <col min="3853" max="3853" width="7.33203125" style="36" customWidth="1"/>
    <col min="3854" max="3854" width="11.21875" style="36" bestFit="1" customWidth="1"/>
    <col min="3855" max="3857" width="8.77734375" style="36"/>
    <col min="3858" max="3858" width="13.5546875" style="36" bestFit="1" customWidth="1"/>
    <col min="3859" max="4096" width="8.77734375" style="36"/>
    <col min="4097" max="4097" width="17.44140625" style="36" customWidth="1"/>
    <col min="4098" max="4099" width="7.77734375" style="36" customWidth="1"/>
    <col min="4100" max="4100" width="4.21875" style="36" customWidth="1"/>
    <col min="4101" max="4102" width="11.77734375" style="36" customWidth="1"/>
    <col min="4103" max="4104" width="8.33203125" style="36" customWidth="1"/>
    <col min="4105" max="4105" width="10.33203125" style="36" customWidth="1"/>
    <col min="4106" max="4106" width="11.77734375" style="36" customWidth="1"/>
    <col min="4107" max="4108" width="10.33203125" style="36" customWidth="1"/>
    <col min="4109" max="4109" width="7.33203125" style="36" customWidth="1"/>
    <col min="4110" max="4110" width="11.21875" style="36" bestFit="1" customWidth="1"/>
    <col min="4111" max="4113" width="8.77734375" style="36"/>
    <col min="4114" max="4114" width="13.5546875" style="36" bestFit="1" customWidth="1"/>
    <col min="4115" max="4352" width="8.77734375" style="36"/>
    <col min="4353" max="4353" width="17.44140625" style="36" customWidth="1"/>
    <col min="4354" max="4355" width="7.77734375" style="36" customWidth="1"/>
    <col min="4356" max="4356" width="4.21875" style="36" customWidth="1"/>
    <col min="4357" max="4358" width="11.77734375" style="36" customWidth="1"/>
    <col min="4359" max="4360" width="8.33203125" style="36" customWidth="1"/>
    <col min="4361" max="4361" width="10.33203125" style="36" customWidth="1"/>
    <col min="4362" max="4362" width="11.77734375" style="36" customWidth="1"/>
    <col min="4363" max="4364" width="10.33203125" style="36" customWidth="1"/>
    <col min="4365" max="4365" width="7.33203125" style="36" customWidth="1"/>
    <col min="4366" max="4366" width="11.21875" style="36" bestFit="1" customWidth="1"/>
    <col min="4367" max="4369" width="8.77734375" style="36"/>
    <col min="4370" max="4370" width="13.5546875" style="36" bestFit="1" customWidth="1"/>
    <col min="4371" max="4608" width="8.77734375" style="36"/>
    <col min="4609" max="4609" width="17.44140625" style="36" customWidth="1"/>
    <col min="4610" max="4611" width="7.77734375" style="36" customWidth="1"/>
    <col min="4612" max="4612" width="4.21875" style="36" customWidth="1"/>
    <col min="4613" max="4614" width="11.77734375" style="36" customWidth="1"/>
    <col min="4615" max="4616" width="8.33203125" style="36" customWidth="1"/>
    <col min="4617" max="4617" width="10.33203125" style="36" customWidth="1"/>
    <col min="4618" max="4618" width="11.77734375" style="36" customWidth="1"/>
    <col min="4619" max="4620" width="10.33203125" style="36" customWidth="1"/>
    <col min="4621" max="4621" width="7.33203125" style="36" customWidth="1"/>
    <col min="4622" max="4622" width="11.21875" style="36" bestFit="1" customWidth="1"/>
    <col min="4623" max="4625" width="8.77734375" style="36"/>
    <col min="4626" max="4626" width="13.5546875" style="36" bestFit="1" customWidth="1"/>
    <col min="4627" max="4864" width="8.77734375" style="36"/>
    <col min="4865" max="4865" width="17.44140625" style="36" customWidth="1"/>
    <col min="4866" max="4867" width="7.77734375" style="36" customWidth="1"/>
    <col min="4868" max="4868" width="4.21875" style="36" customWidth="1"/>
    <col min="4869" max="4870" width="11.77734375" style="36" customWidth="1"/>
    <col min="4871" max="4872" width="8.33203125" style="36" customWidth="1"/>
    <col min="4873" max="4873" width="10.33203125" style="36" customWidth="1"/>
    <col min="4874" max="4874" width="11.77734375" style="36" customWidth="1"/>
    <col min="4875" max="4876" width="10.33203125" style="36" customWidth="1"/>
    <col min="4877" max="4877" width="7.33203125" style="36" customWidth="1"/>
    <col min="4878" max="4878" width="11.21875" style="36" bestFit="1" customWidth="1"/>
    <col min="4879" max="4881" width="8.77734375" style="36"/>
    <col min="4882" max="4882" width="13.5546875" style="36" bestFit="1" customWidth="1"/>
    <col min="4883" max="5120" width="8.77734375" style="36"/>
    <col min="5121" max="5121" width="17.44140625" style="36" customWidth="1"/>
    <col min="5122" max="5123" width="7.77734375" style="36" customWidth="1"/>
    <col min="5124" max="5124" width="4.21875" style="36" customWidth="1"/>
    <col min="5125" max="5126" width="11.77734375" style="36" customWidth="1"/>
    <col min="5127" max="5128" width="8.33203125" style="36" customWidth="1"/>
    <col min="5129" max="5129" width="10.33203125" style="36" customWidth="1"/>
    <col min="5130" max="5130" width="11.77734375" style="36" customWidth="1"/>
    <col min="5131" max="5132" width="10.33203125" style="36" customWidth="1"/>
    <col min="5133" max="5133" width="7.33203125" style="36" customWidth="1"/>
    <col min="5134" max="5134" width="11.21875" style="36" bestFit="1" customWidth="1"/>
    <col min="5135" max="5137" width="8.77734375" style="36"/>
    <col min="5138" max="5138" width="13.5546875" style="36" bestFit="1" customWidth="1"/>
    <col min="5139" max="5376" width="8.77734375" style="36"/>
    <col min="5377" max="5377" width="17.44140625" style="36" customWidth="1"/>
    <col min="5378" max="5379" width="7.77734375" style="36" customWidth="1"/>
    <col min="5380" max="5380" width="4.21875" style="36" customWidth="1"/>
    <col min="5381" max="5382" width="11.77734375" style="36" customWidth="1"/>
    <col min="5383" max="5384" width="8.33203125" style="36" customWidth="1"/>
    <col min="5385" max="5385" width="10.33203125" style="36" customWidth="1"/>
    <col min="5386" max="5386" width="11.77734375" style="36" customWidth="1"/>
    <col min="5387" max="5388" width="10.33203125" style="36" customWidth="1"/>
    <col min="5389" max="5389" width="7.33203125" style="36" customWidth="1"/>
    <col min="5390" max="5390" width="11.21875" style="36" bestFit="1" customWidth="1"/>
    <col min="5391" max="5393" width="8.77734375" style="36"/>
    <col min="5394" max="5394" width="13.5546875" style="36" bestFit="1" customWidth="1"/>
    <col min="5395" max="5632" width="8.77734375" style="36"/>
    <col min="5633" max="5633" width="17.44140625" style="36" customWidth="1"/>
    <col min="5634" max="5635" width="7.77734375" style="36" customWidth="1"/>
    <col min="5636" max="5636" width="4.21875" style="36" customWidth="1"/>
    <col min="5637" max="5638" width="11.77734375" style="36" customWidth="1"/>
    <col min="5639" max="5640" width="8.33203125" style="36" customWidth="1"/>
    <col min="5641" max="5641" width="10.33203125" style="36" customWidth="1"/>
    <col min="5642" max="5642" width="11.77734375" style="36" customWidth="1"/>
    <col min="5643" max="5644" width="10.33203125" style="36" customWidth="1"/>
    <col min="5645" max="5645" width="7.33203125" style="36" customWidth="1"/>
    <col min="5646" max="5646" width="11.21875" style="36" bestFit="1" customWidth="1"/>
    <col min="5647" max="5649" width="8.77734375" style="36"/>
    <col min="5650" max="5650" width="13.5546875" style="36" bestFit="1" customWidth="1"/>
    <col min="5651" max="5888" width="8.77734375" style="36"/>
    <col min="5889" max="5889" width="17.44140625" style="36" customWidth="1"/>
    <col min="5890" max="5891" width="7.77734375" style="36" customWidth="1"/>
    <col min="5892" max="5892" width="4.21875" style="36" customWidth="1"/>
    <col min="5893" max="5894" width="11.77734375" style="36" customWidth="1"/>
    <col min="5895" max="5896" width="8.33203125" style="36" customWidth="1"/>
    <col min="5897" max="5897" width="10.33203125" style="36" customWidth="1"/>
    <col min="5898" max="5898" width="11.77734375" style="36" customWidth="1"/>
    <col min="5899" max="5900" width="10.33203125" style="36" customWidth="1"/>
    <col min="5901" max="5901" width="7.33203125" style="36" customWidth="1"/>
    <col min="5902" max="5902" width="11.21875" style="36" bestFit="1" customWidth="1"/>
    <col min="5903" max="5905" width="8.77734375" style="36"/>
    <col min="5906" max="5906" width="13.5546875" style="36" bestFit="1" customWidth="1"/>
    <col min="5907" max="6144" width="8.77734375" style="36"/>
    <col min="6145" max="6145" width="17.44140625" style="36" customWidth="1"/>
    <col min="6146" max="6147" width="7.77734375" style="36" customWidth="1"/>
    <col min="6148" max="6148" width="4.21875" style="36" customWidth="1"/>
    <col min="6149" max="6150" width="11.77734375" style="36" customWidth="1"/>
    <col min="6151" max="6152" width="8.33203125" style="36" customWidth="1"/>
    <col min="6153" max="6153" width="10.33203125" style="36" customWidth="1"/>
    <col min="6154" max="6154" width="11.77734375" style="36" customWidth="1"/>
    <col min="6155" max="6156" width="10.33203125" style="36" customWidth="1"/>
    <col min="6157" max="6157" width="7.33203125" style="36" customWidth="1"/>
    <col min="6158" max="6158" width="11.21875" style="36" bestFit="1" customWidth="1"/>
    <col min="6159" max="6161" width="8.77734375" style="36"/>
    <col min="6162" max="6162" width="13.5546875" style="36" bestFit="1" customWidth="1"/>
    <col min="6163" max="6400" width="8.77734375" style="36"/>
    <col min="6401" max="6401" width="17.44140625" style="36" customWidth="1"/>
    <col min="6402" max="6403" width="7.77734375" style="36" customWidth="1"/>
    <col min="6404" max="6404" width="4.21875" style="36" customWidth="1"/>
    <col min="6405" max="6406" width="11.77734375" style="36" customWidth="1"/>
    <col min="6407" max="6408" width="8.33203125" style="36" customWidth="1"/>
    <col min="6409" max="6409" width="10.33203125" style="36" customWidth="1"/>
    <col min="6410" max="6410" width="11.77734375" style="36" customWidth="1"/>
    <col min="6411" max="6412" width="10.33203125" style="36" customWidth="1"/>
    <col min="6413" max="6413" width="7.33203125" style="36" customWidth="1"/>
    <col min="6414" max="6414" width="11.21875" style="36" bestFit="1" customWidth="1"/>
    <col min="6415" max="6417" width="8.77734375" style="36"/>
    <col min="6418" max="6418" width="13.5546875" style="36" bestFit="1" customWidth="1"/>
    <col min="6419" max="6656" width="8.77734375" style="36"/>
    <col min="6657" max="6657" width="17.44140625" style="36" customWidth="1"/>
    <col min="6658" max="6659" width="7.77734375" style="36" customWidth="1"/>
    <col min="6660" max="6660" width="4.21875" style="36" customWidth="1"/>
    <col min="6661" max="6662" width="11.77734375" style="36" customWidth="1"/>
    <col min="6663" max="6664" width="8.33203125" style="36" customWidth="1"/>
    <col min="6665" max="6665" width="10.33203125" style="36" customWidth="1"/>
    <col min="6666" max="6666" width="11.77734375" style="36" customWidth="1"/>
    <col min="6667" max="6668" width="10.33203125" style="36" customWidth="1"/>
    <col min="6669" max="6669" width="7.33203125" style="36" customWidth="1"/>
    <col min="6670" max="6670" width="11.21875" style="36" bestFit="1" customWidth="1"/>
    <col min="6671" max="6673" width="8.77734375" style="36"/>
    <col min="6674" max="6674" width="13.5546875" style="36" bestFit="1" customWidth="1"/>
    <col min="6675" max="6912" width="8.77734375" style="36"/>
    <col min="6913" max="6913" width="17.44140625" style="36" customWidth="1"/>
    <col min="6914" max="6915" width="7.77734375" style="36" customWidth="1"/>
    <col min="6916" max="6916" width="4.21875" style="36" customWidth="1"/>
    <col min="6917" max="6918" width="11.77734375" style="36" customWidth="1"/>
    <col min="6919" max="6920" width="8.33203125" style="36" customWidth="1"/>
    <col min="6921" max="6921" width="10.33203125" style="36" customWidth="1"/>
    <col min="6922" max="6922" width="11.77734375" style="36" customWidth="1"/>
    <col min="6923" max="6924" width="10.33203125" style="36" customWidth="1"/>
    <col min="6925" max="6925" width="7.33203125" style="36" customWidth="1"/>
    <col min="6926" max="6926" width="11.21875" style="36" bestFit="1" customWidth="1"/>
    <col min="6927" max="6929" width="8.77734375" style="36"/>
    <col min="6930" max="6930" width="13.5546875" style="36" bestFit="1" customWidth="1"/>
    <col min="6931" max="7168" width="8.77734375" style="36"/>
    <col min="7169" max="7169" width="17.44140625" style="36" customWidth="1"/>
    <col min="7170" max="7171" width="7.77734375" style="36" customWidth="1"/>
    <col min="7172" max="7172" width="4.21875" style="36" customWidth="1"/>
    <col min="7173" max="7174" width="11.77734375" style="36" customWidth="1"/>
    <col min="7175" max="7176" width="8.33203125" style="36" customWidth="1"/>
    <col min="7177" max="7177" width="10.33203125" style="36" customWidth="1"/>
    <col min="7178" max="7178" width="11.77734375" style="36" customWidth="1"/>
    <col min="7179" max="7180" width="10.33203125" style="36" customWidth="1"/>
    <col min="7181" max="7181" width="7.33203125" style="36" customWidth="1"/>
    <col min="7182" max="7182" width="11.21875" style="36" bestFit="1" customWidth="1"/>
    <col min="7183" max="7185" width="8.77734375" style="36"/>
    <col min="7186" max="7186" width="13.5546875" style="36" bestFit="1" customWidth="1"/>
    <col min="7187" max="7424" width="8.77734375" style="36"/>
    <col min="7425" max="7425" width="17.44140625" style="36" customWidth="1"/>
    <col min="7426" max="7427" width="7.77734375" style="36" customWidth="1"/>
    <col min="7428" max="7428" width="4.21875" style="36" customWidth="1"/>
    <col min="7429" max="7430" width="11.77734375" style="36" customWidth="1"/>
    <col min="7431" max="7432" width="8.33203125" style="36" customWidth="1"/>
    <col min="7433" max="7433" width="10.33203125" style="36" customWidth="1"/>
    <col min="7434" max="7434" width="11.77734375" style="36" customWidth="1"/>
    <col min="7435" max="7436" width="10.33203125" style="36" customWidth="1"/>
    <col min="7437" max="7437" width="7.33203125" style="36" customWidth="1"/>
    <col min="7438" max="7438" width="11.21875" style="36" bestFit="1" customWidth="1"/>
    <col min="7439" max="7441" width="8.77734375" style="36"/>
    <col min="7442" max="7442" width="13.5546875" style="36" bestFit="1" customWidth="1"/>
    <col min="7443" max="7680" width="8.77734375" style="36"/>
    <col min="7681" max="7681" width="17.44140625" style="36" customWidth="1"/>
    <col min="7682" max="7683" width="7.77734375" style="36" customWidth="1"/>
    <col min="7684" max="7684" width="4.21875" style="36" customWidth="1"/>
    <col min="7685" max="7686" width="11.77734375" style="36" customWidth="1"/>
    <col min="7687" max="7688" width="8.33203125" style="36" customWidth="1"/>
    <col min="7689" max="7689" width="10.33203125" style="36" customWidth="1"/>
    <col min="7690" max="7690" width="11.77734375" style="36" customWidth="1"/>
    <col min="7691" max="7692" width="10.33203125" style="36" customWidth="1"/>
    <col min="7693" max="7693" width="7.33203125" style="36" customWidth="1"/>
    <col min="7694" max="7694" width="11.21875" style="36" bestFit="1" customWidth="1"/>
    <col min="7695" max="7697" width="8.77734375" style="36"/>
    <col min="7698" max="7698" width="13.5546875" style="36" bestFit="1" customWidth="1"/>
    <col min="7699" max="7936" width="8.77734375" style="36"/>
    <col min="7937" max="7937" width="17.44140625" style="36" customWidth="1"/>
    <col min="7938" max="7939" width="7.77734375" style="36" customWidth="1"/>
    <col min="7940" max="7940" width="4.21875" style="36" customWidth="1"/>
    <col min="7941" max="7942" width="11.77734375" style="36" customWidth="1"/>
    <col min="7943" max="7944" width="8.33203125" style="36" customWidth="1"/>
    <col min="7945" max="7945" width="10.33203125" style="36" customWidth="1"/>
    <col min="7946" max="7946" width="11.77734375" style="36" customWidth="1"/>
    <col min="7947" max="7948" width="10.33203125" style="36" customWidth="1"/>
    <col min="7949" max="7949" width="7.33203125" style="36" customWidth="1"/>
    <col min="7950" max="7950" width="11.21875" style="36" bestFit="1" customWidth="1"/>
    <col min="7951" max="7953" width="8.77734375" style="36"/>
    <col min="7954" max="7954" width="13.5546875" style="36" bestFit="1" customWidth="1"/>
    <col min="7955" max="8192" width="8.77734375" style="36"/>
    <col min="8193" max="8193" width="17.44140625" style="36" customWidth="1"/>
    <col min="8194" max="8195" width="7.77734375" style="36" customWidth="1"/>
    <col min="8196" max="8196" width="4.21875" style="36" customWidth="1"/>
    <col min="8197" max="8198" width="11.77734375" style="36" customWidth="1"/>
    <col min="8199" max="8200" width="8.33203125" style="36" customWidth="1"/>
    <col min="8201" max="8201" width="10.33203125" style="36" customWidth="1"/>
    <col min="8202" max="8202" width="11.77734375" style="36" customWidth="1"/>
    <col min="8203" max="8204" width="10.33203125" style="36" customWidth="1"/>
    <col min="8205" max="8205" width="7.33203125" style="36" customWidth="1"/>
    <col min="8206" max="8206" width="11.21875" style="36" bestFit="1" customWidth="1"/>
    <col min="8207" max="8209" width="8.77734375" style="36"/>
    <col min="8210" max="8210" width="13.5546875" style="36" bestFit="1" customWidth="1"/>
    <col min="8211" max="8448" width="8.77734375" style="36"/>
    <col min="8449" max="8449" width="17.44140625" style="36" customWidth="1"/>
    <col min="8450" max="8451" width="7.77734375" style="36" customWidth="1"/>
    <col min="8452" max="8452" width="4.21875" style="36" customWidth="1"/>
    <col min="8453" max="8454" width="11.77734375" style="36" customWidth="1"/>
    <col min="8455" max="8456" width="8.33203125" style="36" customWidth="1"/>
    <col min="8457" max="8457" width="10.33203125" style="36" customWidth="1"/>
    <col min="8458" max="8458" width="11.77734375" style="36" customWidth="1"/>
    <col min="8459" max="8460" width="10.33203125" style="36" customWidth="1"/>
    <col min="8461" max="8461" width="7.33203125" style="36" customWidth="1"/>
    <col min="8462" max="8462" width="11.21875" style="36" bestFit="1" customWidth="1"/>
    <col min="8463" max="8465" width="8.77734375" style="36"/>
    <col min="8466" max="8466" width="13.5546875" style="36" bestFit="1" customWidth="1"/>
    <col min="8467" max="8704" width="8.77734375" style="36"/>
    <col min="8705" max="8705" width="17.44140625" style="36" customWidth="1"/>
    <col min="8706" max="8707" width="7.77734375" style="36" customWidth="1"/>
    <col min="8708" max="8708" width="4.21875" style="36" customWidth="1"/>
    <col min="8709" max="8710" width="11.77734375" style="36" customWidth="1"/>
    <col min="8711" max="8712" width="8.33203125" style="36" customWidth="1"/>
    <col min="8713" max="8713" width="10.33203125" style="36" customWidth="1"/>
    <col min="8714" max="8714" width="11.77734375" style="36" customWidth="1"/>
    <col min="8715" max="8716" width="10.33203125" style="36" customWidth="1"/>
    <col min="8717" max="8717" width="7.33203125" style="36" customWidth="1"/>
    <col min="8718" max="8718" width="11.21875" style="36" bestFit="1" customWidth="1"/>
    <col min="8719" max="8721" width="8.77734375" style="36"/>
    <col min="8722" max="8722" width="13.5546875" style="36" bestFit="1" customWidth="1"/>
    <col min="8723" max="8960" width="8.77734375" style="36"/>
    <col min="8961" max="8961" width="17.44140625" style="36" customWidth="1"/>
    <col min="8962" max="8963" width="7.77734375" style="36" customWidth="1"/>
    <col min="8964" max="8964" width="4.21875" style="36" customWidth="1"/>
    <col min="8965" max="8966" width="11.77734375" style="36" customWidth="1"/>
    <col min="8967" max="8968" width="8.33203125" style="36" customWidth="1"/>
    <col min="8969" max="8969" width="10.33203125" style="36" customWidth="1"/>
    <col min="8970" max="8970" width="11.77734375" style="36" customWidth="1"/>
    <col min="8971" max="8972" width="10.33203125" style="36" customWidth="1"/>
    <col min="8973" max="8973" width="7.33203125" style="36" customWidth="1"/>
    <col min="8974" max="8974" width="11.21875" style="36" bestFit="1" customWidth="1"/>
    <col min="8975" max="8977" width="8.77734375" style="36"/>
    <col min="8978" max="8978" width="13.5546875" style="36" bestFit="1" customWidth="1"/>
    <col min="8979" max="9216" width="8.77734375" style="36"/>
    <col min="9217" max="9217" width="17.44140625" style="36" customWidth="1"/>
    <col min="9218" max="9219" width="7.77734375" style="36" customWidth="1"/>
    <col min="9220" max="9220" width="4.21875" style="36" customWidth="1"/>
    <col min="9221" max="9222" width="11.77734375" style="36" customWidth="1"/>
    <col min="9223" max="9224" width="8.33203125" style="36" customWidth="1"/>
    <col min="9225" max="9225" width="10.33203125" style="36" customWidth="1"/>
    <col min="9226" max="9226" width="11.77734375" style="36" customWidth="1"/>
    <col min="9227" max="9228" width="10.33203125" style="36" customWidth="1"/>
    <col min="9229" max="9229" width="7.33203125" style="36" customWidth="1"/>
    <col min="9230" max="9230" width="11.21875" style="36" bestFit="1" customWidth="1"/>
    <col min="9231" max="9233" width="8.77734375" style="36"/>
    <col min="9234" max="9234" width="13.5546875" style="36" bestFit="1" customWidth="1"/>
    <col min="9235" max="9472" width="8.77734375" style="36"/>
    <col min="9473" max="9473" width="17.44140625" style="36" customWidth="1"/>
    <col min="9474" max="9475" width="7.77734375" style="36" customWidth="1"/>
    <col min="9476" max="9476" width="4.21875" style="36" customWidth="1"/>
    <col min="9477" max="9478" width="11.77734375" style="36" customWidth="1"/>
    <col min="9479" max="9480" width="8.33203125" style="36" customWidth="1"/>
    <col min="9481" max="9481" width="10.33203125" style="36" customWidth="1"/>
    <col min="9482" max="9482" width="11.77734375" style="36" customWidth="1"/>
    <col min="9483" max="9484" width="10.33203125" style="36" customWidth="1"/>
    <col min="9485" max="9485" width="7.33203125" style="36" customWidth="1"/>
    <col min="9486" max="9486" width="11.21875" style="36" bestFit="1" customWidth="1"/>
    <col min="9487" max="9489" width="8.77734375" style="36"/>
    <col min="9490" max="9490" width="13.5546875" style="36" bestFit="1" customWidth="1"/>
    <col min="9491" max="9728" width="8.77734375" style="36"/>
    <col min="9729" max="9729" width="17.44140625" style="36" customWidth="1"/>
    <col min="9730" max="9731" width="7.77734375" style="36" customWidth="1"/>
    <col min="9732" max="9732" width="4.21875" style="36" customWidth="1"/>
    <col min="9733" max="9734" width="11.77734375" style="36" customWidth="1"/>
    <col min="9735" max="9736" width="8.33203125" style="36" customWidth="1"/>
    <col min="9737" max="9737" width="10.33203125" style="36" customWidth="1"/>
    <col min="9738" max="9738" width="11.77734375" style="36" customWidth="1"/>
    <col min="9739" max="9740" width="10.33203125" style="36" customWidth="1"/>
    <col min="9741" max="9741" width="7.33203125" style="36" customWidth="1"/>
    <col min="9742" max="9742" width="11.21875" style="36" bestFit="1" customWidth="1"/>
    <col min="9743" max="9745" width="8.77734375" style="36"/>
    <col min="9746" max="9746" width="13.5546875" style="36" bestFit="1" customWidth="1"/>
    <col min="9747" max="9984" width="8.77734375" style="36"/>
    <col min="9985" max="9985" width="17.44140625" style="36" customWidth="1"/>
    <col min="9986" max="9987" width="7.77734375" style="36" customWidth="1"/>
    <col min="9988" max="9988" width="4.21875" style="36" customWidth="1"/>
    <col min="9989" max="9990" width="11.77734375" style="36" customWidth="1"/>
    <col min="9991" max="9992" width="8.33203125" style="36" customWidth="1"/>
    <col min="9993" max="9993" width="10.33203125" style="36" customWidth="1"/>
    <col min="9994" max="9994" width="11.77734375" style="36" customWidth="1"/>
    <col min="9995" max="9996" width="10.33203125" style="36" customWidth="1"/>
    <col min="9997" max="9997" width="7.33203125" style="36" customWidth="1"/>
    <col min="9998" max="9998" width="11.21875" style="36" bestFit="1" customWidth="1"/>
    <col min="9999" max="10001" width="8.77734375" style="36"/>
    <col min="10002" max="10002" width="13.5546875" style="36" bestFit="1" customWidth="1"/>
    <col min="10003" max="10240" width="8.77734375" style="36"/>
    <col min="10241" max="10241" width="17.44140625" style="36" customWidth="1"/>
    <col min="10242" max="10243" width="7.77734375" style="36" customWidth="1"/>
    <col min="10244" max="10244" width="4.21875" style="36" customWidth="1"/>
    <col min="10245" max="10246" width="11.77734375" style="36" customWidth="1"/>
    <col min="10247" max="10248" width="8.33203125" style="36" customWidth="1"/>
    <col min="10249" max="10249" width="10.33203125" style="36" customWidth="1"/>
    <col min="10250" max="10250" width="11.77734375" style="36" customWidth="1"/>
    <col min="10251" max="10252" width="10.33203125" style="36" customWidth="1"/>
    <col min="10253" max="10253" width="7.33203125" style="36" customWidth="1"/>
    <col min="10254" max="10254" width="11.21875" style="36" bestFit="1" customWidth="1"/>
    <col min="10255" max="10257" width="8.77734375" style="36"/>
    <col min="10258" max="10258" width="13.5546875" style="36" bestFit="1" customWidth="1"/>
    <col min="10259" max="10496" width="8.77734375" style="36"/>
    <col min="10497" max="10497" width="17.44140625" style="36" customWidth="1"/>
    <col min="10498" max="10499" width="7.77734375" style="36" customWidth="1"/>
    <col min="10500" max="10500" width="4.21875" style="36" customWidth="1"/>
    <col min="10501" max="10502" width="11.77734375" style="36" customWidth="1"/>
    <col min="10503" max="10504" width="8.33203125" style="36" customWidth="1"/>
    <col min="10505" max="10505" width="10.33203125" style="36" customWidth="1"/>
    <col min="10506" max="10506" width="11.77734375" style="36" customWidth="1"/>
    <col min="10507" max="10508" width="10.33203125" style="36" customWidth="1"/>
    <col min="10509" max="10509" width="7.33203125" style="36" customWidth="1"/>
    <col min="10510" max="10510" width="11.21875" style="36" bestFit="1" customWidth="1"/>
    <col min="10511" max="10513" width="8.77734375" style="36"/>
    <col min="10514" max="10514" width="13.5546875" style="36" bestFit="1" customWidth="1"/>
    <col min="10515" max="10752" width="8.77734375" style="36"/>
    <col min="10753" max="10753" width="17.44140625" style="36" customWidth="1"/>
    <col min="10754" max="10755" width="7.77734375" style="36" customWidth="1"/>
    <col min="10756" max="10756" width="4.21875" style="36" customWidth="1"/>
    <col min="10757" max="10758" width="11.77734375" style="36" customWidth="1"/>
    <col min="10759" max="10760" width="8.33203125" style="36" customWidth="1"/>
    <col min="10761" max="10761" width="10.33203125" style="36" customWidth="1"/>
    <col min="10762" max="10762" width="11.77734375" style="36" customWidth="1"/>
    <col min="10763" max="10764" width="10.33203125" style="36" customWidth="1"/>
    <col min="10765" max="10765" width="7.33203125" style="36" customWidth="1"/>
    <col min="10766" max="10766" width="11.21875" style="36" bestFit="1" customWidth="1"/>
    <col min="10767" max="10769" width="8.77734375" style="36"/>
    <col min="10770" max="10770" width="13.5546875" style="36" bestFit="1" customWidth="1"/>
    <col min="10771" max="11008" width="8.77734375" style="36"/>
    <col min="11009" max="11009" width="17.44140625" style="36" customWidth="1"/>
    <col min="11010" max="11011" width="7.77734375" style="36" customWidth="1"/>
    <col min="11012" max="11012" width="4.21875" style="36" customWidth="1"/>
    <col min="11013" max="11014" width="11.77734375" style="36" customWidth="1"/>
    <col min="11015" max="11016" width="8.33203125" style="36" customWidth="1"/>
    <col min="11017" max="11017" width="10.33203125" style="36" customWidth="1"/>
    <col min="11018" max="11018" width="11.77734375" style="36" customWidth="1"/>
    <col min="11019" max="11020" width="10.33203125" style="36" customWidth="1"/>
    <col min="11021" max="11021" width="7.33203125" style="36" customWidth="1"/>
    <col min="11022" max="11022" width="11.21875" style="36" bestFit="1" customWidth="1"/>
    <col min="11023" max="11025" width="8.77734375" style="36"/>
    <col min="11026" max="11026" width="13.5546875" style="36" bestFit="1" customWidth="1"/>
    <col min="11027" max="11264" width="8.77734375" style="36"/>
    <col min="11265" max="11265" width="17.44140625" style="36" customWidth="1"/>
    <col min="11266" max="11267" width="7.77734375" style="36" customWidth="1"/>
    <col min="11268" max="11268" width="4.21875" style="36" customWidth="1"/>
    <col min="11269" max="11270" width="11.77734375" style="36" customWidth="1"/>
    <col min="11271" max="11272" width="8.33203125" style="36" customWidth="1"/>
    <col min="11273" max="11273" width="10.33203125" style="36" customWidth="1"/>
    <col min="11274" max="11274" width="11.77734375" style="36" customWidth="1"/>
    <col min="11275" max="11276" width="10.33203125" style="36" customWidth="1"/>
    <col min="11277" max="11277" width="7.33203125" style="36" customWidth="1"/>
    <col min="11278" max="11278" width="11.21875" style="36" bestFit="1" customWidth="1"/>
    <col min="11279" max="11281" width="8.77734375" style="36"/>
    <col min="11282" max="11282" width="13.5546875" style="36" bestFit="1" customWidth="1"/>
    <col min="11283" max="11520" width="8.77734375" style="36"/>
    <col min="11521" max="11521" width="17.44140625" style="36" customWidth="1"/>
    <col min="11522" max="11523" width="7.77734375" style="36" customWidth="1"/>
    <col min="11524" max="11524" width="4.21875" style="36" customWidth="1"/>
    <col min="11525" max="11526" width="11.77734375" style="36" customWidth="1"/>
    <col min="11527" max="11528" width="8.33203125" style="36" customWidth="1"/>
    <col min="11529" max="11529" width="10.33203125" style="36" customWidth="1"/>
    <col min="11530" max="11530" width="11.77734375" style="36" customWidth="1"/>
    <col min="11531" max="11532" width="10.33203125" style="36" customWidth="1"/>
    <col min="11533" max="11533" width="7.33203125" style="36" customWidth="1"/>
    <col min="11534" max="11534" width="11.21875" style="36" bestFit="1" customWidth="1"/>
    <col min="11535" max="11537" width="8.77734375" style="36"/>
    <col min="11538" max="11538" width="13.5546875" style="36" bestFit="1" customWidth="1"/>
    <col min="11539" max="11776" width="8.77734375" style="36"/>
    <col min="11777" max="11777" width="17.44140625" style="36" customWidth="1"/>
    <col min="11778" max="11779" width="7.77734375" style="36" customWidth="1"/>
    <col min="11780" max="11780" width="4.21875" style="36" customWidth="1"/>
    <col min="11781" max="11782" width="11.77734375" style="36" customWidth="1"/>
    <col min="11783" max="11784" width="8.33203125" style="36" customWidth="1"/>
    <col min="11785" max="11785" width="10.33203125" style="36" customWidth="1"/>
    <col min="11786" max="11786" width="11.77734375" style="36" customWidth="1"/>
    <col min="11787" max="11788" width="10.33203125" style="36" customWidth="1"/>
    <col min="11789" max="11789" width="7.33203125" style="36" customWidth="1"/>
    <col min="11790" max="11790" width="11.21875" style="36" bestFit="1" customWidth="1"/>
    <col min="11791" max="11793" width="8.77734375" style="36"/>
    <col min="11794" max="11794" width="13.5546875" style="36" bestFit="1" customWidth="1"/>
    <col min="11795" max="12032" width="8.77734375" style="36"/>
    <col min="12033" max="12033" width="17.44140625" style="36" customWidth="1"/>
    <col min="12034" max="12035" width="7.77734375" style="36" customWidth="1"/>
    <col min="12036" max="12036" width="4.21875" style="36" customWidth="1"/>
    <col min="12037" max="12038" width="11.77734375" style="36" customWidth="1"/>
    <col min="12039" max="12040" width="8.33203125" style="36" customWidth="1"/>
    <col min="12041" max="12041" width="10.33203125" style="36" customWidth="1"/>
    <col min="12042" max="12042" width="11.77734375" style="36" customWidth="1"/>
    <col min="12043" max="12044" width="10.33203125" style="36" customWidth="1"/>
    <col min="12045" max="12045" width="7.33203125" style="36" customWidth="1"/>
    <col min="12046" max="12046" width="11.21875" style="36" bestFit="1" customWidth="1"/>
    <col min="12047" max="12049" width="8.77734375" style="36"/>
    <col min="12050" max="12050" width="13.5546875" style="36" bestFit="1" customWidth="1"/>
    <col min="12051" max="12288" width="8.77734375" style="36"/>
    <col min="12289" max="12289" width="17.44140625" style="36" customWidth="1"/>
    <col min="12290" max="12291" width="7.77734375" style="36" customWidth="1"/>
    <col min="12292" max="12292" width="4.21875" style="36" customWidth="1"/>
    <col min="12293" max="12294" width="11.77734375" style="36" customWidth="1"/>
    <col min="12295" max="12296" width="8.33203125" style="36" customWidth="1"/>
    <col min="12297" max="12297" width="10.33203125" style="36" customWidth="1"/>
    <col min="12298" max="12298" width="11.77734375" style="36" customWidth="1"/>
    <col min="12299" max="12300" width="10.33203125" style="36" customWidth="1"/>
    <col min="12301" max="12301" width="7.33203125" style="36" customWidth="1"/>
    <col min="12302" max="12302" width="11.21875" style="36" bestFit="1" customWidth="1"/>
    <col min="12303" max="12305" width="8.77734375" style="36"/>
    <col min="12306" max="12306" width="13.5546875" style="36" bestFit="1" customWidth="1"/>
    <col min="12307" max="12544" width="8.77734375" style="36"/>
    <col min="12545" max="12545" width="17.44140625" style="36" customWidth="1"/>
    <col min="12546" max="12547" width="7.77734375" style="36" customWidth="1"/>
    <col min="12548" max="12548" width="4.21875" style="36" customWidth="1"/>
    <col min="12549" max="12550" width="11.77734375" style="36" customWidth="1"/>
    <col min="12551" max="12552" width="8.33203125" style="36" customWidth="1"/>
    <col min="12553" max="12553" width="10.33203125" style="36" customWidth="1"/>
    <col min="12554" max="12554" width="11.77734375" style="36" customWidth="1"/>
    <col min="12555" max="12556" width="10.33203125" style="36" customWidth="1"/>
    <col min="12557" max="12557" width="7.33203125" style="36" customWidth="1"/>
    <col min="12558" max="12558" width="11.21875" style="36" bestFit="1" customWidth="1"/>
    <col min="12559" max="12561" width="8.77734375" style="36"/>
    <col min="12562" max="12562" width="13.5546875" style="36" bestFit="1" customWidth="1"/>
    <col min="12563" max="12800" width="8.77734375" style="36"/>
    <col min="12801" max="12801" width="17.44140625" style="36" customWidth="1"/>
    <col min="12802" max="12803" width="7.77734375" style="36" customWidth="1"/>
    <col min="12804" max="12804" width="4.21875" style="36" customWidth="1"/>
    <col min="12805" max="12806" width="11.77734375" style="36" customWidth="1"/>
    <col min="12807" max="12808" width="8.33203125" style="36" customWidth="1"/>
    <col min="12809" max="12809" width="10.33203125" style="36" customWidth="1"/>
    <col min="12810" max="12810" width="11.77734375" style="36" customWidth="1"/>
    <col min="12811" max="12812" width="10.33203125" style="36" customWidth="1"/>
    <col min="12813" max="12813" width="7.33203125" style="36" customWidth="1"/>
    <col min="12814" max="12814" width="11.21875" style="36" bestFit="1" customWidth="1"/>
    <col min="12815" max="12817" width="8.77734375" style="36"/>
    <col min="12818" max="12818" width="13.5546875" style="36" bestFit="1" customWidth="1"/>
    <col min="12819" max="13056" width="8.77734375" style="36"/>
    <col min="13057" max="13057" width="17.44140625" style="36" customWidth="1"/>
    <col min="13058" max="13059" width="7.77734375" style="36" customWidth="1"/>
    <col min="13060" max="13060" width="4.21875" style="36" customWidth="1"/>
    <col min="13061" max="13062" width="11.77734375" style="36" customWidth="1"/>
    <col min="13063" max="13064" width="8.33203125" style="36" customWidth="1"/>
    <col min="13065" max="13065" width="10.33203125" style="36" customWidth="1"/>
    <col min="13066" max="13066" width="11.77734375" style="36" customWidth="1"/>
    <col min="13067" max="13068" width="10.33203125" style="36" customWidth="1"/>
    <col min="13069" max="13069" width="7.33203125" style="36" customWidth="1"/>
    <col min="13070" max="13070" width="11.21875" style="36" bestFit="1" customWidth="1"/>
    <col min="13071" max="13073" width="8.77734375" style="36"/>
    <col min="13074" max="13074" width="13.5546875" style="36" bestFit="1" customWidth="1"/>
    <col min="13075" max="13312" width="8.77734375" style="36"/>
    <col min="13313" max="13313" width="17.44140625" style="36" customWidth="1"/>
    <col min="13314" max="13315" width="7.77734375" style="36" customWidth="1"/>
    <col min="13316" max="13316" width="4.21875" style="36" customWidth="1"/>
    <col min="13317" max="13318" width="11.77734375" style="36" customWidth="1"/>
    <col min="13319" max="13320" width="8.33203125" style="36" customWidth="1"/>
    <col min="13321" max="13321" width="10.33203125" style="36" customWidth="1"/>
    <col min="13322" max="13322" width="11.77734375" style="36" customWidth="1"/>
    <col min="13323" max="13324" width="10.33203125" style="36" customWidth="1"/>
    <col min="13325" max="13325" width="7.33203125" style="36" customWidth="1"/>
    <col min="13326" max="13326" width="11.21875" style="36" bestFit="1" customWidth="1"/>
    <col min="13327" max="13329" width="8.77734375" style="36"/>
    <col min="13330" max="13330" width="13.5546875" style="36" bestFit="1" customWidth="1"/>
    <col min="13331" max="13568" width="8.77734375" style="36"/>
    <col min="13569" max="13569" width="17.44140625" style="36" customWidth="1"/>
    <col min="13570" max="13571" width="7.77734375" style="36" customWidth="1"/>
    <col min="13572" max="13572" width="4.21875" style="36" customWidth="1"/>
    <col min="13573" max="13574" width="11.77734375" style="36" customWidth="1"/>
    <col min="13575" max="13576" width="8.33203125" style="36" customWidth="1"/>
    <col min="13577" max="13577" width="10.33203125" style="36" customWidth="1"/>
    <col min="13578" max="13578" width="11.77734375" style="36" customWidth="1"/>
    <col min="13579" max="13580" width="10.33203125" style="36" customWidth="1"/>
    <col min="13581" max="13581" width="7.33203125" style="36" customWidth="1"/>
    <col min="13582" max="13582" width="11.21875" style="36" bestFit="1" customWidth="1"/>
    <col min="13583" max="13585" width="8.77734375" style="36"/>
    <col min="13586" max="13586" width="13.5546875" style="36" bestFit="1" customWidth="1"/>
    <col min="13587" max="13824" width="8.77734375" style="36"/>
    <col min="13825" max="13825" width="17.44140625" style="36" customWidth="1"/>
    <col min="13826" max="13827" width="7.77734375" style="36" customWidth="1"/>
    <col min="13828" max="13828" width="4.21875" style="36" customWidth="1"/>
    <col min="13829" max="13830" width="11.77734375" style="36" customWidth="1"/>
    <col min="13831" max="13832" width="8.33203125" style="36" customWidth="1"/>
    <col min="13833" max="13833" width="10.33203125" style="36" customWidth="1"/>
    <col min="13834" max="13834" width="11.77734375" style="36" customWidth="1"/>
    <col min="13835" max="13836" width="10.33203125" style="36" customWidth="1"/>
    <col min="13837" max="13837" width="7.33203125" style="36" customWidth="1"/>
    <col min="13838" max="13838" width="11.21875" style="36" bestFit="1" customWidth="1"/>
    <col min="13839" max="13841" width="8.77734375" style="36"/>
    <col min="13842" max="13842" width="13.5546875" style="36" bestFit="1" customWidth="1"/>
    <col min="13843" max="14080" width="8.77734375" style="36"/>
    <col min="14081" max="14081" width="17.44140625" style="36" customWidth="1"/>
    <col min="14082" max="14083" width="7.77734375" style="36" customWidth="1"/>
    <col min="14084" max="14084" width="4.21875" style="36" customWidth="1"/>
    <col min="14085" max="14086" width="11.77734375" style="36" customWidth="1"/>
    <col min="14087" max="14088" width="8.33203125" style="36" customWidth="1"/>
    <col min="14089" max="14089" width="10.33203125" style="36" customWidth="1"/>
    <col min="14090" max="14090" width="11.77734375" style="36" customWidth="1"/>
    <col min="14091" max="14092" width="10.33203125" style="36" customWidth="1"/>
    <col min="14093" max="14093" width="7.33203125" style="36" customWidth="1"/>
    <col min="14094" max="14094" width="11.21875" style="36" bestFit="1" customWidth="1"/>
    <col min="14095" max="14097" width="8.77734375" style="36"/>
    <col min="14098" max="14098" width="13.5546875" style="36" bestFit="1" customWidth="1"/>
    <col min="14099" max="14336" width="8.77734375" style="36"/>
    <col min="14337" max="14337" width="17.44140625" style="36" customWidth="1"/>
    <col min="14338" max="14339" width="7.77734375" style="36" customWidth="1"/>
    <col min="14340" max="14340" width="4.21875" style="36" customWidth="1"/>
    <col min="14341" max="14342" width="11.77734375" style="36" customWidth="1"/>
    <col min="14343" max="14344" width="8.33203125" style="36" customWidth="1"/>
    <col min="14345" max="14345" width="10.33203125" style="36" customWidth="1"/>
    <col min="14346" max="14346" width="11.77734375" style="36" customWidth="1"/>
    <col min="14347" max="14348" width="10.33203125" style="36" customWidth="1"/>
    <col min="14349" max="14349" width="7.33203125" style="36" customWidth="1"/>
    <col min="14350" max="14350" width="11.21875" style="36" bestFit="1" customWidth="1"/>
    <col min="14351" max="14353" width="8.77734375" style="36"/>
    <col min="14354" max="14354" width="13.5546875" style="36" bestFit="1" customWidth="1"/>
    <col min="14355" max="14592" width="8.77734375" style="36"/>
    <col min="14593" max="14593" width="17.44140625" style="36" customWidth="1"/>
    <col min="14594" max="14595" width="7.77734375" style="36" customWidth="1"/>
    <col min="14596" max="14596" width="4.21875" style="36" customWidth="1"/>
    <col min="14597" max="14598" width="11.77734375" style="36" customWidth="1"/>
    <col min="14599" max="14600" width="8.33203125" style="36" customWidth="1"/>
    <col min="14601" max="14601" width="10.33203125" style="36" customWidth="1"/>
    <col min="14602" max="14602" width="11.77734375" style="36" customWidth="1"/>
    <col min="14603" max="14604" width="10.33203125" style="36" customWidth="1"/>
    <col min="14605" max="14605" width="7.33203125" style="36" customWidth="1"/>
    <col min="14606" max="14606" width="11.21875" style="36" bestFit="1" customWidth="1"/>
    <col min="14607" max="14609" width="8.77734375" style="36"/>
    <col min="14610" max="14610" width="13.5546875" style="36" bestFit="1" customWidth="1"/>
    <col min="14611" max="14848" width="8.77734375" style="36"/>
    <col min="14849" max="14849" width="17.44140625" style="36" customWidth="1"/>
    <col min="14850" max="14851" width="7.77734375" style="36" customWidth="1"/>
    <col min="14852" max="14852" width="4.21875" style="36" customWidth="1"/>
    <col min="14853" max="14854" width="11.77734375" style="36" customWidth="1"/>
    <col min="14855" max="14856" width="8.33203125" style="36" customWidth="1"/>
    <col min="14857" max="14857" width="10.33203125" style="36" customWidth="1"/>
    <col min="14858" max="14858" width="11.77734375" style="36" customWidth="1"/>
    <col min="14859" max="14860" width="10.33203125" style="36" customWidth="1"/>
    <col min="14861" max="14861" width="7.33203125" style="36" customWidth="1"/>
    <col min="14862" max="14862" width="11.21875" style="36" bestFit="1" customWidth="1"/>
    <col min="14863" max="14865" width="8.77734375" style="36"/>
    <col min="14866" max="14866" width="13.5546875" style="36" bestFit="1" customWidth="1"/>
    <col min="14867" max="15104" width="8.77734375" style="36"/>
    <col min="15105" max="15105" width="17.44140625" style="36" customWidth="1"/>
    <col min="15106" max="15107" width="7.77734375" style="36" customWidth="1"/>
    <col min="15108" max="15108" width="4.21875" style="36" customWidth="1"/>
    <col min="15109" max="15110" width="11.77734375" style="36" customWidth="1"/>
    <col min="15111" max="15112" width="8.33203125" style="36" customWidth="1"/>
    <col min="15113" max="15113" width="10.33203125" style="36" customWidth="1"/>
    <col min="15114" max="15114" width="11.77734375" style="36" customWidth="1"/>
    <col min="15115" max="15116" width="10.33203125" style="36" customWidth="1"/>
    <col min="15117" max="15117" width="7.33203125" style="36" customWidth="1"/>
    <col min="15118" max="15118" width="11.21875" style="36" bestFit="1" customWidth="1"/>
    <col min="15119" max="15121" width="8.77734375" style="36"/>
    <col min="15122" max="15122" width="13.5546875" style="36" bestFit="1" customWidth="1"/>
    <col min="15123" max="15360" width="8.77734375" style="36"/>
    <col min="15361" max="15361" width="17.44140625" style="36" customWidth="1"/>
    <col min="15362" max="15363" width="7.77734375" style="36" customWidth="1"/>
    <col min="15364" max="15364" width="4.21875" style="36" customWidth="1"/>
    <col min="15365" max="15366" width="11.77734375" style="36" customWidth="1"/>
    <col min="15367" max="15368" width="8.33203125" style="36" customWidth="1"/>
    <col min="15369" max="15369" width="10.33203125" style="36" customWidth="1"/>
    <col min="15370" max="15370" width="11.77734375" style="36" customWidth="1"/>
    <col min="15371" max="15372" width="10.33203125" style="36" customWidth="1"/>
    <col min="15373" max="15373" width="7.33203125" style="36" customWidth="1"/>
    <col min="15374" max="15374" width="11.21875" style="36" bestFit="1" customWidth="1"/>
    <col min="15375" max="15377" width="8.77734375" style="36"/>
    <col min="15378" max="15378" width="13.5546875" style="36" bestFit="1" customWidth="1"/>
    <col min="15379" max="15616" width="8.77734375" style="36"/>
    <col min="15617" max="15617" width="17.44140625" style="36" customWidth="1"/>
    <col min="15618" max="15619" width="7.77734375" style="36" customWidth="1"/>
    <col min="15620" max="15620" width="4.21875" style="36" customWidth="1"/>
    <col min="15621" max="15622" width="11.77734375" style="36" customWidth="1"/>
    <col min="15623" max="15624" width="8.33203125" style="36" customWidth="1"/>
    <col min="15625" max="15625" width="10.33203125" style="36" customWidth="1"/>
    <col min="15626" max="15626" width="11.77734375" style="36" customWidth="1"/>
    <col min="15627" max="15628" width="10.33203125" style="36" customWidth="1"/>
    <col min="15629" max="15629" width="7.33203125" style="36" customWidth="1"/>
    <col min="15630" max="15630" width="11.21875" style="36" bestFit="1" customWidth="1"/>
    <col min="15631" max="15633" width="8.77734375" style="36"/>
    <col min="15634" max="15634" width="13.5546875" style="36" bestFit="1" customWidth="1"/>
    <col min="15635" max="15872" width="8.77734375" style="36"/>
    <col min="15873" max="15873" width="17.44140625" style="36" customWidth="1"/>
    <col min="15874" max="15875" width="7.77734375" style="36" customWidth="1"/>
    <col min="15876" max="15876" width="4.21875" style="36" customWidth="1"/>
    <col min="15877" max="15878" width="11.77734375" style="36" customWidth="1"/>
    <col min="15879" max="15880" width="8.33203125" style="36" customWidth="1"/>
    <col min="15881" max="15881" width="10.33203125" style="36" customWidth="1"/>
    <col min="15882" max="15882" width="11.77734375" style="36" customWidth="1"/>
    <col min="15883" max="15884" width="10.33203125" style="36" customWidth="1"/>
    <col min="15885" max="15885" width="7.33203125" style="36" customWidth="1"/>
    <col min="15886" max="15886" width="11.21875" style="36" bestFit="1" customWidth="1"/>
    <col min="15887" max="15889" width="8.77734375" style="36"/>
    <col min="15890" max="15890" width="13.5546875" style="36" bestFit="1" customWidth="1"/>
    <col min="15891" max="16128" width="8.77734375" style="36"/>
    <col min="16129" max="16129" width="17.44140625" style="36" customWidth="1"/>
    <col min="16130" max="16131" width="7.77734375" style="36" customWidth="1"/>
    <col min="16132" max="16132" width="4.21875" style="36" customWidth="1"/>
    <col min="16133" max="16134" width="11.77734375" style="36" customWidth="1"/>
    <col min="16135" max="16136" width="8.33203125" style="36" customWidth="1"/>
    <col min="16137" max="16137" width="10.33203125" style="36" customWidth="1"/>
    <col min="16138" max="16138" width="11.77734375" style="36" customWidth="1"/>
    <col min="16139" max="16140" width="10.33203125" style="36" customWidth="1"/>
    <col min="16141" max="16141" width="7.33203125" style="36" customWidth="1"/>
    <col min="16142" max="16142" width="11.21875" style="36" bestFit="1" customWidth="1"/>
    <col min="16143" max="16145" width="8.77734375" style="36"/>
    <col min="16146" max="16146" width="13.5546875" style="36" bestFit="1" customWidth="1"/>
    <col min="16147" max="16384" width="8.77734375" style="36"/>
  </cols>
  <sheetData>
    <row r="1" spans="1:28" s="73" customFormat="1" ht="24.95" customHeight="1">
      <c r="A1" s="1710" t="s">
        <v>153</v>
      </c>
      <c r="B1" s="1712" t="s">
        <v>157</v>
      </c>
      <c r="C1" s="1712" t="s">
        <v>69</v>
      </c>
      <c r="D1" s="1712" t="s">
        <v>49</v>
      </c>
      <c r="E1" s="1712" t="s">
        <v>167</v>
      </c>
      <c r="F1" s="1712"/>
      <c r="G1" s="1712" t="s">
        <v>173</v>
      </c>
      <c r="H1" s="1712"/>
      <c r="I1" s="1712" t="s">
        <v>164</v>
      </c>
      <c r="J1" s="1712"/>
      <c r="K1" s="1712" t="s">
        <v>154</v>
      </c>
      <c r="L1" s="1712"/>
      <c r="M1" s="1708" t="s">
        <v>47</v>
      </c>
      <c r="N1" s="2201" t="s">
        <v>1285</v>
      </c>
      <c r="O1" s="2202"/>
      <c r="P1" s="1715" t="s">
        <v>98</v>
      </c>
      <c r="Q1" s="1716"/>
      <c r="R1" s="69">
        <v>100</v>
      </c>
      <c r="S1" s="70" t="s">
        <v>91</v>
      </c>
      <c r="T1" s="71"/>
      <c r="U1" s="72"/>
    </row>
    <row r="2" spans="1:28" s="78" customFormat="1" ht="24.95" customHeight="1" thickBot="1">
      <c r="A2" s="1711"/>
      <c r="B2" s="1713"/>
      <c r="C2" s="1713"/>
      <c r="D2" s="1713"/>
      <c r="E2" s="74" t="s">
        <v>38</v>
      </c>
      <c r="F2" s="74" t="s">
        <v>71</v>
      </c>
      <c r="G2" s="74" t="s">
        <v>38</v>
      </c>
      <c r="H2" s="74" t="s">
        <v>71</v>
      </c>
      <c r="I2" s="74" t="s">
        <v>38</v>
      </c>
      <c r="J2" s="74" t="s">
        <v>71</v>
      </c>
      <c r="K2" s="74" t="s">
        <v>38</v>
      </c>
      <c r="L2" s="74" t="s">
        <v>71</v>
      </c>
      <c r="M2" s="1709"/>
      <c r="N2" s="2203" t="s">
        <v>1286</v>
      </c>
      <c r="O2" s="2204"/>
      <c r="P2" s="1717" t="s">
        <v>98</v>
      </c>
      <c r="Q2" s="1718"/>
      <c r="R2" s="69">
        <v>0</v>
      </c>
      <c r="S2" s="70" t="s">
        <v>91</v>
      </c>
      <c r="T2" s="77"/>
      <c r="U2" s="72"/>
    </row>
    <row r="3" spans="1:28" s="80" customFormat="1" ht="24.95" customHeight="1" thickTop="1">
      <c r="A3" s="220" t="s">
        <v>1889</v>
      </c>
      <c r="B3" s="221"/>
      <c r="C3" s="222"/>
      <c r="D3" s="223"/>
      <c r="E3" s="221"/>
      <c r="F3" s="221"/>
      <c r="G3" s="221"/>
      <c r="H3" s="221"/>
      <c r="I3" s="221"/>
      <c r="J3" s="221"/>
      <c r="K3" s="221"/>
      <c r="L3" s="221"/>
      <c r="M3" s="224"/>
      <c r="N3" s="79"/>
    </row>
    <row r="4" spans="1:28" s="87" customFormat="1" ht="24.95" customHeight="1">
      <c r="A4" s="81" t="s">
        <v>150</v>
      </c>
      <c r="B4" s="82"/>
      <c r="C4" s="83">
        <f>'비상대처계획(기준소요인력)'!D5</f>
        <v>1</v>
      </c>
      <c r="D4" s="55" t="s">
        <v>41</v>
      </c>
      <c r="E4" s="56">
        <f t="shared" ref="E4:F11" si="0">G4+I4+K4</f>
        <v>467217</v>
      </c>
      <c r="F4" s="56">
        <f t="shared" si="0"/>
        <v>467217</v>
      </c>
      <c r="G4" s="84"/>
      <c r="H4" s="84"/>
      <c r="I4" s="56">
        <f>'산근3 노임'!B5</f>
        <v>467217</v>
      </c>
      <c r="J4" s="56">
        <f t="shared" ref="J4:J9" si="1">INT(I4*C4)</f>
        <v>467217</v>
      </c>
      <c r="K4" s="84"/>
      <c r="L4" s="84"/>
      <c r="M4" s="85"/>
      <c r="N4" s="86"/>
      <c r="R4" s="88"/>
      <c r="V4" s="89"/>
      <c r="W4" s="89"/>
      <c r="X4" s="89"/>
      <c r="Y4" s="89"/>
      <c r="Z4" s="89"/>
      <c r="AA4" s="89"/>
      <c r="AB4" s="89"/>
    </row>
    <row r="5" spans="1:28" s="87" customFormat="1" ht="24.95" customHeight="1">
      <c r="A5" s="81" t="s">
        <v>146</v>
      </c>
      <c r="B5" s="82"/>
      <c r="C5" s="83">
        <f>'비상대처계획(기준소요인력)'!E5</f>
        <v>2.5</v>
      </c>
      <c r="D5" s="55" t="s">
        <v>41</v>
      </c>
      <c r="E5" s="56">
        <f t="shared" si="0"/>
        <v>373353</v>
      </c>
      <c r="F5" s="56">
        <f t="shared" si="0"/>
        <v>933382</v>
      </c>
      <c r="G5" s="84"/>
      <c r="H5" s="84"/>
      <c r="I5" s="56">
        <f>'산근3 노임'!B6</f>
        <v>373353</v>
      </c>
      <c r="J5" s="56">
        <f t="shared" si="1"/>
        <v>933382</v>
      </c>
      <c r="K5" s="84"/>
      <c r="L5" s="84"/>
      <c r="M5" s="85"/>
      <c r="N5" s="86"/>
      <c r="V5" s="90"/>
      <c r="W5" s="89"/>
      <c r="X5" s="89"/>
      <c r="Y5" s="89"/>
      <c r="Z5" s="89"/>
      <c r="AA5" s="89"/>
      <c r="AB5" s="89"/>
    </row>
    <row r="6" spans="1:28" s="87" customFormat="1" ht="24.95" customHeight="1">
      <c r="A6" s="81" t="s">
        <v>139</v>
      </c>
      <c r="B6" s="82"/>
      <c r="C6" s="83">
        <f>'비상대처계획(기준소요인력)'!F5</f>
        <v>2.5</v>
      </c>
      <c r="D6" s="55" t="s">
        <v>41</v>
      </c>
      <c r="E6" s="56">
        <f t="shared" si="0"/>
        <v>310884</v>
      </c>
      <c r="F6" s="56">
        <f t="shared" si="0"/>
        <v>777210</v>
      </c>
      <c r="G6" s="84"/>
      <c r="H6" s="84"/>
      <c r="I6" s="56">
        <f>'산근3 노임'!B7</f>
        <v>310884</v>
      </c>
      <c r="J6" s="56">
        <f t="shared" si="1"/>
        <v>777210</v>
      </c>
      <c r="K6" s="84"/>
      <c r="L6" s="84"/>
      <c r="M6" s="85"/>
      <c r="N6" s="86"/>
      <c r="P6" s="91" t="s">
        <v>95</v>
      </c>
      <c r="V6" s="92"/>
      <c r="W6" s="89"/>
      <c r="X6" s="89"/>
      <c r="Y6" s="89"/>
      <c r="Z6" s="89"/>
      <c r="AA6" s="89"/>
      <c r="AB6" s="89"/>
    </row>
    <row r="7" spans="1:28" s="87" customFormat="1" ht="24.95" customHeight="1">
      <c r="A7" s="81" t="s">
        <v>168</v>
      </c>
      <c r="B7" s="82"/>
      <c r="C7" s="83">
        <f>'비상대처계획(기준소요인력)'!G5</f>
        <v>2.5</v>
      </c>
      <c r="D7" s="55" t="s">
        <v>41</v>
      </c>
      <c r="E7" s="56">
        <f t="shared" si="0"/>
        <v>295138</v>
      </c>
      <c r="F7" s="56">
        <f t="shared" si="0"/>
        <v>737845</v>
      </c>
      <c r="G7" s="84"/>
      <c r="H7" s="84"/>
      <c r="I7" s="56">
        <f>'산근3 노임'!B8</f>
        <v>295138</v>
      </c>
      <c r="J7" s="56">
        <f t="shared" si="1"/>
        <v>737845</v>
      </c>
      <c r="K7" s="84"/>
      <c r="L7" s="84"/>
      <c r="M7" s="85"/>
      <c r="N7" s="86"/>
      <c r="P7" s="91" t="s">
        <v>90</v>
      </c>
      <c r="S7" s="308">
        <f>$R$1/100</f>
        <v>1</v>
      </c>
      <c r="T7" s="93">
        <f>S7*100</f>
        <v>100</v>
      </c>
      <c r="V7" s="89"/>
      <c r="W7" s="89"/>
      <c r="X7" s="94"/>
      <c r="Y7" s="94"/>
      <c r="Z7" s="89"/>
      <c r="AA7" s="89"/>
      <c r="AB7" s="89"/>
    </row>
    <row r="8" spans="1:28" s="87" customFormat="1" ht="24.95" customHeight="1">
      <c r="A8" s="81" t="s">
        <v>165</v>
      </c>
      <c r="B8" s="82"/>
      <c r="C8" s="83">
        <f>'비상대처계획(기준소요인력)'!H5</f>
        <v>0</v>
      </c>
      <c r="D8" s="55" t="s">
        <v>41</v>
      </c>
      <c r="E8" s="56">
        <f t="shared" si="0"/>
        <v>235459</v>
      </c>
      <c r="F8" s="56">
        <f t="shared" si="0"/>
        <v>0</v>
      </c>
      <c r="G8" s="84"/>
      <c r="H8" s="84"/>
      <c r="I8" s="56">
        <f>'산근3 노임'!B9</f>
        <v>235459</v>
      </c>
      <c r="J8" s="56">
        <f t="shared" si="1"/>
        <v>0</v>
      </c>
      <c r="K8" s="84"/>
      <c r="L8" s="84"/>
      <c r="M8" s="85"/>
      <c r="N8" s="86"/>
      <c r="P8" s="91" t="s">
        <v>1278</v>
      </c>
      <c r="S8" s="308">
        <f>$R$1/100</f>
        <v>1</v>
      </c>
      <c r="T8" s="93">
        <f>S8*100</f>
        <v>100</v>
      </c>
      <c r="V8" s="89"/>
      <c r="W8" s="89"/>
      <c r="X8" s="94"/>
      <c r="Y8" s="94"/>
      <c r="Z8" s="94"/>
      <c r="AA8" s="94"/>
      <c r="AB8" s="89"/>
    </row>
    <row r="9" spans="1:28" s="87" customFormat="1" ht="24.95" customHeight="1">
      <c r="A9" s="81" t="s">
        <v>1277</v>
      </c>
      <c r="B9" s="82"/>
      <c r="C9" s="83">
        <f>'비상대처계획(기준소요인력)'!I5</f>
        <v>0</v>
      </c>
      <c r="D9" s="55" t="s">
        <v>41</v>
      </c>
      <c r="E9" s="56">
        <f t="shared" si="0"/>
        <v>250087</v>
      </c>
      <c r="F9" s="56">
        <f t="shared" si="0"/>
        <v>0</v>
      </c>
      <c r="G9" s="84"/>
      <c r="H9" s="84"/>
      <c r="I9" s="56">
        <f>'산근3 노임'!B11</f>
        <v>250087</v>
      </c>
      <c r="J9" s="56">
        <f t="shared" si="1"/>
        <v>0</v>
      </c>
      <c r="K9" s="84"/>
      <c r="L9" s="84"/>
      <c r="M9" s="85"/>
      <c r="N9" s="86"/>
      <c r="P9" s="91" t="s">
        <v>1279</v>
      </c>
      <c r="S9" s="308">
        <f>$R$2/100</f>
        <v>0</v>
      </c>
      <c r="T9" s="93">
        <f>S9*100</f>
        <v>0</v>
      </c>
    </row>
    <row r="10" spans="1:28" s="87" customFormat="1" ht="24.95" customHeight="1">
      <c r="A10" s="81" t="s">
        <v>39</v>
      </c>
      <c r="B10" s="82"/>
      <c r="C10" s="83"/>
      <c r="D10" s="55"/>
      <c r="E10" s="56"/>
      <c r="F10" s="56">
        <f t="shared" si="0"/>
        <v>2915654</v>
      </c>
      <c r="G10" s="84"/>
      <c r="H10" s="84"/>
      <c r="I10" s="56"/>
      <c r="J10" s="56">
        <f>SUM(J4:J9)</f>
        <v>2915654</v>
      </c>
      <c r="K10" s="84"/>
      <c r="L10" s="84"/>
      <c r="M10" s="85"/>
      <c r="N10" s="86"/>
      <c r="P10" s="91" t="s">
        <v>1280</v>
      </c>
      <c r="S10" s="308">
        <f>$R$1/100</f>
        <v>1</v>
      </c>
      <c r="T10" s="93">
        <f>S10*100</f>
        <v>100</v>
      </c>
    </row>
    <row r="11" spans="1:28" s="87" customFormat="1" ht="24.95" customHeight="1">
      <c r="A11" s="81" t="s">
        <v>45</v>
      </c>
      <c r="B11" s="95">
        <f>$S$7</f>
        <v>1</v>
      </c>
      <c r="C11" s="83"/>
      <c r="D11" s="55"/>
      <c r="E11" s="51">
        <f>F11</f>
        <v>2915654</v>
      </c>
      <c r="F11" s="56">
        <f t="shared" si="0"/>
        <v>2915654</v>
      </c>
      <c r="G11" s="82"/>
      <c r="H11" s="82"/>
      <c r="I11" s="56"/>
      <c r="J11" s="56">
        <f>TRUNC(J10*$S$7,0)</f>
        <v>2915654</v>
      </c>
      <c r="K11" s="82"/>
      <c r="L11" s="82"/>
      <c r="M11" s="96"/>
      <c r="N11" s="86"/>
      <c r="P11" s="91" t="s">
        <v>1281</v>
      </c>
      <c r="S11" s="308">
        <f>$R$1/100</f>
        <v>1</v>
      </c>
      <c r="T11" s="93">
        <f>S11*100</f>
        <v>100</v>
      </c>
    </row>
    <row r="12" spans="1:28" s="87" customFormat="1" ht="24.95" customHeight="1">
      <c r="A12" s="81"/>
      <c r="B12" s="82"/>
      <c r="C12" s="83"/>
      <c r="D12" s="55"/>
      <c r="E12" s="51"/>
      <c r="F12" s="56"/>
      <c r="G12" s="82"/>
      <c r="H12" s="82"/>
      <c r="I12" s="82"/>
      <c r="J12" s="84"/>
      <c r="K12" s="82"/>
      <c r="L12" s="82"/>
      <c r="M12" s="85"/>
      <c r="N12" s="86"/>
      <c r="P12" s="87" t="s">
        <v>1282</v>
      </c>
      <c r="S12" s="308">
        <f t="shared" ref="S12:S14" si="2">$R$1/100</f>
        <v>1</v>
      </c>
      <c r="T12" s="93">
        <f t="shared" ref="T12:T14" si="3">S12*100</f>
        <v>100</v>
      </c>
    </row>
    <row r="13" spans="1:28" s="87" customFormat="1" ht="24.95" customHeight="1">
      <c r="A13" s="102" t="s">
        <v>1890</v>
      </c>
      <c r="B13" s="82"/>
      <c r="C13" s="225"/>
      <c r="D13" s="55"/>
      <c r="E13" s="82"/>
      <c r="F13" s="82"/>
      <c r="G13" s="82"/>
      <c r="H13" s="82"/>
      <c r="I13" s="82"/>
      <c r="J13" s="82"/>
      <c r="K13" s="82"/>
      <c r="L13" s="82"/>
      <c r="M13" s="85"/>
      <c r="N13" s="86"/>
      <c r="P13" s="87" t="s">
        <v>1283</v>
      </c>
      <c r="S13" s="308">
        <f t="shared" si="2"/>
        <v>1</v>
      </c>
      <c r="T13" s="93">
        <f t="shared" si="3"/>
        <v>100</v>
      </c>
    </row>
    <row r="14" spans="1:28" s="87" customFormat="1" ht="24.95" customHeight="1">
      <c r="A14" s="81" t="s">
        <v>150</v>
      </c>
      <c r="B14" s="82"/>
      <c r="C14" s="83">
        <f>'비상대처계획(기준소요인력)'!D7</f>
        <v>0.48</v>
      </c>
      <c r="D14" s="55" t="s">
        <v>41</v>
      </c>
      <c r="E14" s="56">
        <f t="shared" ref="E14:F21" si="4">G14+I14+K14</f>
        <v>467217</v>
      </c>
      <c r="F14" s="56">
        <f t="shared" si="4"/>
        <v>224264</v>
      </c>
      <c r="G14" s="84"/>
      <c r="H14" s="84"/>
      <c r="I14" s="56">
        <f>$I$4</f>
        <v>467217</v>
      </c>
      <c r="J14" s="56">
        <f t="shared" ref="J14:J19" si="5">INT(I14*C14)</f>
        <v>224264</v>
      </c>
      <c r="K14" s="84"/>
      <c r="L14" s="84"/>
      <c r="M14" s="85"/>
      <c r="N14" s="86"/>
      <c r="P14" s="87" t="s">
        <v>1284</v>
      </c>
      <c r="R14" s="97"/>
      <c r="S14" s="308">
        <f t="shared" si="2"/>
        <v>1</v>
      </c>
      <c r="T14" s="93">
        <f t="shared" si="3"/>
        <v>100</v>
      </c>
    </row>
    <row r="15" spans="1:28" s="87" customFormat="1" ht="24.95" customHeight="1">
      <c r="A15" s="81" t="s">
        <v>146</v>
      </c>
      <c r="B15" s="82"/>
      <c r="C15" s="83">
        <f>'비상대처계획(기준소요인력)'!E7</f>
        <v>0.72</v>
      </c>
      <c r="D15" s="55" t="s">
        <v>41</v>
      </c>
      <c r="E15" s="56">
        <f t="shared" si="4"/>
        <v>373353</v>
      </c>
      <c r="F15" s="56">
        <f t="shared" si="4"/>
        <v>268814</v>
      </c>
      <c r="G15" s="84"/>
      <c r="H15" s="84"/>
      <c r="I15" s="56">
        <f>$I$5</f>
        <v>373353</v>
      </c>
      <c r="J15" s="56">
        <f t="shared" si="5"/>
        <v>268814</v>
      </c>
      <c r="K15" s="84"/>
      <c r="L15" s="84"/>
      <c r="M15" s="85"/>
      <c r="N15" s="86"/>
    </row>
    <row r="16" spans="1:28" s="87" customFormat="1" ht="24.95" customHeight="1">
      <c r="A16" s="81" t="s">
        <v>139</v>
      </c>
      <c r="B16" s="82"/>
      <c r="C16" s="83">
        <f>'비상대처계획(기준소요인력)'!F7</f>
        <v>1.22</v>
      </c>
      <c r="D16" s="55" t="s">
        <v>41</v>
      </c>
      <c r="E16" s="56">
        <f t="shared" si="4"/>
        <v>310884</v>
      </c>
      <c r="F16" s="56">
        <f t="shared" si="4"/>
        <v>379278</v>
      </c>
      <c r="G16" s="84"/>
      <c r="H16" s="84"/>
      <c r="I16" s="56">
        <f>$I$6</f>
        <v>310884</v>
      </c>
      <c r="J16" s="56">
        <f t="shared" si="5"/>
        <v>379278</v>
      </c>
      <c r="K16" s="84"/>
      <c r="L16" s="84"/>
      <c r="M16" s="85"/>
      <c r="N16" s="86"/>
    </row>
    <row r="17" spans="1:14" s="87" customFormat="1" ht="24.95" customHeight="1">
      <c r="A17" s="81" t="s">
        <v>168</v>
      </c>
      <c r="B17" s="82"/>
      <c r="C17" s="83">
        <f>'비상대처계획(기준소요인력)'!G7</f>
        <v>1.22</v>
      </c>
      <c r="D17" s="55" t="s">
        <v>41</v>
      </c>
      <c r="E17" s="56">
        <f t="shared" si="4"/>
        <v>295138</v>
      </c>
      <c r="F17" s="56">
        <f t="shared" si="4"/>
        <v>360068</v>
      </c>
      <c r="G17" s="84"/>
      <c r="H17" s="84"/>
      <c r="I17" s="56">
        <f>$I$7</f>
        <v>295138</v>
      </c>
      <c r="J17" s="56">
        <f t="shared" si="5"/>
        <v>360068</v>
      </c>
      <c r="K17" s="84"/>
      <c r="L17" s="84"/>
      <c r="M17" s="85"/>
      <c r="N17" s="86"/>
    </row>
    <row r="18" spans="1:14" s="87" customFormat="1" ht="24.95" customHeight="1">
      <c r="A18" s="81" t="s">
        <v>165</v>
      </c>
      <c r="B18" s="82"/>
      <c r="C18" s="83">
        <f>'비상대처계획(기준소요인력)'!H7</f>
        <v>1.61</v>
      </c>
      <c r="D18" s="55" t="s">
        <v>41</v>
      </c>
      <c r="E18" s="56">
        <f t="shared" si="4"/>
        <v>235459</v>
      </c>
      <c r="F18" s="56">
        <f t="shared" si="4"/>
        <v>379088</v>
      </c>
      <c r="G18" s="84"/>
      <c r="H18" s="84"/>
      <c r="I18" s="56">
        <f>$I$8</f>
        <v>235459</v>
      </c>
      <c r="J18" s="56">
        <f t="shared" si="5"/>
        <v>379088</v>
      </c>
      <c r="K18" s="84"/>
      <c r="L18" s="84"/>
      <c r="M18" s="85"/>
      <c r="N18" s="86"/>
    </row>
    <row r="19" spans="1:14" s="87" customFormat="1" ht="24.95" customHeight="1">
      <c r="A19" s="81" t="s">
        <v>179</v>
      </c>
      <c r="B19" s="82"/>
      <c r="C19" s="83">
        <f>'비상대처계획(기준소요인력)'!I7</f>
        <v>0</v>
      </c>
      <c r="D19" s="55" t="s">
        <v>41</v>
      </c>
      <c r="E19" s="56">
        <f t="shared" si="4"/>
        <v>250087</v>
      </c>
      <c r="F19" s="56">
        <f t="shared" si="4"/>
        <v>0</v>
      </c>
      <c r="G19" s="84"/>
      <c r="H19" s="84"/>
      <c r="I19" s="56">
        <f>$I$9</f>
        <v>250087</v>
      </c>
      <c r="J19" s="56">
        <f t="shared" si="5"/>
        <v>0</v>
      </c>
      <c r="K19" s="84"/>
      <c r="L19" s="84"/>
      <c r="M19" s="85"/>
      <c r="N19" s="86"/>
    </row>
    <row r="20" spans="1:14" s="87" customFormat="1" ht="24.95" customHeight="1">
      <c r="A20" s="81" t="s">
        <v>39</v>
      </c>
      <c r="B20" s="82"/>
      <c r="C20" s="83"/>
      <c r="D20" s="55"/>
      <c r="E20" s="56"/>
      <c r="F20" s="56">
        <f t="shared" si="4"/>
        <v>1611512</v>
      </c>
      <c r="G20" s="84"/>
      <c r="H20" s="84"/>
      <c r="I20" s="56"/>
      <c r="J20" s="56">
        <f>SUM(J14:J19)</f>
        <v>1611512</v>
      </c>
      <c r="K20" s="84"/>
      <c r="L20" s="84"/>
      <c r="M20" s="85"/>
      <c r="N20" s="86"/>
    </row>
    <row r="21" spans="1:14" s="87" customFormat="1" ht="24.95" customHeight="1">
      <c r="A21" s="81" t="s">
        <v>45</v>
      </c>
      <c r="B21" s="95">
        <f>$S$8</f>
        <v>1</v>
      </c>
      <c r="C21" s="83"/>
      <c r="D21" s="55"/>
      <c r="E21" s="51">
        <f>F21</f>
        <v>1611512</v>
      </c>
      <c r="F21" s="56">
        <f t="shared" si="4"/>
        <v>1611512</v>
      </c>
      <c r="G21" s="82"/>
      <c r="H21" s="82"/>
      <c r="I21" s="56"/>
      <c r="J21" s="56">
        <f>TRUNC(J20*$S$8,0)</f>
        <v>1611512</v>
      </c>
      <c r="K21" s="82"/>
      <c r="L21" s="82"/>
      <c r="M21" s="226"/>
      <c r="N21" s="86"/>
    </row>
    <row r="22" spans="1:14" s="87" customFormat="1" ht="24.6" customHeight="1">
      <c r="A22" s="81"/>
      <c r="B22" s="95"/>
      <c r="C22" s="83"/>
      <c r="D22" s="55"/>
      <c r="E22" s="51"/>
      <c r="F22" s="56"/>
      <c r="G22" s="82"/>
      <c r="H22" s="82"/>
      <c r="I22" s="56"/>
      <c r="J22" s="56"/>
      <c r="K22" s="82"/>
      <c r="L22" s="82"/>
      <c r="M22" s="226"/>
      <c r="N22" s="86"/>
    </row>
    <row r="23" spans="1:14" s="87" customFormat="1" ht="24.95" customHeight="1">
      <c r="A23" s="102" t="s">
        <v>1891</v>
      </c>
      <c r="B23" s="82"/>
      <c r="C23" s="83"/>
      <c r="D23" s="55"/>
      <c r="E23" s="82"/>
      <c r="F23" s="82"/>
      <c r="G23" s="82"/>
      <c r="H23" s="82"/>
      <c r="I23" s="84"/>
      <c r="J23" s="82"/>
      <c r="K23" s="82"/>
      <c r="L23" s="82"/>
      <c r="M23" s="85"/>
      <c r="N23" s="86"/>
    </row>
    <row r="24" spans="1:14" s="87" customFormat="1" ht="24.95" customHeight="1">
      <c r="A24" s="81" t="s">
        <v>150</v>
      </c>
      <c r="B24" s="82"/>
      <c r="C24" s="83">
        <f>'비상대처계획(기준소요인력)'!D8</f>
        <v>0.12</v>
      </c>
      <c r="D24" s="55" t="s">
        <v>41</v>
      </c>
      <c r="E24" s="56">
        <f t="shared" ref="E24:F31" si="6">G24+I24+K24</f>
        <v>467217</v>
      </c>
      <c r="F24" s="56">
        <f t="shared" si="6"/>
        <v>56066</v>
      </c>
      <c r="G24" s="84"/>
      <c r="H24" s="84"/>
      <c r="I24" s="56">
        <f>$I$4</f>
        <v>467217</v>
      </c>
      <c r="J24" s="56">
        <f t="shared" ref="J24:J29" si="7">INT(I24*C24)</f>
        <v>56066</v>
      </c>
      <c r="K24" s="84"/>
      <c r="L24" s="84"/>
      <c r="M24" s="85"/>
      <c r="N24" s="86"/>
    </row>
    <row r="25" spans="1:14" s="87" customFormat="1" ht="24.95" customHeight="1">
      <c r="A25" s="81" t="s">
        <v>146</v>
      </c>
      <c r="B25" s="82"/>
      <c r="C25" s="83">
        <f>'비상대처계획(기준소요인력)'!E8</f>
        <v>0.18</v>
      </c>
      <c r="D25" s="55" t="s">
        <v>41</v>
      </c>
      <c r="E25" s="56">
        <f t="shared" si="6"/>
        <v>373353</v>
      </c>
      <c r="F25" s="56">
        <f t="shared" si="6"/>
        <v>67203</v>
      </c>
      <c r="G25" s="84"/>
      <c r="H25" s="84"/>
      <c r="I25" s="56">
        <f>$I$5</f>
        <v>373353</v>
      </c>
      <c r="J25" s="56">
        <f t="shared" si="7"/>
        <v>67203</v>
      </c>
      <c r="K25" s="84"/>
      <c r="L25" s="84"/>
      <c r="M25" s="85"/>
      <c r="N25" s="86"/>
    </row>
    <row r="26" spans="1:14" s="87" customFormat="1" ht="24.95" customHeight="1">
      <c r="A26" s="81" t="s">
        <v>139</v>
      </c>
      <c r="B26" s="82"/>
      <c r="C26" s="83">
        <f>'비상대처계획(기준소요인력)'!F8</f>
        <v>0.31</v>
      </c>
      <c r="D26" s="55" t="s">
        <v>41</v>
      </c>
      <c r="E26" s="56">
        <f t="shared" si="6"/>
        <v>310884</v>
      </c>
      <c r="F26" s="56">
        <f t="shared" si="6"/>
        <v>96374</v>
      </c>
      <c r="G26" s="84"/>
      <c r="H26" s="84"/>
      <c r="I26" s="56">
        <f>$I$6</f>
        <v>310884</v>
      </c>
      <c r="J26" s="56">
        <f t="shared" si="7"/>
        <v>96374</v>
      </c>
      <c r="K26" s="84"/>
      <c r="L26" s="84"/>
      <c r="M26" s="85"/>
      <c r="N26" s="86"/>
    </row>
    <row r="27" spans="1:14" s="87" customFormat="1" ht="24.95" customHeight="1">
      <c r="A27" s="81" t="s">
        <v>168</v>
      </c>
      <c r="B27" s="82"/>
      <c r="C27" s="83">
        <f>'비상대처계획(기준소요인력)'!G8</f>
        <v>0.31</v>
      </c>
      <c r="D27" s="55" t="s">
        <v>41</v>
      </c>
      <c r="E27" s="56">
        <f t="shared" si="6"/>
        <v>295138</v>
      </c>
      <c r="F27" s="56">
        <f t="shared" si="6"/>
        <v>91492</v>
      </c>
      <c r="G27" s="84"/>
      <c r="H27" s="84"/>
      <c r="I27" s="56">
        <f>$I$7</f>
        <v>295138</v>
      </c>
      <c r="J27" s="56">
        <f t="shared" si="7"/>
        <v>91492</v>
      </c>
      <c r="K27" s="84"/>
      <c r="L27" s="84"/>
      <c r="M27" s="85"/>
      <c r="N27" s="86"/>
    </row>
    <row r="28" spans="1:14" s="87" customFormat="1" ht="24.95" customHeight="1">
      <c r="A28" s="81" t="s">
        <v>165</v>
      </c>
      <c r="B28" s="82"/>
      <c r="C28" s="83">
        <f>'비상대처계획(기준소요인력)'!H8</f>
        <v>0.4</v>
      </c>
      <c r="D28" s="55" t="s">
        <v>41</v>
      </c>
      <c r="E28" s="56">
        <f t="shared" si="6"/>
        <v>235459</v>
      </c>
      <c r="F28" s="56">
        <f t="shared" si="6"/>
        <v>94183</v>
      </c>
      <c r="G28" s="84"/>
      <c r="H28" s="84"/>
      <c r="I28" s="56">
        <f>$I$8</f>
        <v>235459</v>
      </c>
      <c r="J28" s="56">
        <f t="shared" si="7"/>
        <v>94183</v>
      </c>
      <c r="K28" s="84"/>
      <c r="L28" s="84"/>
      <c r="M28" s="85"/>
      <c r="N28" s="86"/>
    </row>
    <row r="29" spans="1:14" s="87" customFormat="1" ht="24.95" customHeight="1">
      <c r="A29" s="81" t="s">
        <v>179</v>
      </c>
      <c r="B29" s="82"/>
      <c r="C29" s="83">
        <f>'비상대처계획(기준소요인력)'!I8</f>
        <v>0</v>
      </c>
      <c r="D29" s="55" t="s">
        <v>41</v>
      </c>
      <c r="E29" s="56">
        <f t="shared" si="6"/>
        <v>250087</v>
      </c>
      <c r="F29" s="56">
        <f t="shared" si="6"/>
        <v>0</v>
      </c>
      <c r="G29" s="84"/>
      <c r="H29" s="84"/>
      <c r="I29" s="56">
        <f>$I$9</f>
        <v>250087</v>
      </c>
      <c r="J29" s="56">
        <f t="shared" si="7"/>
        <v>0</v>
      </c>
      <c r="K29" s="84"/>
      <c r="L29" s="84"/>
      <c r="M29" s="85"/>
      <c r="N29" s="86"/>
    </row>
    <row r="30" spans="1:14" s="87" customFormat="1" ht="24.95" customHeight="1">
      <c r="A30" s="81" t="s">
        <v>39</v>
      </c>
      <c r="B30" s="82"/>
      <c r="C30" s="83"/>
      <c r="D30" s="55"/>
      <c r="E30" s="56"/>
      <c r="F30" s="56">
        <f t="shared" si="6"/>
        <v>405318</v>
      </c>
      <c r="G30" s="84"/>
      <c r="H30" s="84"/>
      <c r="I30" s="56"/>
      <c r="J30" s="56">
        <f>SUM(J24:J29)</f>
        <v>405318</v>
      </c>
      <c r="K30" s="84"/>
      <c r="L30" s="84"/>
      <c r="M30" s="85"/>
      <c r="N30" s="86"/>
    </row>
    <row r="31" spans="1:14" s="87" customFormat="1" ht="24.95" customHeight="1">
      <c r="A31" s="81" t="s">
        <v>45</v>
      </c>
      <c r="B31" s="95">
        <f>$S$8</f>
        <v>1</v>
      </c>
      <c r="C31" s="83"/>
      <c r="D31" s="55"/>
      <c r="E31" s="51">
        <f>F31</f>
        <v>405318</v>
      </c>
      <c r="F31" s="56">
        <f t="shared" si="6"/>
        <v>405318</v>
      </c>
      <c r="G31" s="82"/>
      <c r="H31" s="82"/>
      <c r="I31" s="56"/>
      <c r="J31" s="56">
        <f>TRUNC(J30*$S$8,0)</f>
        <v>405318</v>
      </c>
      <c r="K31" s="82"/>
      <c r="L31" s="82"/>
      <c r="M31" s="96"/>
      <c r="N31" s="86"/>
    </row>
    <row r="32" spans="1:14" s="87" customFormat="1" ht="24.95" customHeight="1">
      <c r="A32" s="81"/>
      <c r="B32" s="95"/>
      <c r="C32" s="83"/>
      <c r="D32" s="55"/>
      <c r="E32" s="51"/>
      <c r="F32" s="56"/>
      <c r="G32" s="82"/>
      <c r="H32" s="82"/>
      <c r="I32" s="56"/>
      <c r="J32" s="56"/>
      <c r="K32" s="82"/>
      <c r="L32" s="82"/>
      <c r="M32" s="96"/>
      <c r="N32" s="86"/>
    </row>
    <row r="33" spans="1:14" s="87" customFormat="1" ht="24.95" customHeight="1">
      <c r="A33" s="81"/>
      <c r="B33" s="82"/>
      <c r="C33" s="83"/>
      <c r="D33" s="55"/>
      <c r="E33" s="51"/>
      <c r="F33" s="56"/>
      <c r="G33" s="82"/>
      <c r="H33" s="82"/>
      <c r="I33" s="82"/>
      <c r="J33" s="84"/>
      <c r="K33" s="82"/>
      <c r="L33" s="82"/>
      <c r="M33" s="85"/>
      <c r="N33" s="86"/>
    </row>
    <row r="34" spans="1:14" s="87" customFormat="1" ht="24.95" customHeight="1">
      <c r="A34" s="102" t="s">
        <v>1892</v>
      </c>
      <c r="B34" s="82"/>
      <c r="C34" s="83"/>
      <c r="D34" s="55"/>
      <c r="E34" s="82"/>
      <c r="F34" s="84"/>
      <c r="G34" s="82"/>
      <c r="H34" s="82"/>
      <c r="I34" s="82"/>
      <c r="J34" s="84"/>
      <c r="K34" s="82"/>
      <c r="L34" s="82"/>
      <c r="M34" s="85"/>
      <c r="N34" s="86"/>
    </row>
    <row r="35" spans="1:14" s="87" customFormat="1" ht="24.95" customHeight="1">
      <c r="A35" s="81" t="s">
        <v>150</v>
      </c>
      <c r="B35" s="82"/>
      <c r="C35" s="83">
        <f>'비상대처계획(기준소요인력)'!D9</f>
        <v>0.24</v>
      </c>
      <c r="D35" s="55" t="s">
        <v>41</v>
      </c>
      <c r="E35" s="56">
        <f t="shared" ref="E35:F42" si="8">G35+I35+K35</f>
        <v>467217</v>
      </c>
      <c r="F35" s="56">
        <f t="shared" si="8"/>
        <v>112132</v>
      </c>
      <c r="G35" s="84"/>
      <c r="H35" s="84"/>
      <c r="I35" s="56">
        <f>$I$4</f>
        <v>467217</v>
      </c>
      <c r="J35" s="56">
        <f t="shared" ref="J35:J40" si="9">INT(I35*C35)</f>
        <v>112132</v>
      </c>
      <c r="K35" s="84"/>
      <c r="L35" s="84"/>
      <c r="M35" s="85"/>
      <c r="N35" s="86"/>
    </row>
    <row r="36" spans="1:14" s="87" customFormat="1" ht="24.95" customHeight="1">
      <c r="A36" s="81" t="s">
        <v>146</v>
      </c>
      <c r="B36" s="82"/>
      <c r="C36" s="83">
        <f>'비상대처계획(기준소요인력)'!E9</f>
        <v>0.36</v>
      </c>
      <c r="D36" s="55" t="s">
        <v>41</v>
      </c>
      <c r="E36" s="56">
        <f t="shared" si="8"/>
        <v>373353</v>
      </c>
      <c r="F36" s="56">
        <f t="shared" si="8"/>
        <v>134407</v>
      </c>
      <c r="G36" s="84"/>
      <c r="H36" s="84"/>
      <c r="I36" s="56">
        <f>$I$5</f>
        <v>373353</v>
      </c>
      <c r="J36" s="56">
        <f t="shared" si="9"/>
        <v>134407</v>
      </c>
      <c r="K36" s="84"/>
      <c r="L36" s="84"/>
      <c r="M36" s="85"/>
      <c r="N36" s="86"/>
    </row>
    <row r="37" spans="1:14" s="87" customFormat="1" ht="24.95" customHeight="1">
      <c r="A37" s="81" t="s">
        <v>139</v>
      </c>
      <c r="B37" s="82"/>
      <c r="C37" s="83">
        <f>'비상대처계획(기준소요인력)'!F9</f>
        <v>0.61</v>
      </c>
      <c r="D37" s="55" t="s">
        <v>41</v>
      </c>
      <c r="E37" s="56">
        <f t="shared" si="8"/>
        <v>310884</v>
      </c>
      <c r="F37" s="56">
        <f t="shared" si="8"/>
        <v>189639</v>
      </c>
      <c r="G37" s="84"/>
      <c r="H37" s="84"/>
      <c r="I37" s="56">
        <f>$I$6</f>
        <v>310884</v>
      </c>
      <c r="J37" s="56">
        <f t="shared" si="9"/>
        <v>189639</v>
      </c>
      <c r="K37" s="84"/>
      <c r="L37" s="84"/>
      <c r="M37" s="85"/>
      <c r="N37" s="86"/>
    </row>
    <row r="38" spans="1:14" s="87" customFormat="1" ht="24.95" customHeight="1">
      <c r="A38" s="81" t="s">
        <v>168</v>
      </c>
      <c r="B38" s="82"/>
      <c r="C38" s="83">
        <f>'비상대처계획(기준소요인력)'!G9</f>
        <v>0.61</v>
      </c>
      <c r="D38" s="55" t="s">
        <v>41</v>
      </c>
      <c r="E38" s="56">
        <f t="shared" si="8"/>
        <v>295138</v>
      </c>
      <c r="F38" s="56">
        <f t="shared" si="8"/>
        <v>180034</v>
      </c>
      <c r="G38" s="84"/>
      <c r="H38" s="84"/>
      <c r="I38" s="56">
        <f>$I$7</f>
        <v>295138</v>
      </c>
      <c r="J38" s="56">
        <f t="shared" si="9"/>
        <v>180034</v>
      </c>
      <c r="K38" s="84"/>
      <c r="L38" s="84"/>
      <c r="M38" s="85"/>
      <c r="N38" s="86"/>
    </row>
    <row r="39" spans="1:14" s="87" customFormat="1" ht="24.95" customHeight="1">
      <c r="A39" s="81" t="s">
        <v>165</v>
      </c>
      <c r="B39" s="82"/>
      <c r="C39" s="83">
        <f>'비상대처계획(기준소요인력)'!H9</f>
        <v>0.81</v>
      </c>
      <c r="D39" s="55" t="s">
        <v>41</v>
      </c>
      <c r="E39" s="56">
        <f t="shared" si="8"/>
        <v>235459</v>
      </c>
      <c r="F39" s="56">
        <f t="shared" si="8"/>
        <v>190721</v>
      </c>
      <c r="G39" s="84"/>
      <c r="H39" s="84"/>
      <c r="I39" s="56">
        <f>$I$8</f>
        <v>235459</v>
      </c>
      <c r="J39" s="56">
        <f t="shared" si="9"/>
        <v>190721</v>
      </c>
      <c r="K39" s="84"/>
      <c r="L39" s="84"/>
      <c r="M39" s="85"/>
      <c r="N39" s="86"/>
    </row>
    <row r="40" spans="1:14" s="87" customFormat="1" ht="24.95" customHeight="1">
      <c r="A40" s="81" t="s">
        <v>179</v>
      </c>
      <c r="B40" s="82"/>
      <c r="C40" s="83">
        <f>'비상대처계획(기준소요인력)'!I9</f>
        <v>0</v>
      </c>
      <c r="D40" s="55" t="s">
        <v>41</v>
      </c>
      <c r="E40" s="56">
        <f t="shared" si="8"/>
        <v>250087</v>
      </c>
      <c r="F40" s="56">
        <f t="shared" si="8"/>
        <v>0</v>
      </c>
      <c r="G40" s="84"/>
      <c r="H40" s="84"/>
      <c r="I40" s="56">
        <f>$I$9</f>
        <v>250087</v>
      </c>
      <c r="J40" s="56">
        <f t="shared" si="9"/>
        <v>0</v>
      </c>
      <c r="K40" s="84"/>
      <c r="L40" s="84"/>
      <c r="M40" s="85"/>
      <c r="N40" s="86"/>
    </row>
    <row r="41" spans="1:14" s="87" customFormat="1" ht="24.95" customHeight="1">
      <c r="A41" s="81" t="s">
        <v>39</v>
      </c>
      <c r="B41" s="82"/>
      <c r="C41" s="83"/>
      <c r="D41" s="55"/>
      <c r="E41" s="56"/>
      <c r="F41" s="56">
        <f t="shared" si="8"/>
        <v>806933</v>
      </c>
      <c r="G41" s="84"/>
      <c r="H41" s="84"/>
      <c r="I41" s="56"/>
      <c r="J41" s="56">
        <f>SUM(J35:J40)</f>
        <v>806933</v>
      </c>
      <c r="K41" s="84"/>
      <c r="L41" s="84"/>
      <c r="M41" s="85"/>
      <c r="N41" s="86"/>
    </row>
    <row r="42" spans="1:14" s="87" customFormat="1" ht="24.95" customHeight="1">
      <c r="A42" s="81" t="s">
        <v>45</v>
      </c>
      <c r="B42" s="95">
        <f>$S$8</f>
        <v>1</v>
      </c>
      <c r="C42" s="83"/>
      <c r="D42" s="55"/>
      <c r="E42" s="51">
        <f>F42</f>
        <v>806933</v>
      </c>
      <c r="F42" s="56">
        <f t="shared" si="8"/>
        <v>806933</v>
      </c>
      <c r="G42" s="82"/>
      <c r="H42" s="82"/>
      <c r="I42" s="56"/>
      <c r="J42" s="56">
        <f>TRUNC(J41*$S$8,0)</f>
        <v>806933</v>
      </c>
      <c r="K42" s="82"/>
      <c r="L42" s="82"/>
      <c r="M42" s="96"/>
      <c r="N42" s="86"/>
    </row>
    <row r="43" spans="1:14" s="87" customFormat="1" ht="24.95" customHeight="1">
      <c r="A43" s="102" t="s">
        <v>1893</v>
      </c>
      <c r="B43" s="82"/>
      <c r="C43" s="83"/>
      <c r="D43" s="55"/>
      <c r="E43" s="82"/>
      <c r="F43" s="84"/>
      <c r="G43" s="82"/>
      <c r="H43" s="82"/>
      <c r="I43" s="82"/>
      <c r="J43" s="84"/>
      <c r="K43" s="82"/>
      <c r="L43" s="82"/>
      <c r="M43" s="85"/>
      <c r="N43" s="86"/>
    </row>
    <row r="44" spans="1:14" s="87" customFormat="1" ht="24.95" customHeight="1">
      <c r="A44" s="81" t="s">
        <v>150</v>
      </c>
      <c r="B44" s="82"/>
      <c r="C44" s="83">
        <f>'비상대처계획(기준소요인력)'!D11</f>
        <v>1.35</v>
      </c>
      <c r="D44" s="55" t="s">
        <v>41</v>
      </c>
      <c r="E44" s="56">
        <f t="shared" ref="E44:F51" si="10">G44+I44+K44</f>
        <v>467217</v>
      </c>
      <c r="F44" s="56">
        <f t="shared" si="10"/>
        <v>630742</v>
      </c>
      <c r="G44" s="84"/>
      <c r="H44" s="84"/>
      <c r="I44" s="56">
        <f>$I$4</f>
        <v>467217</v>
      </c>
      <c r="J44" s="56">
        <f t="shared" ref="J44:J49" si="11">INT(I44*C44)</f>
        <v>630742</v>
      </c>
      <c r="K44" s="84"/>
      <c r="L44" s="84"/>
      <c r="M44" s="85"/>
      <c r="N44" s="86"/>
    </row>
    <row r="45" spans="1:14" s="87" customFormat="1" ht="24.95" customHeight="1">
      <c r="A45" s="81" t="s">
        <v>146</v>
      </c>
      <c r="B45" s="82"/>
      <c r="C45" s="83">
        <f>'비상대처계획(기준소요인력)'!E11</f>
        <v>2.1800000000000002</v>
      </c>
      <c r="D45" s="55" t="s">
        <v>41</v>
      </c>
      <c r="E45" s="56">
        <f t="shared" si="10"/>
        <v>373353</v>
      </c>
      <c r="F45" s="56">
        <f t="shared" si="10"/>
        <v>813909</v>
      </c>
      <c r="G45" s="84"/>
      <c r="H45" s="84"/>
      <c r="I45" s="56">
        <f>$I$5</f>
        <v>373353</v>
      </c>
      <c r="J45" s="56">
        <f t="shared" si="11"/>
        <v>813909</v>
      </c>
      <c r="K45" s="84"/>
      <c r="L45" s="84"/>
      <c r="M45" s="85"/>
      <c r="N45" s="86"/>
    </row>
    <row r="46" spans="1:14" s="87" customFormat="1" ht="24.95" customHeight="1">
      <c r="A46" s="81" t="s">
        <v>139</v>
      </c>
      <c r="B46" s="82"/>
      <c r="C46" s="83">
        <f>'비상대처계획(기준소요인력)'!F11</f>
        <v>2.65</v>
      </c>
      <c r="D46" s="55" t="s">
        <v>41</v>
      </c>
      <c r="E46" s="56">
        <f t="shared" si="10"/>
        <v>310884</v>
      </c>
      <c r="F46" s="56">
        <f t="shared" si="10"/>
        <v>823842</v>
      </c>
      <c r="G46" s="84"/>
      <c r="H46" s="84"/>
      <c r="I46" s="56">
        <f>$I$6</f>
        <v>310884</v>
      </c>
      <c r="J46" s="56">
        <f t="shared" si="11"/>
        <v>823842</v>
      </c>
      <c r="K46" s="84"/>
      <c r="L46" s="84"/>
      <c r="M46" s="85"/>
      <c r="N46" s="86"/>
    </row>
    <row r="47" spans="1:14" s="87" customFormat="1" ht="24.95" customHeight="1">
      <c r="A47" s="81" t="s">
        <v>168</v>
      </c>
      <c r="B47" s="82"/>
      <c r="C47" s="83">
        <f>'비상대처계획(기준소요인력)'!G11</f>
        <v>3.1</v>
      </c>
      <c r="D47" s="55" t="s">
        <v>41</v>
      </c>
      <c r="E47" s="56">
        <f t="shared" si="10"/>
        <v>295138</v>
      </c>
      <c r="F47" s="56">
        <f t="shared" si="10"/>
        <v>914927</v>
      </c>
      <c r="G47" s="84"/>
      <c r="H47" s="84"/>
      <c r="I47" s="56">
        <f>$I$7</f>
        <v>295138</v>
      </c>
      <c r="J47" s="56">
        <f t="shared" si="11"/>
        <v>914927</v>
      </c>
      <c r="K47" s="84"/>
      <c r="L47" s="84"/>
      <c r="M47" s="85"/>
      <c r="N47" s="86"/>
    </row>
    <row r="48" spans="1:14" s="87" customFormat="1" ht="24.95" customHeight="1">
      <c r="A48" s="81" t="s">
        <v>165</v>
      </c>
      <c r="B48" s="82"/>
      <c r="C48" s="83">
        <f>'비상대처계획(기준소요인력)'!H11</f>
        <v>1.98</v>
      </c>
      <c r="D48" s="55" t="s">
        <v>41</v>
      </c>
      <c r="E48" s="56">
        <f t="shared" si="10"/>
        <v>235459</v>
      </c>
      <c r="F48" s="56">
        <f t="shared" si="10"/>
        <v>466208</v>
      </c>
      <c r="G48" s="84"/>
      <c r="H48" s="84"/>
      <c r="I48" s="56">
        <f>$I$8</f>
        <v>235459</v>
      </c>
      <c r="J48" s="56">
        <f t="shared" si="11"/>
        <v>466208</v>
      </c>
      <c r="K48" s="84"/>
      <c r="L48" s="84"/>
      <c r="M48" s="85"/>
      <c r="N48" s="86"/>
    </row>
    <row r="49" spans="1:14" s="87" customFormat="1" ht="24.95" customHeight="1">
      <c r="A49" s="81" t="s">
        <v>179</v>
      </c>
      <c r="B49" s="82"/>
      <c r="C49" s="83">
        <f>'비상대처계획(기준소요인력)'!I11</f>
        <v>1.43</v>
      </c>
      <c r="D49" s="55" t="s">
        <v>41</v>
      </c>
      <c r="E49" s="56">
        <f t="shared" si="10"/>
        <v>250087</v>
      </c>
      <c r="F49" s="56">
        <f t="shared" si="10"/>
        <v>357624</v>
      </c>
      <c r="G49" s="84"/>
      <c r="H49" s="84"/>
      <c r="I49" s="56">
        <f>$I$9</f>
        <v>250087</v>
      </c>
      <c r="J49" s="56">
        <f t="shared" si="11"/>
        <v>357624</v>
      </c>
      <c r="K49" s="84"/>
      <c r="L49" s="84"/>
      <c r="M49" s="85"/>
      <c r="N49" s="86"/>
    </row>
    <row r="50" spans="1:14" s="87" customFormat="1" ht="24.95" customHeight="1">
      <c r="A50" s="81" t="s">
        <v>39</v>
      </c>
      <c r="B50" s="82"/>
      <c r="C50" s="83"/>
      <c r="D50" s="55"/>
      <c r="E50" s="56"/>
      <c r="F50" s="56">
        <f t="shared" si="10"/>
        <v>4007252</v>
      </c>
      <c r="G50" s="84"/>
      <c r="H50" s="84"/>
      <c r="I50" s="56"/>
      <c r="J50" s="56">
        <f>SUM(J44:J49)</f>
        <v>4007252</v>
      </c>
      <c r="K50" s="84"/>
      <c r="L50" s="84"/>
      <c r="M50" s="85"/>
      <c r="N50" s="86"/>
    </row>
    <row r="51" spans="1:14" s="87" customFormat="1" ht="24.95" customHeight="1">
      <c r="A51" s="81" t="s">
        <v>45</v>
      </c>
      <c r="B51" s="95">
        <f>$S$9</f>
        <v>0</v>
      </c>
      <c r="C51" s="83"/>
      <c r="D51" s="55"/>
      <c r="E51" s="51">
        <f>F51</f>
        <v>0</v>
      </c>
      <c r="F51" s="56">
        <f t="shared" si="10"/>
        <v>0</v>
      </c>
      <c r="G51" s="82"/>
      <c r="H51" s="82"/>
      <c r="I51" s="56"/>
      <c r="J51" s="56">
        <f>TRUNC(J50*$S$9,0)</f>
        <v>0</v>
      </c>
      <c r="K51" s="82"/>
      <c r="L51" s="82"/>
      <c r="M51" s="98"/>
      <c r="N51" s="86"/>
    </row>
    <row r="52" spans="1:14" s="87" customFormat="1" ht="24.95" customHeight="1">
      <c r="A52" s="81"/>
      <c r="B52" s="95"/>
      <c r="C52" s="83"/>
      <c r="D52" s="55"/>
      <c r="E52" s="51"/>
      <c r="F52" s="56"/>
      <c r="G52" s="82"/>
      <c r="H52" s="82"/>
      <c r="I52" s="56"/>
      <c r="J52" s="56"/>
      <c r="K52" s="82"/>
      <c r="L52" s="82"/>
      <c r="M52" s="98"/>
      <c r="N52" s="86"/>
    </row>
    <row r="53" spans="1:14" s="87" customFormat="1" ht="24.95" customHeight="1">
      <c r="A53" s="81"/>
      <c r="B53" s="82"/>
      <c r="C53" s="83"/>
      <c r="D53" s="55"/>
      <c r="E53" s="51"/>
      <c r="F53" s="56"/>
      <c r="G53" s="82"/>
      <c r="H53" s="82"/>
      <c r="I53" s="82"/>
      <c r="J53" s="82"/>
      <c r="K53" s="82"/>
      <c r="L53" s="82"/>
      <c r="M53" s="85"/>
      <c r="N53" s="86"/>
    </row>
    <row r="54" spans="1:14" s="87" customFormat="1" ht="24.95" customHeight="1">
      <c r="A54" s="102" t="s">
        <v>1894</v>
      </c>
      <c r="B54" s="82"/>
      <c r="C54" s="83"/>
      <c r="D54" s="55"/>
      <c r="E54" s="82"/>
      <c r="F54" s="84"/>
      <c r="G54" s="82"/>
      <c r="H54" s="82"/>
      <c r="I54" s="82"/>
      <c r="J54" s="84"/>
      <c r="K54" s="82"/>
      <c r="L54" s="82"/>
      <c r="M54" s="85"/>
      <c r="N54" s="86"/>
    </row>
    <row r="55" spans="1:14" s="87" customFormat="1" ht="24.95" customHeight="1">
      <c r="A55" s="81" t="s">
        <v>150</v>
      </c>
      <c r="B55" s="82"/>
      <c r="C55" s="83">
        <f>'비상대처계획(기준소요인력)'!D13</f>
        <v>0.96</v>
      </c>
      <c r="D55" s="55" t="s">
        <v>41</v>
      </c>
      <c r="E55" s="56">
        <f t="shared" ref="E55:F62" si="12">G55+I55+K55</f>
        <v>467217</v>
      </c>
      <c r="F55" s="56">
        <f t="shared" si="12"/>
        <v>448528</v>
      </c>
      <c r="G55" s="84"/>
      <c r="H55" s="84"/>
      <c r="I55" s="56">
        <f>$I$4</f>
        <v>467217</v>
      </c>
      <c r="J55" s="56">
        <f t="shared" ref="J55:J60" si="13">INT(I55*C55)</f>
        <v>448528</v>
      </c>
      <c r="K55" s="84"/>
      <c r="L55" s="84"/>
      <c r="M55" s="85"/>
      <c r="N55" s="86"/>
    </row>
    <row r="56" spans="1:14" s="87" customFormat="1" ht="24.95" customHeight="1">
      <c r="A56" s="81" t="s">
        <v>146</v>
      </c>
      <c r="B56" s="82"/>
      <c r="C56" s="83">
        <f>'비상대처계획(기준소요인력)'!E13</f>
        <v>1.44</v>
      </c>
      <c r="D56" s="55" t="s">
        <v>41</v>
      </c>
      <c r="E56" s="56">
        <f t="shared" si="12"/>
        <v>373353</v>
      </c>
      <c r="F56" s="56">
        <f t="shared" si="12"/>
        <v>537628</v>
      </c>
      <c r="G56" s="84"/>
      <c r="H56" s="84"/>
      <c r="I56" s="56">
        <f>$I$5</f>
        <v>373353</v>
      </c>
      <c r="J56" s="56">
        <f t="shared" si="13"/>
        <v>537628</v>
      </c>
      <c r="K56" s="84"/>
      <c r="L56" s="84"/>
      <c r="M56" s="85"/>
      <c r="N56" s="86"/>
    </row>
    <row r="57" spans="1:14" s="87" customFormat="1" ht="24.95" customHeight="1">
      <c r="A57" s="81" t="s">
        <v>139</v>
      </c>
      <c r="B57" s="82"/>
      <c r="C57" s="83">
        <f>'비상대처계획(기준소요인력)'!F13</f>
        <v>3.21</v>
      </c>
      <c r="D57" s="55" t="s">
        <v>41</v>
      </c>
      <c r="E57" s="56">
        <f t="shared" si="12"/>
        <v>310884</v>
      </c>
      <c r="F57" s="56">
        <f t="shared" si="12"/>
        <v>997937</v>
      </c>
      <c r="G57" s="84"/>
      <c r="H57" s="84"/>
      <c r="I57" s="56">
        <f>$I$6</f>
        <v>310884</v>
      </c>
      <c r="J57" s="56">
        <f t="shared" si="13"/>
        <v>997937</v>
      </c>
      <c r="K57" s="84"/>
      <c r="L57" s="84"/>
      <c r="M57" s="85"/>
      <c r="N57" s="86"/>
    </row>
    <row r="58" spans="1:14" s="87" customFormat="1" ht="24.95" customHeight="1">
      <c r="A58" s="81" t="s">
        <v>168</v>
      </c>
      <c r="B58" s="82"/>
      <c r="C58" s="83">
        <f>'비상대처계획(기준소요인력)'!G13</f>
        <v>3.61</v>
      </c>
      <c r="D58" s="55" t="s">
        <v>41</v>
      </c>
      <c r="E58" s="56">
        <f t="shared" si="12"/>
        <v>295138</v>
      </c>
      <c r="F58" s="56">
        <f t="shared" si="12"/>
        <v>1065448</v>
      </c>
      <c r="G58" s="84"/>
      <c r="H58" s="84"/>
      <c r="I58" s="56">
        <f>$I$7</f>
        <v>295138</v>
      </c>
      <c r="J58" s="56">
        <f t="shared" si="13"/>
        <v>1065448</v>
      </c>
      <c r="K58" s="84"/>
      <c r="L58" s="84"/>
      <c r="M58" s="85"/>
      <c r="N58" s="86"/>
    </row>
    <row r="59" spans="1:14" s="87" customFormat="1" ht="24.95" customHeight="1">
      <c r="A59" s="81" t="s">
        <v>165</v>
      </c>
      <c r="B59" s="82"/>
      <c r="C59" s="83">
        <f>'비상대처계획(기준소요인력)'!H13</f>
        <v>4.01</v>
      </c>
      <c r="D59" s="55" t="s">
        <v>41</v>
      </c>
      <c r="E59" s="56">
        <f t="shared" si="12"/>
        <v>235459</v>
      </c>
      <c r="F59" s="56">
        <f t="shared" si="12"/>
        <v>944190</v>
      </c>
      <c r="G59" s="84"/>
      <c r="H59" s="84"/>
      <c r="I59" s="56">
        <f>$I$8</f>
        <v>235459</v>
      </c>
      <c r="J59" s="56">
        <f t="shared" si="13"/>
        <v>944190</v>
      </c>
      <c r="K59" s="84"/>
      <c r="L59" s="84"/>
      <c r="M59" s="85"/>
      <c r="N59" s="86"/>
    </row>
    <row r="60" spans="1:14" s="87" customFormat="1" ht="24.95" customHeight="1">
      <c r="A60" s="81" t="s">
        <v>179</v>
      </c>
      <c r="B60" s="82"/>
      <c r="C60" s="83">
        <f>'비상대처계획(기준소요인력)'!I13</f>
        <v>0</v>
      </c>
      <c r="D60" s="55" t="s">
        <v>41</v>
      </c>
      <c r="E60" s="56">
        <f t="shared" si="12"/>
        <v>250087</v>
      </c>
      <c r="F60" s="56">
        <f t="shared" si="12"/>
        <v>0</v>
      </c>
      <c r="G60" s="84"/>
      <c r="H60" s="84"/>
      <c r="I60" s="56">
        <f>$I$9</f>
        <v>250087</v>
      </c>
      <c r="J60" s="56">
        <f t="shared" si="13"/>
        <v>0</v>
      </c>
      <c r="K60" s="84"/>
      <c r="L60" s="84"/>
      <c r="M60" s="85"/>
      <c r="N60" s="86"/>
    </row>
    <row r="61" spans="1:14" s="87" customFormat="1" ht="24.95" customHeight="1">
      <c r="A61" s="81" t="s">
        <v>39</v>
      </c>
      <c r="B61" s="82"/>
      <c r="C61" s="83"/>
      <c r="D61" s="55"/>
      <c r="E61" s="56"/>
      <c r="F61" s="56">
        <f t="shared" si="12"/>
        <v>3993731</v>
      </c>
      <c r="G61" s="84"/>
      <c r="H61" s="84"/>
      <c r="I61" s="56"/>
      <c r="J61" s="56">
        <f>SUM(J55:J60)</f>
        <v>3993731</v>
      </c>
      <c r="K61" s="84"/>
      <c r="L61" s="84"/>
      <c r="M61" s="85"/>
      <c r="N61" s="86"/>
    </row>
    <row r="62" spans="1:14" s="87" customFormat="1" ht="24.95" customHeight="1">
      <c r="A62" s="81" t="s">
        <v>45</v>
      </c>
      <c r="B62" s="95">
        <f>$S$9</f>
        <v>0</v>
      </c>
      <c r="C62" s="83"/>
      <c r="D62" s="55"/>
      <c r="E62" s="51">
        <f>F62</f>
        <v>0</v>
      </c>
      <c r="F62" s="56">
        <f t="shared" si="12"/>
        <v>0</v>
      </c>
      <c r="G62" s="82"/>
      <c r="H62" s="82"/>
      <c r="I62" s="56"/>
      <c r="J62" s="56">
        <f>TRUNC(J61*$S$9,0)</f>
        <v>0</v>
      </c>
      <c r="K62" s="82"/>
      <c r="L62" s="82"/>
      <c r="M62" s="85"/>
      <c r="N62" s="86"/>
    </row>
    <row r="63" spans="1:14" s="87" customFormat="1" ht="24.95" customHeight="1">
      <c r="A63" s="102" t="s">
        <v>1895</v>
      </c>
      <c r="B63" s="82"/>
      <c r="C63" s="83"/>
      <c r="D63" s="55"/>
      <c r="E63" s="82"/>
      <c r="F63" s="84"/>
      <c r="G63" s="82"/>
      <c r="H63" s="82"/>
      <c r="I63" s="82"/>
      <c r="J63" s="84"/>
      <c r="K63" s="82"/>
      <c r="L63" s="82"/>
      <c r="M63" s="85"/>
      <c r="N63" s="86"/>
    </row>
    <row r="64" spans="1:14" s="87" customFormat="1" ht="24.95" customHeight="1">
      <c r="A64" s="81" t="s">
        <v>150</v>
      </c>
      <c r="B64" s="82"/>
      <c r="C64" s="83">
        <f>'비상대처계획(기준소요인력)'!D14</f>
        <v>1.66</v>
      </c>
      <c r="D64" s="55" t="s">
        <v>41</v>
      </c>
      <c r="E64" s="56">
        <f t="shared" ref="E64:F71" si="14">G64+I64+K64</f>
        <v>467217</v>
      </c>
      <c r="F64" s="56">
        <f t="shared" si="14"/>
        <v>775580</v>
      </c>
      <c r="G64" s="84"/>
      <c r="H64" s="84"/>
      <c r="I64" s="56">
        <f>$I$4</f>
        <v>467217</v>
      </c>
      <c r="J64" s="56">
        <f t="shared" ref="J64:J69" si="15">INT(I64*C64)</f>
        <v>775580</v>
      </c>
      <c r="K64" s="84"/>
      <c r="L64" s="84"/>
      <c r="M64" s="85"/>
      <c r="N64" s="86"/>
    </row>
    <row r="65" spans="1:14" s="87" customFormat="1" ht="24.95" customHeight="1">
      <c r="A65" s="81" t="s">
        <v>146</v>
      </c>
      <c r="B65" s="82"/>
      <c r="C65" s="83">
        <f>'비상대처계획(기준소요인력)'!E14</f>
        <v>2.88</v>
      </c>
      <c r="D65" s="55" t="s">
        <v>41</v>
      </c>
      <c r="E65" s="56">
        <f t="shared" si="14"/>
        <v>373353</v>
      </c>
      <c r="F65" s="56">
        <f t="shared" si="14"/>
        <v>1075256</v>
      </c>
      <c r="G65" s="84"/>
      <c r="H65" s="84"/>
      <c r="I65" s="56">
        <f>$I$5</f>
        <v>373353</v>
      </c>
      <c r="J65" s="56">
        <f t="shared" si="15"/>
        <v>1075256</v>
      </c>
      <c r="K65" s="84"/>
      <c r="L65" s="84"/>
      <c r="M65" s="85"/>
      <c r="N65" s="86"/>
    </row>
    <row r="66" spans="1:14" s="87" customFormat="1" ht="24.95" customHeight="1">
      <c r="A66" s="81" t="s">
        <v>139</v>
      </c>
      <c r="B66" s="82"/>
      <c r="C66" s="83">
        <f>'비상대처계획(기준소요인력)'!F14</f>
        <v>4.4000000000000004</v>
      </c>
      <c r="D66" s="55" t="s">
        <v>41</v>
      </c>
      <c r="E66" s="56">
        <f t="shared" si="14"/>
        <v>310884</v>
      </c>
      <c r="F66" s="56">
        <f t="shared" si="14"/>
        <v>1367889</v>
      </c>
      <c r="G66" s="84"/>
      <c r="H66" s="84"/>
      <c r="I66" s="56">
        <f>$I$6</f>
        <v>310884</v>
      </c>
      <c r="J66" s="56">
        <f t="shared" si="15"/>
        <v>1367889</v>
      </c>
      <c r="K66" s="84"/>
      <c r="L66" s="84"/>
      <c r="M66" s="85"/>
      <c r="N66" s="86"/>
    </row>
    <row r="67" spans="1:14" s="87" customFormat="1" ht="24.95" customHeight="1">
      <c r="A67" s="81" t="s">
        <v>168</v>
      </c>
      <c r="B67" s="82"/>
      <c r="C67" s="83">
        <f>'비상대처계획(기준소요인력)'!G14</f>
        <v>4.4000000000000004</v>
      </c>
      <c r="D67" s="55" t="s">
        <v>41</v>
      </c>
      <c r="E67" s="56">
        <f t="shared" si="14"/>
        <v>295138</v>
      </c>
      <c r="F67" s="56">
        <f t="shared" si="14"/>
        <v>1298607</v>
      </c>
      <c r="G67" s="84"/>
      <c r="H67" s="84"/>
      <c r="I67" s="56">
        <f>$I$7</f>
        <v>295138</v>
      </c>
      <c r="J67" s="56">
        <f t="shared" si="15"/>
        <v>1298607</v>
      </c>
      <c r="K67" s="84"/>
      <c r="L67" s="84"/>
      <c r="M67" s="85"/>
      <c r="N67" s="86"/>
    </row>
    <row r="68" spans="1:14" s="87" customFormat="1" ht="24.95" customHeight="1">
      <c r="A68" s="81" t="s">
        <v>165</v>
      </c>
      <c r="B68" s="82"/>
      <c r="C68" s="83">
        <f>'비상대처계획(기준소요인력)'!H14</f>
        <v>3.3</v>
      </c>
      <c r="D68" s="55" t="s">
        <v>41</v>
      </c>
      <c r="E68" s="56">
        <f t="shared" si="14"/>
        <v>235459</v>
      </c>
      <c r="F68" s="56">
        <f t="shared" si="14"/>
        <v>777014</v>
      </c>
      <c r="G68" s="84"/>
      <c r="H68" s="84"/>
      <c r="I68" s="56">
        <f>$I$8</f>
        <v>235459</v>
      </c>
      <c r="J68" s="56">
        <f t="shared" si="15"/>
        <v>777014</v>
      </c>
      <c r="K68" s="84"/>
      <c r="L68" s="84"/>
      <c r="M68" s="85"/>
      <c r="N68" s="86"/>
    </row>
    <row r="69" spans="1:14" s="87" customFormat="1" ht="24.95" customHeight="1">
      <c r="A69" s="81" t="s">
        <v>179</v>
      </c>
      <c r="B69" s="82"/>
      <c r="C69" s="83">
        <f>'비상대처계획(기준소요인력)'!I14</f>
        <v>1.38</v>
      </c>
      <c r="D69" s="55" t="s">
        <v>41</v>
      </c>
      <c r="E69" s="56">
        <f t="shared" si="14"/>
        <v>250087</v>
      </c>
      <c r="F69" s="56">
        <f t="shared" si="14"/>
        <v>345120</v>
      </c>
      <c r="G69" s="84"/>
      <c r="H69" s="84"/>
      <c r="I69" s="56">
        <f>$I$9</f>
        <v>250087</v>
      </c>
      <c r="J69" s="56">
        <f t="shared" si="15"/>
        <v>345120</v>
      </c>
      <c r="K69" s="84"/>
      <c r="L69" s="84"/>
      <c r="M69" s="85"/>
      <c r="N69" s="86"/>
    </row>
    <row r="70" spans="1:14" s="87" customFormat="1" ht="24.95" customHeight="1">
      <c r="A70" s="81" t="s">
        <v>39</v>
      </c>
      <c r="B70" s="82"/>
      <c r="C70" s="83"/>
      <c r="D70" s="55"/>
      <c r="E70" s="56"/>
      <c r="F70" s="56">
        <f t="shared" si="14"/>
        <v>5639466</v>
      </c>
      <c r="G70" s="84"/>
      <c r="H70" s="84"/>
      <c r="I70" s="56"/>
      <c r="J70" s="56">
        <f>SUM(J64:J69)</f>
        <v>5639466</v>
      </c>
      <c r="K70" s="84"/>
      <c r="L70" s="84"/>
      <c r="M70" s="85"/>
      <c r="N70" s="86"/>
    </row>
    <row r="71" spans="1:14" s="87" customFormat="1" ht="24.95" customHeight="1">
      <c r="A71" s="81" t="s">
        <v>45</v>
      </c>
      <c r="B71" s="95">
        <f>$S$9</f>
        <v>0</v>
      </c>
      <c r="C71" s="83"/>
      <c r="D71" s="55"/>
      <c r="E71" s="51">
        <f>F71</f>
        <v>0</v>
      </c>
      <c r="F71" s="56">
        <f t="shared" si="14"/>
        <v>0</v>
      </c>
      <c r="G71" s="82"/>
      <c r="H71" s="82"/>
      <c r="I71" s="56"/>
      <c r="J71" s="56">
        <f>TRUNC(J70*B71,0)</f>
        <v>0</v>
      </c>
      <c r="K71" s="82"/>
      <c r="L71" s="82"/>
      <c r="M71" s="226"/>
      <c r="N71" s="86"/>
    </row>
    <row r="72" spans="1:14" s="100" customFormat="1" ht="24.95" customHeight="1">
      <c r="A72" s="81"/>
      <c r="B72" s="95"/>
      <c r="C72" s="83"/>
      <c r="D72" s="55"/>
      <c r="E72" s="51"/>
      <c r="F72" s="56"/>
      <c r="G72" s="82"/>
      <c r="H72" s="82"/>
      <c r="I72" s="56"/>
      <c r="J72" s="56"/>
      <c r="K72" s="82"/>
      <c r="L72" s="82"/>
      <c r="M72" s="226"/>
      <c r="N72" s="99"/>
    </row>
    <row r="73" spans="1:14" s="100" customFormat="1" ht="24.95" customHeight="1">
      <c r="A73" s="81"/>
      <c r="B73" s="95"/>
      <c r="C73" s="83"/>
      <c r="D73" s="55"/>
      <c r="E73" s="51"/>
      <c r="F73" s="56"/>
      <c r="G73" s="82"/>
      <c r="H73" s="82"/>
      <c r="I73" s="56"/>
      <c r="J73" s="56"/>
      <c r="K73" s="82"/>
      <c r="L73" s="82"/>
      <c r="M73" s="226"/>
      <c r="N73" s="99"/>
    </row>
    <row r="74" spans="1:14" s="100" customFormat="1" ht="24.95" customHeight="1">
      <c r="A74" s="102" t="s">
        <v>1896</v>
      </c>
      <c r="B74" s="82"/>
      <c r="C74" s="83"/>
      <c r="D74" s="55"/>
      <c r="E74" s="82"/>
      <c r="F74" s="84"/>
      <c r="G74" s="82"/>
      <c r="H74" s="82"/>
      <c r="I74" s="82"/>
      <c r="J74" s="84"/>
      <c r="K74" s="82"/>
      <c r="L74" s="82"/>
      <c r="M74" s="85"/>
      <c r="N74" s="99"/>
    </row>
    <row r="75" spans="1:14" s="87" customFormat="1" ht="24.95" customHeight="1">
      <c r="A75" s="81" t="s">
        <v>150</v>
      </c>
      <c r="B75" s="82"/>
      <c r="C75" s="83">
        <f>'비상대처계획(기준소요인력)'!D15</f>
        <v>0.9</v>
      </c>
      <c r="D75" s="55" t="s">
        <v>41</v>
      </c>
      <c r="E75" s="56">
        <f t="shared" ref="E75:F82" si="16">G75+I75+K75</f>
        <v>467217</v>
      </c>
      <c r="F75" s="56">
        <f t="shared" si="16"/>
        <v>420495</v>
      </c>
      <c r="G75" s="84"/>
      <c r="H75" s="84"/>
      <c r="I75" s="56">
        <f>$I$4</f>
        <v>467217</v>
      </c>
      <c r="J75" s="56">
        <f t="shared" ref="J75:J80" si="17">INT(I75*C75)</f>
        <v>420495</v>
      </c>
      <c r="K75" s="84"/>
      <c r="L75" s="84"/>
      <c r="M75" s="85"/>
      <c r="N75" s="86"/>
    </row>
    <row r="76" spans="1:14" s="87" customFormat="1" ht="24.95" customHeight="1">
      <c r="A76" s="81" t="s">
        <v>146</v>
      </c>
      <c r="B76" s="82"/>
      <c r="C76" s="83">
        <f>'비상대처계획(기준소요인력)'!E15</f>
        <v>3.5</v>
      </c>
      <c r="D76" s="55" t="s">
        <v>41</v>
      </c>
      <c r="E76" s="56">
        <f t="shared" si="16"/>
        <v>373353</v>
      </c>
      <c r="F76" s="56">
        <f t="shared" si="16"/>
        <v>1306735</v>
      </c>
      <c r="G76" s="84"/>
      <c r="H76" s="84"/>
      <c r="I76" s="56">
        <f>$I$5</f>
        <v>373353</v>
      </c>
      <c r="J76" s="56">
        <f t="shared" si="17"/>
        <v>1306735</v>
      </c>
      <c r="K76" s="84"/>
      <c r="L76" s="84"/>
      <c r="M76" s="85"/>
      <c r="N76" s="86"/>
    </row>
    <row r="77" spans="1:14" s="87" customFormat="1" ht="24.95" customHeight="1">
      <c r="A77" s="81" t="s">
        <v>139</v>
      </c>
      <c r="B77" s="82"/>
      <c r="C77" s="83">
        <f>'비상대처계획(기준소요인력)'!F15</f>
        <v>3.8</v>
      </c>
      <c r="D77" s="55" t="s">
        <v>41</v>
      </c>
      <c r="E77" s="56">
        <f t="shared" si="16"/>
        <v>310884</v>
      </c>
      <c r="F77" s="56">
        <f t="shared" si="16"/>
        <v>1181359</v>
      </c>
      <c r="G77" s="84"/>
      <c r="H77" s="84"/>
      <c r="I77" s="56">
        <f>$I$6</f>
        <v>310884</v>
      </c>
      <c r="J77" s="56">
        <f t="shared" si="17"/>
        <v>1181359</v>
      </c>
      <c r="K77" s="84"/>
      <c r="L77" s="84"/>
      <c r="M77" s="85"/>
      <c r="N77" s="86"/>
    </row>
    <row r="78" spans="1:14" s="87" customFormat="1" ht="24.95" customHeight="1">
      <c r="A78" s="81" t="s">
        <v>168</v>
      </c>
      <c r="B78" s="82"/>
      <c r="C78" s="83">
        <f>'비상대처계획(기준소요인력)'!G15</f>
        <v>3</v>
      </c>
      <c r="D78" s="55" t="s">
        <v>41</v>
      </c>
      <c r="E78" s="56">
        <f t="shared" si="16"/>
        <v>295138</v>
      </c>
      <c r="F78" s="56">
        <f t="shared" si="16"/>
        <v>885414</v>
      </c>
      <c r="G78" s="84"/>
      <c r="H78" s="84"/>
      <c r="I78" s="56">
        <f>$I$7</f>
        <v>295138</v>
      </c>
      <c r="J78" s="56">
        <f t="shared" si="17"/>
        <v>885414</v>
      </c>
      <c r="K78" s="84"/>
      <c r="L78" s="84"/>
      <c r="M78" s="85"/>
      <c r="N78" s="86"/>
    </row>
    <row r="79" spans="1:14" s="87" customFormat="1" ht="24.95" customHeight="1">
      <c r="A79" s="81" t="s">
        <v>165</v>
      </c>
      <c r="B79" s="82"/>
      <c r="C79" s="83">
        <f>'비상대처계획(기준소요인력)'!H15</f>
        <v>1.7</v>
      </c>
      <c r="D79" s="55" t="s">
        <v>41</v>
      </c>
      <c r="E79" s="56">
        <f t="shared" si="16"/>
        <v>235459</v>
      </c>
      <c r="F79" s="56">
        <f t="shared" si="16"/>
        <v>400280</v>
      </c>
      <c r="G79" s="84"/>
      <c r="H79" s="84"/>
      <c r="I79" s="56">
        <f>$I$8</f>
        <v>235459</v>
      </c>
      <c r="J79" s="56">
        <f t="shared" si="17"/>
        <v>400280</v>
      </c>
      <c r="K79" s="84"/>
      <c r="L79" s="84"/>
      <c r="M79" s="85"/>
      <c r="N79" s="86"/>
    </row>
    <row r="80" spans="1:14" s="87" customFormat="1" ht="24.95" customHeight="1">
      <c r="A80" s="81" t="s">
        <v>179</v>
      </c>
      <c r="B80" s="82"/>
      <c r="C80" s="83">
        <f>'비상대처계획(기준소요인력)'!I15</f>
        <v>1</v>
      </c>
      <c r="D80" s="55" t="s">
        <v>41</v>
      </c>
      <c r="E80" s="56">
        <f t="shared" si="16"/>
        <v>250087</v>
      </c>
      <c r="F80" s="56">
        <f t="shared" si="16"/>
        <v>250087</v>
      </c>
      <c r="G80" s="84"/>
      <c r="H80" s="84"/>
      <c r="I80" s="56">
        <f>$I$9</f>
        <v>250087</v>
      </c>
      <c r="J80" s="56">
        <f t="shared" si="17"/>
        <v>250087</v>
      </c>
      <c r="K80" s="84"/>
      <c r="L80" s="84"/>
      <c r="M80" s="85"/>
      <c r="N80" s="86"/>
    </row>
    <row r="81" spans="1:14" s="87" customFormat="1" ht="24.95" customHeight="1">
      <c r="A81" s="81" t="s">
        <v>39</v>
      </c>
      <c r="B81" s="82"/>
      <c r="C81" s="83"/>
      <c r="D81" s="55"/>
      <c r="E81" s="56"/>
      <c r="F81" s="56">
        <f t="shared" si="16"/>
        <v>4444370</v>
      </c>
      <c r="G81" s="84"/>
      <c r="H81" s="84"/>
      <c r="I81" s="56"/>
      <c r="J81" s="56">
        <f>SUM(J75:J80)</f>
        <v>4444370</v>
      </c>
      <c r="K81" s="84"/>
      <c r="L81" s="84"/>
      <c r="M81" s="85"/>
      <c r="N81" s="86"/>
    </row>
    <row r="82" spans="1:14" s="87" customFormat="1" ht="24.95" customHeight="1">
      <c r="A82" s="81" t="s">
        <v>45</v>
      </c>
      <c r="B82" s="95">
        <f>$S$9</f>
        <v>0</v>
      </c>
      <c r="C82" s="83"/>
      <c r="D82" s="55"/>
      <c r="E82" s="51">
        <f>F82</f>
        <v>0</v>
      </c>
      <c r="F82" s="56">
        <f t="shared" si="16"/>
        <v>0</v>
      </c>
      <c r="G82" s="82"/>
      <c r="H82" s="82"/>
      <c r="I82" s="56"/>
      <c r="J82" s="56">
        <f>TRUNC(J81*B82,0)</f>
        <v>0</v>
      </c>
      <c r="K82" s="82"/>
      <c r="L82" s="82"/>
      <c r="M82" s="85"/>
      <c r="N82" s="86"/>
    </row>
    <row r="83" spans="1:14" s="87" customFormat="1" ht="24.95" customHeight="1">
      <c r="A83" s="102" t="s">
        <v>1897</v>
      </c>
      <c r="B83" s="82"/>
      <c r="C83" s="83"/>
      <c r="D83" s="55"/>
      <c r="E83" s="82"/>
      <c r="F83" s="84"/>
      <c r="G83" s="82"/>
      <c r="H83" s="82"/>
      <c r="I83" s="82"/>
      <c r="J83" s="84"/>
      <c r="K83" s="84"/>
      <c r="L83" s="84"/>
      <c r="M83" s="85"/>
      <c r="N83" s="86"/>
    </row>
    <row r="84" spans="1:14" s="87" customFormat="1" ht="24.95" customHeight="1">
      <c r="A84" s="81" t="s">
        <v>150</v>
      </c>
      <c r="B84" s="82"/>
      <c r="C84" s="83">
        <f>'비상대처계획(기준소요인력)'!D17</f>
        <v>1.35</v>
      </c>
      <c r="D84" s="55" t="s">
        <v>41</v>
      </c>
      <c r="E84" s="56">
        <f t="shared" ref="E84:F91" si="18">G84+I84+K84</f>
        <v>467217</v>
      </c>
      <c r="F84" s="56">
        <f t="shared" si="18"/>
        <v>630742</v>
      </c>
      <c r="G84" s="84"/>
      <c r="H84" s="84"/>
      <c r="I84" s="56">
        <f>$I$4</f>
        <v>467217</v>
      </c>
      <c r="J84" s="56">
        <f t="shared" ref="J84:J89" si="19">INT(I84*C84)</f>
        <v>630742</v>
      </c>
      <c r="K84" s="84"/>
      <c r="L84" s="84"/>
      <c r="M84" s="85"/>
      <c r="N84" s="86"/>
    </row>
    <row r="85" spans="1:14" s="87" customFormat="1" ht="24.95" customHeight="1">
      <c r="A85" s="81" t="s">
        <v>146</v>
      </c>
      <c r="B85" s="82"/>
      <c r="C85" s="83">
        <f>'비상대처계획(기준소요인력)'!E17</f>
        <v>2.1800000000000002</v>
      </c>
      <c r="D85" s="55" t="s">
        <v>41</v>
      </c>
      <c r="E85" s="56">
        <f t="shared" si="18"/>
        <v>373353</v>
      </c>
      <c r="F85" s="56">
        <f t="shared" si="18"/>
        <v>813909</v>
      </c>
      <c r="G85" s="84"/>
      <c r="H85" s="84"/>
      <c r="I85" s="56">
        <f>$I$5</f>
        <v>373353</v>
      </c>
      <c r="J85" s="56">
        <f t="shared" si="19"/>
        <v>813909</v>
      </c>
      <c r="K85" s="84"/>
      <c r="L85" s="84"/>
      <c r="M85" s="85"/>
      <c r="N85" s="86"/>
    </row>
    <row r="86" spans="1:14" s="87" customFormat="1" ht="24.95" customHeight="1">
      <c r="A86" s="81" t="s">
        <v>139</v>
      </c>
      <c r="B86" s="82"/>
      <c r="C86" s="83">
        <f>'비상대처계획(기준소요인력)'!F17</f>
        <v>2.65</v>
      </c>
      <c r="D86" s="55" t="s">
        <v>41</v>
      </c>
      <c r="E86" s="56">
        <f t="shared" si="18"/>
        <v>310884</v>
      </c>
      <c r="F86" s="56">
        <f t="shared" si="18"/>
        <v>823842</v>
      </c>
      <c r="G86" s="84"/>
      <c r="H86" s="84"/>
      <c r="I86" s="56">
        <f>$I$6</f>
        <v>310884</v>
      </c>
      <c r="J86" s="56">
        <f t="shared" si="19"/>
        <v>823842</v>
      </c>
      <c r="K86" s="84"/>
      <c r="L86" s="84"/>
      <c r="M86" s="85"/>
      <c r="N86" s="86"/>
    </row>
    <row r="87" spans="1:14" s="87" customFormat="1" ht="24.95" customHeight="1">
      <c r="A87" s="81" t="s">
        <v>168</v>
      </c>
      <c r="B87" s="82"/>
      <c r="C87" s="83">
        <f>'비상대처계획(기준소요인력)'!G17</f>
        <v>3.1</v>
      </c>
      <c r="D87" s="55" t="s">
        <v>41</v>
      </c>
      <c r="E87" s="56">
        <f t="shared" si="18"/>
        <v>295138</v>
      </c>
      <c r="F87" s="56">
        <f t="shared" si="18"/>
        <v>914927</v>
      </c>
      <c r="G87" s="84"/>
      <c r="H87" s="84"/>
      <c r="I87" s="56">
        <f>$I$7</f>
        <v>295138</v>
      </c>
      <c r="J87" s="56">
        <f t="shared" si="19"/>
        <v>914927</v>
      </c>
      <c r="K87" s="84"/>
      <c r="L87" s="84"/>
      <c r="M87" s="85"/>
      <c r="N87" s="86"/>
    </row>
    <row r="88" spans="1:14" s="87" customFormat="1" ht="24.95" customHeight="1">
      <c r="A88" s="81" t="s">
        <v>165</v>
      </c>
      <c r="B88" s="82"/>
      <c r="C88" s="83">
        <f>'비상대처계획(기준소요인력)'!H17</f>
        <v>1.98</v>
      </c>
      <c r="D88" s="55" t="s">
        <v>41</v>
      </c>
      <c r="E88" s="56">
        <f t="shared" si="18"/>
        <v>235459</v>
      </c>
      <c r="F88" s="56">
        <f t="shared" si="18"/>
        <v>466208</v>
      </c>
      <c r="G88" s="84"/>
      <c r="H88" s="84"/>
      <c r="I88" s="56">
        <f>$I$8</f>
        <v>235459</v>
      </c>
      <c r="J88" s="56">
        <f t="shared" si="19"/>
        <v>466208</v>
      </c>
      <c r="K88" s="84"/>
      <c r="L88" s="84"/>
      <c r="M88" s="85"/>
      <c r="N88" s="86"/>
    </row>
    <row r="89" spans="1:14" s="87" customFormat="1" ht="24.95" customHeight="1">
      <c r="A89" s="81" t="s">
        <v>179</v>
      </c>
      <c r="B89" s="82"/>
      <c r="C89" s="83">
        <f>'비상대처계획(기준소요인력)'!I17</f>
        <v>1.43</v>
      </c>
      <c r="D89" s="55" t="s">
        <v>41</v>
      </c>
      <c r="E89" s="56">
        <f t="shared" si="18"/>
        <v>250087</v>
      </c>
      <c r="F89" s="56">
        <f t="shared" si="18"/>
        <v>357624</v>
      </c>
      <c r="G89" s="84"/>
      <c r="H89" s="84"/>
      <c r="I89" s="56">
        <f>$I$9</f>
        <v>250087</v>
      </c>
      <c r="J89" s="56">
        <f t="shared" si="19"/>
        <v>357624</v>
      </c>
      <c r="K89" s="84"/>
      <c r="L89" s="84"/>
      <c r="M89" s="85"/>
      <c r="N89" s="86"/>
    </row>
    <row r="90" spans="1:14" s="87" customFormat="1" ht="24.95" customHeight="1">
      <c r="A90" s="81" t="s">
        <v>39</v>
      </c>
      <c r="B90" s="82"/>
      <c r="C90" s="83"/>
      <c r="D90" s="55"/>
      <c r="E90" s="56"/>
      <c r="F90" s="56">
        <f t="shared" si="18"/>
        <v>4007252</v>
      </c>
      <c r="G90" s="84"/>
      <c r="H90" s="84"/>
      <c r="I90" s="56"/>
      <c r="J90" s="56">
        <f>SUM(J84:J89)</f>
        <v>4007252</v>
      </c>
      <c r="K90" s="84"/>
      <c r="L90" s="84"/>
      <c r="M90" s="85"/>
      <c r="N90" s="86"/>
    </row>
    <row r="91" spans="1:14" s="87" customFormat="1" ht="24.95" customHeight="1">
      <c r="A91" s="81" t="s">
        <v>45</v>
      </c>
      <c r="B91" s="95">
        <f>$S$9</f>
        <v>0</v>
      </c>
      <c r="C91" s="83"/>
      <c r="D91" s="55"/>
      <c r="E91" s="51">
        <f>F91</f>
        <v>0</v>
      </c>
      <c r="F91" s="56">
        <f t="shared" si="18"/>
        <v>0</v>
      </c>
      <c r="G91" s="82"/>
      <c r="H91" s="82"/>
      <c r="I91" s="56"/>
      <c r="J91" s="56">
        <f>TRUNC(J90*B91,0)</f>
        <v>0</v>
      </c>
      <c r="K91" s="82"/>
      <c r="L91" s="82"/>
      <c r="M91" s="96"/>
      <c r="N91" s="86"/>
    </row>
    <row r="92" spans="1:14" s="87" customFormat="1" ht="24.95" customHeight="1">
      <c r="A92" s="81"/>
      <c r="B92" s="95"/>
      <c r="C92" s="83"/>
      <c r="D92" s="55"/>
      <c r="E92" s="51"/>
      <c r="F92" s="56"/>
      <c r="G92" s="82"/>
      <c r="H92" s="82"/>
      <c r="I92" s="56"/>
      <c r="J92" s="56"/>
      <c r="K92" s="82"/>
      <c r="L92" s="82"/>
      <c r="M92" s="96"/>
      <c r="N92" s="86"/>
    </row>
    <row r="93" spans="1:14" s="87" customFormat="1" ht="24.95" customHeight="1">
      <c r="A93" s="81"/>
      <c r="B93" s="82"/>
      <c r="C93" s="83"/>
      <c r="D93" s="55"/>
      <c r="E93" s="51"/>
      <c r="F93" s="56"/>
      <c r="G93" s="82"/>
      <c r="H93" s="82"/>
      <c r="I93" s="82"/>
      <c r="J93" s="82"/>
      <c r="K93" s="82"/>
      <c r="L93" s="82"/>
      <c r="M93" s="85"/>
      <c r="N93" s="86"/>
    </row>
    <row r="94" spans="1:14" s="87" customFormat="1" ht="24.95" customHeight="1">
      <c r="A94" s="102" t="s">
        <v>1898</v>
      </c>
      <c r="B94" s="82"/>
      <c r="C94" s="83"/>
      <c r="D94" s="55"/>
      <c r="E94" s="82"/>
      <c r="F94" s="84"/>
      <c r="G94" s="82"/>
      <c r="H94" s="82"/>
      <c r="I94" s="82"/>
      <c r="J94" s="84"/>
      <c r="K94" s="88"/>
      <c r="M94" s="101"/>
      <c r="N94" s="86"/>
    </row>
    <row r="95" spans="1:14" s="87" customFormat="1" ht="24.95" customHeight="1">
      <c r="A95" s="81" t="s">
        <v>150</v>
      </c>
      <c r="B95" s="82"/>
      <c r="C95" s="83">
        <f>'비상대처계획(기준소요인력)'!D18</f>
        <v>1.38</v>
      </c>
      <c r="D95" s="55" t="s">
        <v>41</v>
      </c>
      <c r="E95" s="56">
        <f t="shared" ref="E95:F102" si="20">G95+I95+K95</f>
        <v>467217</v>
      </c>
      <c r="F95" s="56">
        <f t="shared" si="20"/>
        <v>644759</v>
      </c>
      <c r="G95" s="84"/>
      <c r="H95" s="84"/>
      <c r="I95" s="56">
        <f>$I$4</f>
        <v>467217</v>
      </c>
      <c r="J95" s="56">
        <f t="shared" ref="J95:J100" si="21">INT(I95*C95)</f>
        <v>644759</v>
      </c>
      <c r="M95" s="101"/>
      <c r="N95" s="86"/>
    </row>
    <row r="96" spans="1:14" s="87" customFormat="1" ht="24.95" customHeight="1">
      <c r="A96" s="81" t="s">
        <v>146</v>
      </c>
      <c r="B96" s="82"/>
      <c r="C96" s="83">
        <f>'비상대처계획(기준소요인력)'!E18</f>
        <v>3.24</v>
      </c>
      <c r="D96" s="55" t="s">
        <v>41</v>
      </c>
      <c r="E96" s="56">
        <f t="shared" si="20"/>
        <v>373353</v>
      </c>
      <c r="F96" s="56">
        <f t="shared" si="20"/>
        <v>1209663</v>
      </c>
      <c r="G96" s="84"/>
      <c r="H96" s="84"/>
      <c r="I96" s="56">
        <f>$I$5</f>
        <v>373353</v>
      </c>
      <c r="J96" s="56">
        <f t="shared" si="21"/>
        <v>1209663</v>
      </c>
      <c r="M96" s="101"/>
      <c r="N96" s="86"/>
    </row>
    <row r="97" spans="1:14" s="87" customFormat="1" ht="24.95" customHeight="1">
      <c r="A97" s="81" t="s">
        <v>139</v>
      </c>
      <c r="B97" s="82"/>
      <c r="C97" s="83">
        <f>'비상대처계획(기준소요인력)'!F18</f>
        <v>4.08</v>
      </c>
      <c r="D97" s="55" t="s">
        <v>41</v>
      </c>
      <c r="E97" s="56">
        <f t="shared" si="20"/>
        <v>310884</v>
      </c>
      <c r="F97" s="56">
        <f t="shared" si="20"/>
        <v>1268406</v>
      </c>
      <c r="G97" s="84"/>
      <c r="H97" s="84"/>
      <c r="I97" s="56">
        <f>$I$6</f>
        <v>310884</v>
      </c>
      <c r="J97" s="56">
        <f t="shared" si="21"/>
        <v>1268406</v>
      </c>
      <c r="M97" s="101"/>
      <c r="N97" s="86"/>
    </row>
    <row r="98" spans="1:14" s="87" customFormat="1" ht="24.95" customHeight="1">
      <c r="A98" s="81" t="s">
        <v>168</v>
      </c>
      <c r="B98" s="82"/>
      <c r="C98" s="83">
        <f>'비상대처계획(기준소요인력)'!G18</f>
        <v>2.82</v>
      </c>
      <c r="D98" s="55" t="s">
        <v>41</v>
      </c>
      <c r="E98" s="56">
        <f t="shared" si="20"/>
        <v>295138</v>
      </c>
      <c r="F98" s="56">
        <f t="shared" si="20"/>
        <v>832289</v>
      </c>
      <c r="G98" s="84"/>
      <c r="H98" s="84"/>
      <c r="I98" s="56">
        <f>$I$7</f>
        <v>295138</v>
      </c>
      <c r="J98" s="56">
        <f t="shared" si="21"/>
        <v>832289</v>
      </c>
      <c r="M98" s="101"/>
      <c r="N98" s="86"/>
    </row>
    <row r="99" spans="1:14" s="87" customFormat="1" ht="24.95" customHeight="1">
      <c r="A99" s="81" t="s">
        <v>165</v>
      </c>
      <c r="B99" s="82"/>
      <c r="C99" s="83">
        <f>'비상대처계획(기준소요인력)'!H18</f>
        <v>5.64</v>
      </c>
      <c r="D99" s="55" t="s">
        <v>41</v>
      </c>
      <c r="E99" s="56">
        <f t="shared" si="20"/>
        <v>235459</v>
      </c>
      <c r="F99" s="56">
        <f t="shared" si="20"/>
        <v>1327988</v>
      </c>
      <c r="G99" s="84"/>
      <c r="H99" s="84"/>
      <c r="I99" s="56">
        <f>$I$8</f>
        <v>235459</v>
      </c>
      <c r="J99" s="56">
        <f t="shared" si="21"/>
        <v>1327988</v>
      </c>
      <c r="M99" s="101"/>
      <c r="N99" s="86"/>
    </row>
    <row r="100" spans="1:14" s="87" customFormat="1" ht="24.95" customHeight="1">
      <c r="A100" s="81" t="s">
        <v>179</v>
      </c>
      <c r="B100" s="82"/>
      <c r="C100" s="83">
        <f>'비상대처계획(기준소요인력)'!I18</f>
        <v>7.02</v>
      </c>
      <c r="D100" s="55" t="s">
        <v>41</v>
      </c>
      <c r="E100" s="56">
        <f t="shared" si="20"/>
        <v>250087</v>
      </c>
      <c r="F100" s="56">
        <f t="shared" si="20"/>
        <v>1755610</v>
      </c>
      <c r="G100" s="84"/>
      <c r="H100" s="84"/>
      <c r="I100" s="56">
        <f>$I$9</f>
        <v>250087</v>
      </c>
      <c r="J100" s="56">
        <f t="shared" si="21"/>
        <v>1755610</v>
      </c>
      <c r="M100" s="101"/>
      <c r="N100" s="86"/>
    </row>
    <row r="101" spans="1:14" s="87" customFormat="1" ht="24.95" customHeight="1">
      <c r="A101" s="81" t="s">
        <v>39</v>
      </c>
      <c r="B101" s="82"/>
      <c r="C101" s="83"/>
      <c r="D101" s="55"/>
      <c r="E101" s="56"/>
      <c r="F101" s="56">
        <f t="shared" si="20"/>
        <v>7038715</v>
      </c>
      <c r="G101" s="84"/>
      <c r="H101" s="84"/>
      <c r="I101" s="56"/>
      <c r="J101" s="56">
        <f>SUM(J95:J100)</f>
        <v>7038715</v>
      </c>
      <c r="M101" s="101"/>
      <c r="N101" s="86"/>
    </row>
    <row r="102" spans="1:14" s="87" customFormat="1" ht="24.95" customHeight="1">
      <c r="A102" s="81" t="s">
        <v>45</v>
      </c>
      <c r="B102" s="95">
        <f>$S$9</f>
        <v>0</v>
      </c>
      <c r="C102" s="83"/>
      <c r="D102" s="55"/>
      <c r="E102" s="51">
        <f>F102</f>
        <v>0</v>
      </c>
      <c r="F102" s="56">
        <f t="shared" si="20"/>
        <v>0</v>
      </c>
      <c r="G102" s="82"/>
      <c r="H102" s="82"/>
      <c r="I102" s="56"/>
      <c r="J102" s="56">
        <f>TRUNC(J101*B102,0)</f>
        <v>0</v>
      </c>
      <c r="M102" s="101"/>
      <c r="N102" s="86"/>
    </row>
    <row r="103" spans="1:14" s="87" customFormat="1" ht="24.95" customHeight="1">
      <c r="A103" s="102" t="s">
        <v>1899</v>
      </c>
      <c r="B103" s="82"/>
      <c r="C103" s="83"/>
      <c r="D103" s="55"/>
      <c r="E103" s="82"/>
      <c r="F103" s="84"/>
      <c r="G103" s="82"/>
      <c r="H103" s="82"/>
      <c r="I103" s="82"/>
      <c r="J103" s="84"/>
      <c r="K103" s="84"/>
      <c r="L103" s="84"/>
      <c r="M103" s="85"/>
      <c r="N103" s="86"/>
    </row>
    <row r="104" spans="1:14" s="87" customFormat="1" ht="24.95" customHeight="1">
      <c r="A104" s="81" t="s">
        <v>150</v>
      </c>
      <c r="B104" s="82"/>
      <c r="C104" s="83">
        <f>'비상대처계획(기준소요인력)'!D19</f>
        <v>1</v>
      </c>
      <c r="D104" s="55" t="s">
        <v>41</v>
      </c>
      <c r="E104" s="56">
        <f t="shared" ref="E104:F111" si="22">G104+I104+K104</f>
        <v>467217</v>
      </c>
      <c r="F104" s="56">
        <f t="shared" si="22"/>
        <v>467217</v>
      </c>
      <c r="G104" s="84"/>
      <c r="H104" s="84"/>
      <c r="I104" s="56">
        <f>$I$4</f>
        <v>467217</v>
      </c>
      <c r="J104" s="56">
        <f t="shared" ref="J104:J109" si="23">INT(I104*C104)</f>
        <v>467217</v>
      </c>
      <c r="K104" s="84"/>
      <c r="L104" s="84"/>
      <c r="M104" s="85"/>
      <c r="N104" s="86"/>
    </row>
    <row r="105" spans="1:14" s="87" customFormat="1" ht="24.95" customHeight="1">
      <c r="A105" s="81" t="s">
        <v>146</v>
      </c>
      <c r="B105" s="82"/>
      <c r="C105" s="83">
        <f>'비상대처계획(기준소요인력)'!E19</f>
        <v>2.5</v>
      </c>
      <c r="D105" s="55" t="s">
        <v>41</v>
      </c>
      <c r="E105" s="56">
        <f t="shared" si="22"/>
        <v>373353</v>
      </c>
      <c r="F105" s="56">
        <f t="shared" si="22"/>
        <v>933382</v>
      </c>
      <c r="G105" s="84"/>
      <c r="H105" s="84"/>
      <c r="I105" s="56">
        <f>$I$5</f>
        <v>373353</v>
      </c>
      <c r="J105" s="56">
        <f t="shared" si="23"/>
        <v>933382</v>
      </c>
      <c r="K105" s="84"/>
      <c r="L105" s="84"/>
      <c r="M105" s="85"/>
      <c r="N105" s="86"/>
    </row>
    <row r="106" spans="1:14" s="87" customFormat="1" ht="24.95" customHeight="1">
      <c r="A106" s="81" t="s">
        <v>139</v>
      </c>
      <c r="B106" s="82"/>
      <c r="C106" s="83">
        <f>'비상대처계획(기준소요인력)'!F19</f>
        <v>2.5</v>
      </c>
      <c r="D106" s="55" t="s">
        <v>41</v>
      </c>
      <c r="E106" s="56">
        <f t="shared" si="22"/>
        <v>310884</v>
      </c>
      <c r="F106" s="56">
        <f t="shared" si="22"/>
        <v>777210</v>
      </c>
      <c r="G106" s="84"/>
      <c r="H106" s="84"/>
      <c r="I106" s="56">
        <f>$I$6</f>
        <v>310884</v>
      </c>
      <c r="J106" s="56">
        <f t="shared" si="23"/>
        <v>777210</v>
      </c>
      <c r="K106" s="84"/>
      <c r="L106" s="84"/>
      <c r="M106" s="85"/>
      <c r="N106" s="86"/>
    </row>
    <row r="107" spans="1:14" s="87" customFormat="1" ht="24.95" customHeight="1">
      <c r="A107" s="81" t="s">
        <v>168</v>
      </c>
      <c r="B107" s="82"/>
      <c r="C107" s="83">
        <f>'비상대처계획(기준소요인력)'!G19</f>
        <v>2.5</v>
      </c>
      <c r="D107" s="55" t="s">
        <v>41</v>
      </c>
      <c r="E107" s="56">
        <f t="shared" si="22"/>
        <v>295138</v>
      </c>
      <c r="F107" s="56">
        <f t="shared" si="22"/>
        <v>737845</v>
      </c>
      <c r="G107" s="84"/>
      <c r="H107" s="84"/>
      <c r="I107" s="56">
        <f>$I$7</f>
        <v>295138</v>
      </c>
      <c r="J107" s="56">
        <f t="shared" si="23"/>
        <v>737845</v>
      </c>
      <c r="K107" s="84"/>
      <c r="L107" s="84"/>
      <c r="M107" s="85"/>
      <c r="N107" s="86"/>
    </row>
    <row r="108" spans="1:14" s="87" customFormat="1" ht="24.95" customHeight="1">
      <c r="A108" s="81" t="s">
        <v>165</v>
      </c>
      <c r="B108" s="82"/>
      <c r="C108" s="83">
        <f>'비상대처계획(기준소요인력)'!H19</f>
        <v>0</v>
      </c>
      <c r="D108" s="55" t="s">
        <v>41</v>
      </c>
      <c r="E108" s="56">
        <f t="shared" si="22"/>
        <v>235459</v>
      </c>
      <c r="F108" s="56">
        <f t="shared" si="22"/>
        <v>0</v>
      </c>
      <c r="G108" s="84"/>
      <c r="H108" s="84"/>
      <c r="I108" s="56">
        <f>$I$8</f>
        <v>235459</v>
      </c>
      <c r="J108" s="56">
        <f t="shared" si="23"/>
        <v>0</v>
      </c>
      <c r="K108" s="84"/>
      <c r="L108" s="84"/>
      <c r="M108" s="85"/>
      <c r="N108" s="86"/>
    </row>
    <row r="109" spans="1:14" s="87" customFormat="1" ht="24.95" customHeight="1">
      <c r="A109" s="81" t="s">
        <v>179</v>
      </c>
      <c r="B109" s="82"/>
      <c r="C109" s="83">
        <f>'비상대처계획(기준소요인력)'!I19</f>
        <v>0</v>
      </c>
      <c r="D109" s="55" t="s">
        <v>41</v>
      </c>
      <c r="E109" s="56">
        <f t="shared" si="22"/>
        <v>250087</v>
      </c>
      <c r="F109" s="56">
        <f t="shared" si="22"/>
        <v>0</v>
      </c>
      <c r="G109" s="84"/>
      <c r="H109" s="84"/>
      <c r="I109" s="56">
        <f>$I$9</f>
        <v>250087</v>
      </c>
      <c r="J109" s="56">
        <f t="shared" si="23"/>
        <v>0</v>
      </c>
      <c r="K109" s="84"/>
      <c r="L109" s="84"/>
      <c r="M109" s="85"/>
      <c r="N109" s="86"/>
    </row>
    <row r="110" spans="1:14" s="87" customFormat="1" ht="24.95" customHeight="1">
      <c r="A110" s="81" t="s">
        <v>39</v>
      </c>
      <c r="B110" s="82"/>
      <c r="C110" s="83"/>
      <c r="D110" s="55"/>
      <c r="E110" s="56"/>
      <c r="F110" s="56">
        <f t="shared" si="22"/>
        <v>2915654</v>
      </c>
      <c r="G110" s="84"/>
      <c r="H110" s="84"/>
      <c r="I110" s="56"/>
      <c r="J110" s="56">
        <f>SUM(J104:J109)</f>
        <v>2915654</v>
      </c>
      <c r="K110" s="84"/>
      <c r="L110" s="84"/>
      <c r="M110" s="85"/>
      <c r="N110" s="86"/>
    </row>
    <row r="111" spans="1:14" s="87" customFormat="1" ht="24.95" customHeight="1">
      <c r="A111" s="81" t="s">
        <v>45</v>
      </c>
      <c r="B111" s="95">
        <f>$S$9</f>
        <v>0</v>
      </c>
      <c r="C111" s="83"/>
      <c r="D111" s="55"/>
      <c r="E111" s="51">
        <f>F111</f>
        <v>0</v>
      </c>
      <c r="F111" s="56">
        <f t="shared" si="22"/>
        <v>0</v>
      </c>
      <c r="G111" s="82"/>
      <c r="H111" s="82"/>
      <c r="I111" s="56"/>
      <c r="J111" s="56">
        <f>TRUNC(J110*B111,0)</f>
        <v>0</v>
      </c>
      <c r="K111" s="82"/>
      <c r="L111" s="82"/>
      <c r="M111" s="96"/>
      <c r="N111" s="86"/>
    </row>
    <row r="112" spans="1:14" s="87" customFormat="1" ht="24.95" customHeight="1">
      <c r="A112" s="81"/>
      <c r="B112" s="95"/>
      <c r="C112" s="83"/>
      <c r="D112" s="55"/>
      <c r="E112" s="51"/>
      <c r="F112" s="56"/>
      <c r="G112" s="82"/>
      <c r="H112" s="82"/>
      <c r="I112" s="56"/>
      <c r="J112" s="56"/>
      <c r="K112" s="82"/>
      <c r="L112" s="82"/>
      <c r="M112" s="96"/>
      <c r="N112" s="86"/>
    </row>
    <row r="113" spans="1:14" s="87" customFormat="1" ht="24.95" customHeight="1">
      <c r="A113" s="81"/>
      <c r="B113" s="82"/>
      <c r="C113" s="83"/>
      <c r="D113" s="55"/>
      <c r="E113" s="51"/>
      <c r="F113" s="56"/>
      <c r="G113" s="82"/>
      <c r="H113" s="82"/>
      <c r="I113" s="82"/>
      <c r="J113" s="82"/>
      <c r="K113" s="82"/>
      <c r="L113" s="82"/>
      <c r="M113" s="85"/>
      <c r="N113" s="86"/>
    </row>
    <row r="114" spans="1:14" s="87" customFormat="1" ht="24.95" customHeight="1">
      <c r="A114" s="102" t="s">
        <v>1900</v>
      </c>
      <c r="B114" s="82"/>
      <c r="C114" s="83"/>
      <c r="D114" s="55"/>
      <c r="E114" s="82"/>
      <c r="F114" s="84"/>
      <c r="G114" s="82"/>
      <c r="H114" s="82"/>
      <c r="I114" s="82"/>
      <c r="J114" s="84"/>
      <c r="K114" s="88"/>
      <c r="M114" s="101"/>
      <c r="N114" s="86"/>
    </row>
    <row r="115" spans="1:14" s="87" customFormat="1" ht="24.95" customHeight="1">
      <c r="A115" s="81" t="s">
        <v>150</v>
      </c>
      <c r="B115" s="82"/>
      <c r="C115" s="83">
        <f>'비상대처계획(기준소요인력)'!D20</f>
        <v>4.84</v>
      </c>
      <c r="D115" s="55" t="s">
        <v>41</v>
      </c>
      <c r="E115" s="56">
        <f t="shared" ref="E115:F122" si="24">G115+I115+K115</f>
        <v>467217</v>
      </c>
      <c r="F115" s="56">
        <f t="shared" si="24"/>
        <v>2261330</v>
      </c>
      <c r="G115" s="84"/>
      <c r="H115" s="84"/>
      <c r="I115" s="56">
        <f>$I$4</f>
        <v>467217</v>
      </c>
      <c r="J115" s="56">
        <f t="shared" ref="J115:J120" si="25">INT(I115*C115)</f>
        <v>2261330</v>
      </c>
      <c r="M115" s="101"/>
      <c r="N115" s="86"/>
    </row>
    <row r="116" spans="1:14" s="87" customFormat="1" ht="24.95" customHeight="1">
      <c r="A116" s="81" t="s">
        <v>146</v>
      </c>
      <c r="B116" s="82"/>
      <c r="C116" s="83">
        <f>'비상대처계획(기준소요인력)'!E20</f>
        <v>9.56</v>
      </c>
      <c r="D116" s="55" t="s">
        <v>41</v>
      </c>
      <c r="E116" s="56">
        <f t="shared" si="24"/>
        <v>373353</v>
      </c>
      <c r="F116" s="56">
        <f t="shared" si="24"/>
        <v>3569254</v>
      </c>
      <c r="G116" s="84"/>
      <c r="H116" s="84"/>
      <c r="I116" s="56">
        <f>$I$5</f>
        <v>373353</v>
      </c>
      <c r="J116" s="56">
        <f t="shared" si="25"/>
        <v>3569254</v>
      </c>
      <c r="M116" s="101"/>
      <c r="N116" s="86"/>
    </row>
    <row r="117" spans="1:14" s="87" customFormat="1" ht="24.95" customHeight="1">
      <c r="A117" s="81" t="s">
        <v>139</v>
      </c>
      <c r="B117" s="82"/>
      <c r="C117" s="83">
        <f>'비상대처계획(기준소요인력)'!F20</f>
        <v>13.43</v>
      </c>
      <c r="D117" s="55" t="s">
        <v>41</v>
      </c>
      <c r="E117" s="56">
        <f t="shared" si="24"/>
        <v>310884</v>
      </c>
      <c r="F117" s="56">
        <f t="shared" si="24"/>
        <v>4175172</v>
      </c>
      <c r="G117" s="84"/>
      <c r="H117" s="84"/>
      <c r="I117" s="56">
        <f>$I$6</f>
        <v>310884</v>
      </c>
      <c r="J117" s="56">
        <f t="shared" si="25"/>
        <v>4175172</v>
      </c>
      <c r="M117" s="101"/>
      <c r="N117" s="86"/>
    </row>
    <row r="118" spans="1:14" s="87" customFormat="1" ht="24.95" customHeight="1">
      <c r="A118" s="81" t="s">
        <v>168</v>
      </c>
      <c r="B118" s="82"/>
      <c r="C118" s="83">
        <f>'비상대처계획(기준소요인력)'!G20</f>
        <v>17.18</v>
      </c>
      <c r="D118" s="55" t="s">
        <v>41</v>
      </c>
      <c r="E118" s="56">
        <f t="shared" si="24"/>
        <v>295138</v>
      </c>
      <c r="F118" s="56">
        <f t="shared" si="24"/>
        <v>5070470</v>
      </c>
      <c r="G118" s="84"/>
      <c r="H118" s="84"/>
      <c r="I118" s="56">
        <f>$I$7</f>
        <v>295138</v>
      </c>
      <c r="J118" s="56">
        <f t="shared" si="25"/>
        <v>5070470</v>
      </c>
      <c r="M118" s="101"/>
      <c r="N118" s="86"/>
    </row>
    <row r="119" spans="1:14" s="87" customFormat="1" ht="24.95" customHeight="1">
      <c r="A119" s="81" t="s">
        <v>165</v>
      </c>
      <c r="B119" s="82"/>
      <c r="C119" s="83">
        <f>'비상대처계획(기준소요인력)'!H20</f>
        <v>8.23</v>
      </c>
      <c r="D119" s="55" t="s">
        <v>41</v>
      </c>
      <c r="E119" s="56">
        <f t="shared" si="24"/>
        <v>235459</v>
      </c>
      <c r="F119" s="56">
        <f t="shared" si="24"/>
        <v>1937827</v>
      </c>
      <c r="G119" s="84"/>
      <c r="H119" s="84"/>
      <c r="I119" s="56">
        <f>$I$8</f>
        <v>235459</v>
      </c>
      <c r="J119" s="56">
        <f t="shared" si="25"/>
        <v>1937827</v>
      </c>
      <c r="M119" s="101"/>
      <c r="N119" s="86"/>
    </row>
    <row r="120" spans="1:14" s="87" customFormat="1" ht="24.95" customHeight="1">
      <c r="A120" s="81" t="s">
        <v>179</v>
      </c>
      <c r="B120" s="82"/>
      <c r="C120" s="83">
        <f>'비상대처계획(기준소요인력)'!I20</f>
        <v>4.78</v>
      </c>
      <c r="D120" s="55" t="s">
        <v>41</v>
      </c>
      <c r="E120" s="56">
        <f t="shared" si="24"/>
        <v>250087</v>
      </c>
      <c r="F120" s="56">
        <f t="shared" si="24"/>
        <v>1195415</v>
      </c>
      <c r="G120" s="84"/>
      <c r="H120" s="84"/>
      <c r="I120" s="56">
        <f>$I$9</f>
        <v>250087</v>
      </c>
      <c r="J120" s="56">
        <f t="shared" si="25"/>
        <v>1195415</v>
      </c>
      <c r="M120" s="101"/>
      <c r="N120" s="86"/>
    </row>
    <row r="121" spans="1:14" s="87" customFormat="1" ht="24.95" customHeight="1">
      <c r="A121" s="81" t="s">
        <v>39</v>
      </c>
      <c r="B121" s="82"/>
      <c r="C121" s="83"/>
      <c r="D121" s="55"/>
      <c r="E121" s="56"/>
      <c r="F121" s="56">
        <f t="shared" si="24"/>
        <v>18209468</v>
      </c>
      <c r="G121" s="84"/>
      <c r="H121" s="84"/>
      <c r="I121" s="56"/>
      <c r="J121" s="56">
        <f>SUM(J115:J120)</f>
        <v>18209468</v>
      </c>
      <c r="M121" s="101"/>
      <c r="N121" s="86"/>
    </row>
    <row r="122" spans="1:14" s="87" customFormat="1" ht="24.95" customHeight="1">
      <c r="A122" s="81" t="s">
        <v>45</v>
      </c>
      <c r="B122" s="95">
        <f>$S$9</f>
        <v>0</v>
      </c>
      <c r="C122" s="83"/>
      <c r="D122" s="55"/>
      <c r="E122" s="51">
        <f>F122</f>
        <v>0</v>
      </c>
      <c r="F122" s="56">
        <f t="shared" si="24"/>
        <v>0</v>
      </c>
      <c r="G122" s="82"/>
      <c r="H122" s="82"/>
      <c r="I122" s="56"/>
      <c r="J122" s="56">
        <f>TRUNC(J121*B122,0)</f>
        <v>0</v>
      </c>
      <c r="M122" s="101"/>
      <c r="N122" s="86"/>
    </row>
    <row r="123" spans="1:14" s="87" customFormat="1" ht="24.95" customHeight="1">
      <c r="A123" s="102" t="s">
        <v>1901</v>
      </c>
      <c r="B123" s="82"/>
      <c r="C123" s="83"/>
      <c r="D123" s="55"/>
      <c r="E123" s="82"/>
      <c r="F123" s="84"/>
      <c r="G123" s="82"/>
      <c r="H123" s="82"/>
      <c r="I123" s="82"/>
      <c r="J123" s="84"/>
      <c r="K123" s="84"/>
      <c r="L123" s="84"/>
      <c r="M123" s="85"/>
      <c r="N123" s="86"/>
    </row>
    <row r="124" spans="1:14" s="87" customFormat="1" ht="24.95" customHeight="1">
      <c r="A124" s="81" t="s">
        <v>150</v>
      </c>
      <c r="B124" s="82"/>
      <c r="C124" s="83">
        <f>'비상대처계획(기준소요인력)'!D21</f>
        <v>2.2599999999999998</v>
      </c>
      <c r="D124" s="55" t="s">
        <v>41</v>
      </c>
      <c r="E124" s="56">
        <f t="shared" ref="E124:F131" si="26">G124+I124+K124</f>
        <v>467217</v>
      </c>
      <c r="F124" s="56">
        <f t="shared" si="26"/>
        <v>1055910</v>
      </c>
      <c r="G124" s="84"/>
      <c r="H124" s="84"/>
      <c r="I124" s="56">
        <f>$I$4</f>
        <v>467217</v>
      </c>
      <c r="J124" s="56">
        <f t="shared" ref="J124:J129" si="27">INT(I124*C124)</f>
        <v>1055910</v>
      </c>
      <c r="K124" s="84"/>
      <c r="L124" s="84"/>
      <c r="M124" s="85"/>
      <c r="N124" s="86"/>
    </row>
    <row r="125" spans="1:14" s="87" customFormat="1" ht="24.95" customHeight="1">
      <c r="A125" s="81" t="s">
        <v>146</v>
      </c>
      <c r="B125" s="82"/>
      <c r="C125" s="83">
        <f>'비상대처계획(기준소요인력)'!E21</f>
        <v>4.46</v>
      </c>
      <c r="D125" s="55" t="s">
        <v>41</v>
      </c>
      <c r="E125" s="56">
        <f t="shared" si="26"/>
        <v>373353</v>
      </c>
      <c r="F125" s="56">
        <f t="shared" si="26"/>
        <v>1665154</v>
      </c>
      <c r="G125" s="84"/>
      <c r="H125" s="84"/>
      <c r="I125" s="56">
        <f>$I$5</f>
        <v>373353</v>
      </c>
      <c r="J125" s="56">
        <f t="shared" si="27"/>
        <v>1665154</v>
      </c>
      <c r="K125" s="84"/>
      <c r="L125" s="84"/>
      <c r="M125" s="85"/>
      <c r="N125" s="86"/>
    </row>
    <row r="126" spans="1:14" s="87" customFormat="1" ht="24.95" customHeight="1">
      <c r="A126" s="81" t="s">
        <v>139</v>
      </c>
      <c r="B126" s="82"/>
      <c r="C126" s="83">
        <f>'비상대처계획(기준소요인력)'!F21</f>
        <v>6.27</v>
      </c>
      <c r="D126" s="55" t="s">
        <v>41</v>
      </c>
      <c r="E126" s="56">
        <f t="shared" si="26"/>
        <v>310884</v>
      </c>
      <c r="F126" s="56">
        <f t="shared" si="26"/>
        <v>1949242</v>
      </c>
      <c r="G126" s="84"/>
      <c r="H126" s="84"/>
      <c r="I126" s="56">
        <f>$I$6</f>
        <v>310884</v>
      </c>
      <c r="J126" s="56">
        <f t="shared" si="27"/>
        <v>1949242</v>
      </c>
      <c r="K126" s="84"/>
      <c r="L126" s="84"/>
      <c r="M126" s="85"/>
      <c r="N126" s="86"/>
    </row>
    <row r="127" spans="1:14" s="87" customFormat="1" ht="24.95" customHeight="1">
      <c r="A127" s="81" t="s">
        <v>168</v>
      </c>
      <c r="B127" s="82"/>
      <c r="C127" s="83">
        <f>'비상대처계획(기준소요인력)'!G21</f>
        <v>8.02</v>
      </c>
      <c r="D127" s="55" t="s">
        <v>41</v>
      </c>
      <c r="E127" s="56">
        <f t="shared" si="26"/>
        <v>295138</v>
      </c>
      <c r="F127" s="56">
        <f t="shared" si="26"/>
        <v>2367006</v>
      </c>
      <c r="G127" s="84"/>
      <c r="H127" s="84"/>
      <c r="I127" s="56">
        <f>$I$7</f>
        <v>295138</v>
      </c>
      <c r="J127" s="56">
        <f t="shared" si="27"/>
        <v>2367006</v>
      </c>
      <c r="K127" s="84"/>
      <c r="L127" s="84"/>
      <c r="M127" s="85"/>
      <c r="N127" s="86"/>
    </row>
    <row r="128" spans="1:14" s="87" customFormat="1" ht="24.95" customHeight="1">
      <c r="A128" s="81" t="s">
        <v>165</v>
      </c>
      <c r="B128" s="82"/>
      <c r="C128" s="83">
        <f>'비상대처계획(기준소요인력)'!H21</f>
        <v>3.84</v>
      </c>
      <c r="D128" s="55" t="s">
        <v>41</v>
      </c>
      <c r="E128" s="56">
        <f t="shared" si="26"/>
        <v>235459</v>
      </c>
      <c r="F128" s="56">
        <f t="shared" si="26"/>
        <v>904162</v>
      </c>
      <c r="G128" s="84"/>
      <c r="H128" s="84"/>
      <c r="I128" s="56">
        <f>$I$8</f>
        <v>235459</v>
      </c>
      <c r="J128" s="56">
        <f t="shared" si="27"/>
        <v>904162</v>
      </c>
      <c r="K128" s="84"/>
      <c r="L128" s="84"/>
      <c r="M128" s="85"/>
      <c r="N128" s="86"/>
    </row>
    <row r="129" spans="1:14" s="87" customFormat="1" ht="24.95" customHeight="1">
      <c r="A129" s="81" t="s">
        <v>179</v>
      </c>
      <c r="B129" s="82"/>
      <c r="C129" s="83">
        <f>'비상대처계획(기준소요인력)'!I21</f>
        <v>2.23</v>
      </c>
      <c r="D129" s="55" t="s">
        <v>41</v>
      </c>
      <c r="E129" s="56">
        <f t="shared" si="26"/>
        <v>250087</v>
      </c>
      <c r="F129" s="56">
        <f t="shared" si="26"/>
        <v>557694</v>
      </c>
      <c r="G129" s="84"/>
      <c r="H129" s="84"/>
      <c r="I129" s="56">
        <f>$I$9</f>
        <v>250087</v>
      </c>
      <c r="J129" s="56">
        <f t="shared" si="27"/>
        <v>557694</v>
      </c>
      <c r="K129" s="84"/>
      <c r="L129" s="84"/>
      <c r="M129" s="85"/>
      <c r="N129" s="86"/>
    </row>
    <row r="130" spans="1:14" s="87" customFormat="1" ht="24.95" customHeight="1">
      <c r="A130" s="81" t="s">
        <v>39</v>
      </c>
      <c r="B130" s="82"/>
      <c r="C130" s="83"/>
      <c r="D130" s="55"/>
      <c r="E130" s="56"/>
      <c r="F130" s="56">
        <f t="shared" si="26"/>
        <v>8499168</v>
      </c>
      <c r="G130" s="84"/>
      <c r="H130" s="84"/>
      <c r="I130" s="56"/>
      <c r="J130" s="56">
        <f>SUM(J124:J129)</f>
        <v>8499168</v>
      </c>
      <c r="K130" s="84"/>
      <c r="L130" s="84"/>
      <c r="M130" s="85"/>
      <c r="N130" s="86"/>
    </row>
    <row r="131" spans="1:14" s="87" customFormat="1" ht="24.95" customHeight="1">
      <c r="A131" s="81" t="s">
        <v>45</v>
      </c>
      <c r="B131" s="95">
        <f>$S$9</f>
        <v>0</v>
      </c>
      <c r="C131" s="83"/>
      <c r="D131" s="55"/>
      <c r="E131" s="51">
        <f>F131</f>
        <v>0</v>
      </c>
      <c r="F131" s="56">
        <f t="shared" si="26"/>
        <v>0</v>
      </c>
      <c r="G131" s="82"/>
      <c r="H131" s="82"/>
      <c r="I131" s="56"/>
      <c r="J131" s="56">
        <f>TRUNC(J130*B131,0)</f>
        <v>0</v>
      </c>
      <c r="K131" s="82"/>
      <c r="L131" s="82"/>
      <c r="M131" s="96"/>
      <c r="N131" s="86"/>
    </row>
    <row r="132" spans="1:14" s="87" customFormat="1" ht="24.95" customHeight="1">
      <c r="A132" s="81"/>
      <c r="B132" s="95"/>
      <c r="C132" s="83"/>
      <c r="D132" s="55"/>
      <c r="E132" s="51"/>
      <c r="F132" s="56"/>
      <c r="G132" s="82"/>
      <c r="H132" s="82"/>
      <c r="I132" s="56"/>
      <c r="J132" s="56"/>
      <c r="K132" s="82"/>
      <c r="L132" s="82"/>
      <c r="M132" s="96"/>
      <c r="N132" s="86"/>
    </row>
    <row r="133" spans="1:14" s="87" customFormat="1" ht="24.95" customHeight="1">
      <c r="A133" s="81"/>
      <c r="B133" s="82"/>
      <c r="C133" s="83"/>
      <c r="D133" s="55"/>
      <c r="E133" s="51"/>
      <c r="F133" s="56"/>
      <c r="G133" s="82"/>
      <c r="H133" s="82"/>
      <c r="I133" s="82"/>
      <c r="J133" s="82"/>
      <c r="K133" s="82"/>
      <c r="L133" s="82"/>
      <c r="M133" s="85"/>
      <c r="N133" s="86"/>
    </row>
    <row r="134" spans="1:14" s="87" customFormat="1" ht="24.95" customHeight="1">
      <c r="A134" s="102" t="s">
        <v>1902</v>
      </c>
      <c r="B134" s="82"/>
      <c r="C134" s="83"/>
      <c r="D134" s="55"/>
      <c r="E134" s="82"/>
      <c r="F134" s="84"/>
      <c r="G134" s="82"/>
      <c r="H134" s="82"/>
      <c r="I134" s="82"/>
      <c r="J134" s="84"/>
      <c r="K134" s="88"/>
      <c r="M134" s="101"/>
      <c r="N134" s="86"/>
    </row>
    <row r="135" spans="1:14" s="87" customFormat="1" ht="24.95" customHeight="1">
      <c r="A135" s="81" t="s">
        <v>150</v>
      </c>
      <c r="B135" s="82"/>
      <c r="C135" s="83">
        <f>'비상대처계획(기준소요인력)'!D22</f>
        <v>0</v>
      </c>
      <c r="D135" s="55" t="s">
        <v>41</v>
      </c>
      <c r="E135" s="56">
        <f t="shared" ref="E135:F142" si="28">G135+I135+K135</f>
        <v>467217</v>
      </c>
      <c r="F135" s="56">
        <f t="shared" si="28"/>
        <v>0</v>
      </c>
      <c r="G135" s="84"/>
      <c r="H135" s="84"/>
      <c r="I135" s="56">
        <f>$I$4</f>
        <v>467217</v>
      </c>
      <c r="J135" s="56">
        <f t="shared" ref="J135:J140" si="29">INT(I135*C135)</f>
        <v>0</v>
      </c>
      <c r="M135" s="101"/>
      <c r="N135" s="86"/>
    </row>
    <row r="136" spans="1:14" s="87" customFormat="1" ht="24.95" customHeight="1">
      <c r="A136" s="81" t="s">
        <v>146</v>
      </c>
      <c r="B136" s="82"/>
      <c r="C136" s="83">
        <f>'비상대처계획(기준소요인력)'!E22</f>
        <v>0</v>
      </c>
      <c r="D136" s="55" t="s">
        <v>41</v>
      </c>
      <c r="E136" s="56">
        <f t="shared" si="28"/>
        <v>373353</v>
      </c>
      <c r="F136" s="56">
        <f t="shared" si="28"/>
        <v>0</v>
      </c>
      <c r="G136" s="84"/>
      <c r="H136" s="84"/>
      <c r="I136" s="56">
        <f>$I$5</f>
        <v>373353</v>
      </c>
      <c r="J136" s="56">
        <f t="shared" si="29"/>
        <v>0</v>
      </c>
      <c r="M136" s="101"/>
      <c r="N136" s="86"/>
    </row>
    <row r="137" spans="1:14" s="87" customFormat="1" ht="24.95" customHeight="1">
      <c r="A137" s="81" t="s">
        <v>139</v>
      </c>
      <c r="B137" s="82"/>
      <c r="C137" s="83">
        <f>'비상대처계획(기준소요인력)'!F22</f>
        <v>0.36</v>
      </c>
      <c r="D137" s="55" t="s">
        <v>41</v>
      </c>
      <c r="E137" s="56">
        <f t="shared" si="28"/>
        <v>310884</v>
      </c>
      <c r="F137" s="56">
        <f t="shared" si="28"/>
        <v>111918</v>
      </c>
      <c r="G137" s="84"/>
      <c r="H137" s="84"/>
      <c r="I137" s="56">
        <f>$I$6</f>
        <v>310884</v>
      </c>
      <c r="J137" s="56">
        <f t="shared" si="29"/>
        <v>111918</v>
      </c>
      <c r="M137" s="101"/>
      <c r="N137" s="86"/>
    </row>
    <row r="138" spans="1:14" s="87" customFormat="1" ht="24.95" customHeight="1">
      <c r="A138" s="81" t="s">
        <v>168</v>
      </c>
      <c r="B138" s="82"/>
      <c r="C138" s="83">
        <f>'비상대처계획(기준소요인력)'!G22</f>
        <v>1.8</v>
      </c>
      <c r="D138" s="55" t="s">
        <v>41</v>
      </c>
      <c r="E138" s="56">
        <f t="shared" si="28"/>
        <v>295138</v>
      </c>
      <c r="F138" s="56">
        <f t="shared" si="28"/>
        <v>531248</v>
      </c>
      <c r="G138" s="84"/>
      <c r="H138" s="84"/>
      <c r="I138" s="56">
        <f>$I$7</f>
        <v>295138</v>
      </c>
      <c r="J138" s="56">
        <f t="shared" si="29"/>
        <v>531248</v>
      </c>
      <c r="M138" s="101"/>
      <c r="N138" s="86"/>
    </row>
    <row r="139" spans="1:14" s="87" customFormat="1" ht="24.95" customHeight="1">
      <c r="A139" s="81" t="s">
        <v>165</v>
      </c>
      <c r="B139" s="82"/>
      <c r="C139" s="83">
        <f>'비상대처계획(기준소요인력)'!H22</f>
        <v>0</v>
      </c>
      <c r="D139" s="55" t="s">
        <v>41</v>
      </c>
      <c r="E139" s="56">
        <f t="shared" si="28"/>
        <v>235459</v>
      </c>
      <c r="F139" s="56">
        <f t="shared" si="28"/>
        <v>0</v>
      </c>
      <c r="G139" s="84"/>
      <c r="H139" s="84"/>
      <c r="I139" s="56">
        <f>$I$8</f>
        <v>235459</v>
      </c>
      <c r="J139" s="56">
        <f t="shared" si="29"/>
        <v>0</v>
      </c>
      <c r="M139" s="101"/>
      <c r="N139" s="86"/>
    </row>
    <row r="140" spans="1:14" s="87" customFormat="1" ht="24.95" customHeight="1">
      <c r="A140" s="81" t="s">
        <v>179</v>
      </c>
      <c r="B140" s="82"/>
      <c r="C140" s="83">
        <f>'비상대처계획(기준소요인력)'!I22</f>
        <v>2.16</v>
      </c>
      <c r="D140" s="55" t="s">
        <v>41</v>
      </c>
      <c r="E140" s="56">
        <f t="shared" si="28"/>
        <v>250087</v>
      </c>
      <c r="F140" s="56">
        <f t="shared" si="28"/>
        <v>540187</v>
      </c>
      <c r="G140" s="84"/>
      <c r="H140" s="84"/>
      <c r="I140" s="56">
        <f>$I$9</f>
        <v>250087</v>
      </c>
      <c r="J140" s="56">
        <f t="shared" si="29"/>
        <v>540187</v>
      </c>
      <c r="M140" s="101"/>
      <c r="N140" s="86"/>
    </row>
    <row r="141" spans="1:14" s="87" customFormat="1" ht="24.95" customHeight="1">
      <c r="A141" s="81" t="s">
        <v>39</v>
      </c>
      <c r="B141" s="82"/>
      <c r="C141" s="83"/>
      <c r="D141" s="55"/>
      <c r="E141" s="56"/>
      <c r="F141" s="56">
        <f t="shared" si="28"/>
        <v>1183353</v>
      </c>
      <c r="G141" s="84"/>
      <c r="H141" s="84"/>
      <c r="I141" s="56"/>
      <c r="J141" s="56">
        <f>SUM(J135:J140)</f>
        <v>1183353</v>
      </c>
      <c r="M141" s="101"/>
      <c r="N141" s="86"/>
    </row>
    <row r="142" spans="1:14" s="87" customFormat="1" ht="24.95" customHeight="1">
      <c r="A142" s="81" t="s">
        <v>45</v>
      </c>
      <c r="B142" s="95">
        <f>$S$9</f>
        <v>0</v>
      </c>
      <c r="C142" s="83"/>
      <c r="D142" s="55"/>
      <c r="E142" s="51">
        <f>F142</f>
        <v>0</v>
      </c>
      <c r="F142" s="56">
        <f t="shared" si="28"/>
        <v>0</v>
      </c>
      <c r="G142" s="82"/>
      <c r="H142" s="82"/>
      <c r="I142" s="56"/>
      <c r="J142" s="56">
        <f>TRUNC(J141*B142,0)</f>
        <v>0</v>
      </c>
      <c r="M142" s="101"/>
      <c r="N142" s="86"/>
    </row>
    <row r="143" spans="1:14" s="87" customFormat="1" ht="24.95" customHeight="1">
      <c r="A143" s="102" t="s">
        <v>1903</v>
      </c>
      <c r="B143" s="82"/>
      <c r="C143" s="83"/>
      <c r="D143" s="55"/>
      <c r="E143" s="82"/>
      <c r="F143" s="84"/>
      <c r="G143" s="82"/>
      <c r="H143" s="82"/>
      <c r="I143" s="82"/>
      <c r="J143" s="84"/>
      <c r="K143" s="84"/>
      <c r="L143" s="84"/>
      <c r="M143" s="85"/>
      <c r="N143" s="86"/>
    </row>
    <row r="144" spans="1:14" s="87" customFormat="1" ht="24.95" customHeight="1">
      <c r="A144" s="81" t="s">
        <v>150</v>
      </c>
      <c r="B144" s="82"/>
      <c r="C144" s="83">
        <f>'비상대처계획(기준소요인력)'!D23</f>
        <v>4</v>
      </c>
      <c r="D144" s="55" t="s">
        <v>41</v>
      </c>
      <c r="E144" s="56">
        <f t="shared" ref="E144:F151" si="30">G144+I144+K144</f>
        <v>467217</v>
      </c>
      <c r="F144" s="56">
        <f t="shared" si="30"/>
        <v>1868868</v>
      </c>
      <c r="G144" s="84"/>
      <c r="H144" s="84"/>
      <c r="I144" s="56">
        <f>$I$4</f>
        <v>467217</v>
      </c>
      <c r="J144" s="56">
        <f t="shared" ref="J144:J149" si="31">INT(I144*C144)</f>
        <v>1868868</v>
      </c>
      <c r="K144" s="84"/>
      <c r="L144" s="84"/>
      <c r="M144" s="85"/>
      <c r="N144" s="86"/>
    </row>
    <row r="145" spans="1:14" s="87" customFormat="1" ht="24.95" customHeight="1">
      <c r="A145" s="81" t="s">
        <v>146</v>
      </c>
      <c r="B145" s="82"/>
      <c r="C145" s="83">
        <f>'비상대처계획(기준소요인력)'!E23</f>
        <v>8</v>
      </c>
      <c r="D145" s="55" t="s">
        <v>41</v>
      </c>
      <c r="E145" s="56">
        <f t="shared" si="30"/>
        <v>373353</v>
      </c>
      <c r="F145" s="56">
        <f t="shared" si="30"/>
        <v>2986824</v>
      </c>
      <c r="G145" s="84"/>
      <c r="H145" s="84"/>
      <c r="I145" s="56">
        <f>$I$5</f>
        <v>373353</v>
      </c>
      <c r="J145" s="56">
        <f t="shared" si="31"/>
        <v>2986824</v>
      </c>
      <c r="K145" s="84"/>
      <c r="L145" s="84"/>
      <c r="M145" s="85"/>
      <c r="N145" s="86"/>
    </row>
    <row r="146" spans="1:14" s="87" customFormat="1" ht="24.95" customHeight="1">
      <c r="A146" s="81" t="s">
        <v>139</v>
      </c>
      <c r="B146" s="82"/>
      <c r="C146" s="83">
        <f>'비상대처계획(기준소요인력)'!F23</f>
        <v>15</v>
      </c>
      <c r="D146" s="55" t="s">
        <v>41</v>
      </c>
      <c r="E146" s="56">
        <f t="shared" si="30"/>
        <v>310884</v>
      </c>
      <c r="F146" s="56">
        <f t="shared" si="30"/>
        <v>4663260</v>
      </c>
      <c r="G146" s="84"/>
      <c r="H146" s="84"/>
      <c r="I146" s="56">
        <f>$I$6</f>
        <v>310884</v>
      </c>
      <c r="J146" s="56">
        <f t="shared" si="31"/>
        <v>4663260</v>
      </c>
      <c r="K146" s="84"/>
      <c r="L146" s="84"/>
      <c r="M146" s="85"/>
      <c r="N146" s="86"/>
    </row>
    <row r="147" spans="1:14" s="87" customFormat="1" ht="24.95" customHeight="1">
      <c r="A147" s="81" t="s">
        <v>168</v>
      </c>
      <c r="B147" s="82"/>
      <c r="C147" s="83">
        <f>'비상대처계획(기준소요인력)'!G23</f>
        <v>18.5</v>
      </c>
      <c r="D147" s="55" t="s">
        <v>41</v>
      </c>
      <c r="E147" s="56">
        <f t="shared" si="30"/>
        <v>295138</v>
      </c>
      <c r="F147" s="56">
        <f t="shared" si="30"/>
        <v>5460053</v>
      </c>
      <c r="G147" s="84"/>
      <c r="H147" s="84"/>
      <c r="I147" s="56">
        <f>$I$7</f>
        <v>295138</v>
      </c>
      <c r="J147" s="56">
        <f t="shared" si="31"/>
        <v>5460053</v>
      </c>
      <c r="K147" s="84"/>
      <c r="L147" s="84"/>
      <c r="M147" s="85"/>
      <c r="N147" s="86"/>
    </row>
    <row r="148" spans="1:14" s="87" customFormat="1" ht="24.95" customHeight="1">
      <c r="A148" s="81" t="s">
        <v>165</v>
      </c>
      <c r="B148" s="82"/>
      <c r="C148" s="83">
        <f>'비상대처계획(기준소요인력)'!H23</f>
        <v>11.5</v>
      </c>
      <c r="D148" s="55" t="s">
        <v>41</v>
      </c>
      <c r="E148" s="56">
        <f t="shared" si="30"/>
        <v>235459</v>
      </c>
      <c r="F148" s="56">
        <f t="shared" si="30"/>
        <v>2707778</v>
      </c>
      <c r="G148" s="84"/>
      <c r="H148" s="84"/>
      <c r="I148" s="56">
        <f>$I$8</f>
        <v>235459</v>
      </c>
      <c r="J148" s="56">
        <f t="shared" si="31"/>
        <v>2707778</v>
      </c>
      <c r="K148" s="84"/>
      <c r="L148" s="84"/>
      <c r="M148" s="85"/>
      <c r="N148" s="86"/>
    </row>
    <row r="149" spans="1:14" s="87" customFormat="1" ht="24.95" customHeight="1">
      <c r="A149" s="81" t="s">
        <v>179</v>
      </c>
      <c r="B149" s="82"/>
      <c r="C149" s="83">
        <f>'비상대처계획(기준소요인력)'!I23</f>
        <v>5.5</v>
      </c>
      <c r="D149" s="55" t="s">
        <v>41</v>
      </c>
      <c r="E149" s="56">
        <f t="shared" si="30"/>
        <v>250087</v>
      </c>
      <c r="F149" s="56">
        <f t="shared" si="30"/>
        <v>1375478</v>
      </c>
      <c r="G149" s="84"/>
      <c r="H149" s="84"/>
      <c r="I149" s="56">
        <f>$I$9</f>
        <v>250087</v>
      </c>
      <c r="J149" s="56">
        <f t="shared" si="31"/>
        <v>1375478</v>
      </c>
      <c r="K149" s="84"/>
      <c r="L149" s="84"/>
      <c r="M149" s="85"/>
      <c r="N149" s="86"/>
    </row>
    <row r="150" spans="1:14" s="87" customFormat="1" ht="24.95" customHeight="1">
      <c r="A150" s="81" t="s">
        <v>39</v>
      </c>
      <c r="B150" s="82"/>
      <c r="C150" s="83"/>
      <c r="D150" s="55"/>
      <c r="E150" s="56"/>
      <c r="F150" s="56">
        <f t="shared" si="30"/>
        <v>19062261</v>
      </c>
      <c r="G150" s="84"/>
      <c r="H150" s="84"/>
      <c r="I150" s="56"/>
      <c r="J150" s="56">
        <f>SUM(J144:J149)</f>
        <v>19062261</v>
      </c>
      <c r="K150" s="84"/>
      <c r="L150" s="84"/>
      <c r="M150" s="85"/>
      <c r="N150" s="86"/>
    </row>
    <row r="151" spans="1:14" s="87" customFormat="1" ht="24.95" customHeight="1">
      <c r="A151" s="81" t="s">
        <v>45</v>
      </c>
      <c r="B151" s="95">
        <f>$S$9</f>
        <v>0</v>
      </c>
      <c r="C151" s="83"/>
      <c r="D151" s="55"/>
      <c r="E151" s="51">
        <f>F151</f>
        <v>0</v>
      </c>
      <c r="F151" s="56">
        <f t="shared" si="30"/>
        <v>0</v>
      </c>
      <c r="G151" s="82"/>
      <c r="H151" s="82"/>
      <c r="I151" s="56"/>
      <c r="J151" s="56">
        <f>TRUNC(J150*B151,0)</f>
        <v>0</v>
      </c>
      <c r="K151" s="82"/>
      <c r="L151" s="82"/>
      <c r="M151" s="96"/>
      <c r="N151" s="86"/>
    </row>
    <row r="152" spans="1:14" s="87" customFormat="1" ht="24.95" customHeight="1">
      <c r="A152" s="81"/>
      <c r="B152" s="95"/>
      <c r="C152" s="83"/>
      <c r="D152" s="55"/>
      <c r="E152" s="51"/>
      <c r="F152" s="56"/>
      <c r="G152" s="82"/>
      <c r="H152" s="82"/>
      <c r="I152" s="56"/>
      <c r="J152" s="56"/>
      <c r="K152" s="82"/>
      <c r="L152" s="82"/>
      <c r="M152" s="96"/>
      <c r="N152" s="86"/>
    </row>
    <row r="153" spans="1:14" s="87" customFormat="1" ht="24.95" customHeight="1">
      <c r="A153" s="81"/>
      <c r="B153" s="82"/>
      <c r="C153" s="83"/>
      <c r="D153" s="55"/>
      <c r="E153" s="51"/>
      <c r="F153" s="56"/>
      <c r="G153" s="82"/>
      <c r="H153" s="82"/>
      <c r="I153" s="82"/>
      <c r="J153" s="82"/>
      <c r="K153" s="82"/>
      <c r="L153" s="82"/>
      <c r="M153" s="85"/>
      <c r="N153" s="86"/>
    </row>
    <row r="154" spans="1:14" s="87" customFormat="1" ht="24.95" customHeight="1">
      <c r="A154" s="102" t="s">
        <v>1904</v>
      </c>
      <c r="B154" s="82"/>
      <c r="C154" s="83"/>
      <c r="D154" s="55"/>
      <c r="E154" s="82"/>
      <c r="F154" s="84"/>
      <c r="G154" s="82"/>
      <c r="H154" s="82"/>
      <c r="I154" s="82"/>
      <c r="J154" s="84"/>
      <c r="K154" s="88"/>
      <c r="M154" s="101"/>
      <c r="N154" s="86"/>
    </row>
    <row r="155" spans="1:14" s="87" customFormat="1" ht="24.95" customHeight="1">
      <c r="A155" s="81" t="s">
        <v>150</v>
      </c>
      <c r="B155" s="82"/>
      <c r="C155" s="83">
        <f>'비상대처계획(기준소요인력)'!D24</f>
        <v>12</v>
      </c>
      <c r="D155" s="55" t="s">
        <v>41</v>
      </c>
      <c r="E155" s="56">
        <f t="shared" ref="E155:F162" si="32">G155+I155+K155</f>
        <v>467217</v>
      </c>
      <c r="F155" s="56">
        <f t="shared" si="32"/>
        <v>5606604</v>
      </c>
      <c r="G155" s="84"/>
      <c r="H155" s="84"/>
      <c r="I155" s="56">
        <f>$I$4</f>
        <v>467217</v>
      </c>
      <c r="J155" s="56">
        <f t="shared" ref="J155:J160" si="33">INT(I155*C155)</f>
        <v>5606604</v>
      </c>
      <c r="M155" s="101"/>
      <c r="N155" s="86"/>
    </row>
    <row r="156" spans="1:14" s="87" customFormat="1" ht="24.95" customHeight="1">
      <c r="A156" s="81" t="s">
        <v>146</v>
      </c>
      <c r="B156" s="82"/>
      <c r="C156" s="83">
        <f>'비상대처계획(기준소요인력)'!E24</f>
        <v>20</v>
      </c>
      <c r="D156" s="55" t="s">
        <v>41</v>
      </c>
      <c r="E156" s="56">
        <f t="shared" si="32"/>
        <v>373353</v>
      </c>
      <c r="F156" s="56">
        <f t="shared" si="32"/>
        <v>7467060</v>
      </c>
      <c r="G156" s="84"/>
      <c r="H156" s="84"/>
      <c r="I156" s="56">
        <f>$I$5</f>
        <v>373353</v>
      </c>
      <c r="J156" s="56">
        <f t="shared" si="33"/>
        <v>7467060</v>
      </c>
      <c r="M156" s="101"/>
      <c r="N156" s="86"/>
    </row>
    <row r="157" spans="1:14" s="87" customFormat="1" ht="24.95" customHeight="1">
      <c r="A157" s="81" t="s">
        <v>139</v>
      </c>
      <c r="B157" s="82"/>
      <c r="C157" s="83">
        <f>'비상대처계획(기준소요인력)'!F24</f>
        <v>45</v>
      </c>
      <c r="D157" s="55" t="s">
        <v>41</v>
      </c>
      <c r="E157" s="56">
        <f t="shared" si="32"/>
        <v>310884</v>
      </c>
      <c r="F157" s="56">
        <f t="shared" si="32"/>
        <v>13989780</v>
      </c>
      <c r="G157" s="84"/>
      <c r="H157" s="84"/>
      <c r="I157" s="56">
        <f>$I$6</f>
        <v>310884</v>
      </c>
      <c r="J157" s="56">
        <f t="shared" si="33"/>
        <v>13989780</v>
      </c>
      <c r="M157" s="101"/>
      <c r="N157" s="86"/>
    </row>
    <row r="158" spans="1:14" s="87" customFormat="1" ht="24.95" customHeight="1">
      <c r="A158" s="81" t="s">
        <v>168</v>
      </c>
      <c r="B158" s="82"/>
      <c r="C158" s="83">
        <f>'비상대처계획(기준소요인력)'!G24</f>
        <v>37</v>
      </c>
      <c r="D158" s="55" t="s">
        <v>41</v>
      </c>
      <c r="E158" s="56">
        <f t="shared" si="32"/>
        <v>295138</v>
      </c>
      <c r="F158" s="56">
        <f t="shared" si="32"/>
        <v>10920106</v>
      </c>
      <c r="G158" s="84"/>
      <c r="H158" s="84"/>
      <c r="I158" s="56">
        <f>$I$7</f>
        <v>295138</v>
      </c>
      <c r="J158" s="56">
        <f t="shared" si="33"/>
        <v>10920106</v>
      </c>
      <c r="M158" s="101"/>
      <c r="N158" s="86"/>
    </row>
    <row r="159" spans="1:14" s="87" customFormat="1" ht="24.95" customHeight="1">
      <c r="A159" s="81" t="s">
        <v>165</v>
      </c>
      <c r="B159" s="82"/>
      <c r="C159" s="83">
        <f>'비상대처계획(기준소요인력)'!H24</f>
        <v>23</v>
      </c>
      <c r="D159" s="55" t="s">
        <v>41</v>
      </c>
      <c r="E159" s="56">
        <f t="shared" si="32"/>
        <v>235459</v>
      </c>
      <c r="F159" s="56">
        <f t="shared" si="32"/>
        <v>5415557</v>
      </c>
      <c r="G159" s="84"/>
      <c r="H159" s="84"/>
      <c r="I159" s="56">
        <f>$I$8</f>
        <v>235459</v>
      </c>
      <c r="J159" s="56">
        <f t="shared" si="33"/>
        <v>5415557</v>
      </c>
      <c r="M159" s="101"/>
      <c r="N159" s="86"/>
    </row>
    <row r="160" spans="1:14" s="87" customFormat="1" ht="24.95" customHeight="1">
      <c r="A160" s="81" t="s">
        <v>179</v>
      </c>
      <c r="B160" s="82"/>
      <c r="C160" s="83">
        <f>'비상대처계획(기준소요인력)'!I24</f>
        <v>22</v>
      </c>
      <c r="D160" s="55" t="s">
        <v>41</v>
      </c>
      <c r="E160" s="56">
        <f t="shared" si="32"/>
        <v>250087</v>
      </c>
      <c r="F160" s="56">
        <f t="shared" si="32"/>
        <v>5501914</v>
      </c>
      <c r="G160" s="84"/>
      <c r="H160" s="84"/>
      <c r="I160" s="56">
        <f>$I$9</f>
        <v>250087</v>
      </c>
      <c r="J160" s="56">
        <f t="shared" si="33"/>
        <v>5501914</v>
      </c>
      <c r="M160" s="101"/>
      <c r="N160" s="86"/>
    </row>
    <row r="161" spans="1:14" s="87" customFormat="1" ht="24.95" customHeight="1">
      <c r="A161" s="81" t="s">
        <v>39</v>
      </c>
      <c r="B161" s="82"/>
      <c r="C161" s="83"/>
      <c r="D161" s="55"/>
      <c r="E161" s="56"/>
      <c r="F161" s="56">
        <f t="shared" si="32"/>
        <v>48901021</v>
      </c>
      <c r="G161" s="84"/>
      <c r="H161" s="84"/>
      <c r="I161" s="56"/>
      <c r="J161" s="56">
        <f>SUM(J155:J160)</f>
        <v>48901021</v>
      </c>
      <c r="M161" s="101"/>
      <c r="N161" s="86"/>
    </row>
    <row r="162" spans="1:14" s="87" customFormat="1" ht="24.95" customHeight="1">
      <c r="A162" s="81" t="s">
        <v>45</v>
      </c>
      <c r="B162" s="95">
        <f>$S$9</f>
        <v>0</v>
      </c>
      <c r="C162" s="83"/>
      <c r="D162" s="55"/>
      <c r="E162" s="51">
        <f>F162</f>
        <v>0</v>
      </c>
      <c r="F162" s="56">
        <f t="shared" si="32"/>
        <v>0</v>
      </c>
      <c r="G162" s="82"/>
      <c r="H162" s="82"/>
      <c r="I162" s="56"/>
      <c r="J162" s="56">
        <f>TRUNC(J161*B162,0)</f>
        <v>0</v>
      </c>
      <c r="M162" s="101"/>
      <c r="N162" s="86"/>
    </row>
    <row r="163" spans="1:14" s="87" customFormat="1" ht="24.95" customHeight="1">
      <c r="A163" s="102" t="s">
        <v>1905</v>
      </c>
      <c r="B163" s="82"/>
      <c r="C163" s="83"/>
      <c r="D163" s="55"/>
      <c r="E163" s="82"/>
      <c r="F163" s="84"/>
      <c r="G163" s="82"/>
      <c r="H163" s="82"/>
      <c r="I163" s="82"/>
      <c r="J163" s="84"/>
      <c r="K163" s="84"/>
      <c r="L163" s="84"/>
      <c r="M163" s="85"/>
      <c r="N163" s="86"/>
    </row>
    <row r="164" spans="1:14" s="87" customFormat="1" ht="24.95" customHeight="1">
      <c r="A164" s="81" t="s">
        <v>150</v>
      </c>
      <c r="B164" s="82"/>
      <c r="C164" s="83">
        <f>'비상대처계획(기준소요인력)'!D25</f>
        <v>0</v>
      </c>
      <c r="D164" s="55" t="s">
        <v>41</v>
      </c>
      <c r="E164" s="56">
        <f t="shared" ref="E164:F171" si="34">G164+I164+K164</f>
        <v>467217</v>
      </c>
      <c r="F164" s="56">
        <f t="shared" si="34"/>
        <v>0</v>
      </c>
      <c r="G164" s="84"/>
      <c r="H164" s="84"/>
      <c r="I164" s="56">
        <f>$I$4</f>
        <v>467217</v>
      </c>
      <c r="J164" s="56">
        <f t="shared" ref="J164:J169" si="35">INT(I164*C164)</f>
        <v>0</v>
      </c>
      <c r="K164" s="84"/>
      <c r="L164" s="84"/>
      <c r="M164" s="85"/>
      <c r="N164" s="86"/>
    </row>
    <row r="165" spans="1:14" s="87" customFormat="1" ht="24.95" customHeight="1">
      <c r="A165" s="81" t="s">
        <v>146</v>
      </c>
      <c r="B165" s="82"/>
      <c r="C165" s="83">
        <f>'비상대처계획(기준소요인력)'!E25</f>
        <v>0.25</v>
      </c>
      <c r="D165" s="55" t="s">
        <v>41</v>
      </c>
      <c r="E165" s="56">
        <f t="shared" si="34"/>
        <v>373353</v>
      </c>
      <c r="F165" s="56">
        <f t="shared" si="34"/>
        <v>93338</v>
      </c>
      <c r="G165" s="84"/>
      <c r="H165" s="84"/>
      <c r="I165" s="56">
        <f>$I$5</f>
        <v>373353</v>
      </c>
      <c r="J165" s="56">
        <f t="shared" si="35"/>
        <v>93338</v>
      </c>
      <c r="K165" s="84"/>
      <c r="L165" s="84"/>
      <c r="M165" s="85"/>
      <c r="N165" s="86"/>
    </row>
    <row r="166" spans="1:14" s="87" customFormat="1" ht="24.95" customHeight="1">
      <c r="A166" s="81" t="s">
        <v>139</v>
      </c>
      <c r="B166" s="82"/>
      <c r="C166" s="83">
        <f>'비상대처계획(기준소요인력)'!F25</f>
        <v>4.5</v>
      </c>
      <c r="D166" s="55" t="s">
        <v>41</v>
      </c>
      <c r="E166" s="56">
        <f t="shared" si="34"/>
        <v>310884</v>
      </c>
      <c r="F166" s="56">
        <f t="shared" si="34"/>
        <v>1398978</v>
      </c>
      <c r="G166" s="84"/>
      <c r="H166" s="84"/>
      <c r="I166" s="56">
        <f>$I$6</f>
        <v>310884</v>
      </c>
      <c r="J166" s="56">
        <f t="shared" si="35"/>
        <v>1398978</v>
      </c>
      <c r="K166" s="84"/>
      <c r="L166" s="84"/>
      <c r="M166" s="85"/>
      <c r="N166" s="86"/>
    </row>
    <row r="167" spans="1:14" s="87" customFormat="1" ht="24.95" customHeight="1">
      <c r="A167" s="81" t="s">
        <v>168</v>
      </c>
      <c r="B167" s="82"/>
      <c r="C167" s="83">
        <f>'비상대처계획(기준소요인력)'!G25</f>
        <v>0</v>
      </c>
      <c r="D167" s="55" t="s">
        <v>41</v>
      </c>
      <c r="E167" s="56">
        <f t="shared" si="34"/>
        <v>295138</v>
      </c>
      <c r="F167" s="56">
        <f t="shared" si="34"/>
        <v>0</v>
      </c>
      <c r="G167" s="84"/>
      <c r="H167" s="84"/>
      <c r="I167" s="56">
        <f>$I$7</f>
        <v>295138</v>
      </c>
      <c r="J167" s="56">
        <f t="shared" si="35"/>
        <v>0</v>
      </c>
      <c r="K167" s="84"/>
      <c r="L167" s="84"/>
      <c r="M167" s="85"/>
      <c r="N167" s="86"/>
    </row>
    <row r="168" spans="1:14" s="87" customFormat="1" ht="24.95" customHeight="1">
      <c r="A168" s="81" t="s">
        <v>165</v>
      </c>
      <c r="B168" s="82"/>
      <c r="C168" s="83">
        <f>'비상대처계획(기준소요인력)'!H25</f>
        <v>4.5</v>
      </c>
      <c r="D168" s="55" t="s">
        <v>41</v>
      </c>
      <c r="E168" s="56">
        <f t="shared" si="34"/>
        <v>235459</v>
      </c>
      <c r="F168" s="56">
        <f t="shared" si="34"/>
        <v>1059565</v>
      </c>
      <c r="G168" s="84"/>
      <c r="H168" s="84"/>
      <c r="I168" s="56">
        <f>$I$8</f>
        <v>235459</v>
      </c>
      <c r="J168" s="56">
        <f t="shared" si="35"/>
        <v>1059565</v>
      </c>
      <c r="K168" s="84"/>
      <c r="L168" s="84"/>
      <c r="M168" s="85"/>
      <c r="N168" s="86"/>
    </row>
    <row r="169" spans="1:14" s="87" customFormat="1" ht="24.95" customHeight="1">
      <c r="A169" s="81" t="s">
        <v>179</v>
      </c>
      <c r="B169" s="82"/>
      <c r="C169" s="83">
        <f>'비상대처계획(기준소요인력)'!I25</f>
        <v>4.5</v>
      </c>
      <c r="D169" s="55" t="s">
        <v>41</v>
      </c>
      <c r="E169" s="56">
        <f t="shared" si="34"/>
        <v>250087</v>
      </c>
      <c r="F169" s="56">
        <f t="shared" si="34"/>
        <v>1125391</v>
      </c>
      <c r="G169" s="84"/>
      <c r="H169" s="84"/>
      <c r="I169" s="56">
        <f>$I$9</f>
        <v>250087</v>
      </c>
      <c r="J169" s="56">
        <f t="shared" si="35"/>
        <v>1125391</v>
      </c>
      <c r="K169" s="84"/>
      <c r="L169" s="84"/>
      <c r="M169" s="85"/>
      <c r="N169" s="86"/>
    </row>
    <row r="170" spans="1:14" s="87" customFormat="1" ht="24.95" customHeight="1">
      <c r="A170" s="81" t="s">
        <v>39</v>
      </c>
      <c r="B170" s="82"/>
      <c r="C170" s="83"/>
      <c r="D170" s="55"/>
      <c r="E170" s="56"/>
      <c r="F170" s="56">
        <f t="shared" si="34"/>
        <v>3677272</v>
      </c>
      <c r="G170" s="84"/>
      <c r="H170" s="84"/>
      <c r="I170" s="56"/>
      <c r="J170" s="56">
        <f>SUM(J164:J169)</f>
        <v>3677272</v>
      </c>
      <c r="K170" s="84"/>
      <c r="L170" s="84"/>
      <c r="M170" s="85"/>
      <c r="N170" s="86"/>
    </row>
    <row r="171" spans="1:14" s="87" customFormat="1" ht="24.95" customHeight="1">
      <c r="A171" s="81" t="s">
        <v>45</v>
      </c>
      <c r="B171" s="95">
        <f>$S$9</f>
        <v>0</v>
      </c>
      <c r="C171" s="83"/>
      <c r="D171" s="55"/>
      <c r="E171" s="51">
        <f>F171</f>
        <v>0</v>
      </c>
      <c r="F171" s="56">
        <f t="shared" si="34"/>
        <v>0</v>
      </c>
      <c r="G171" s="82"/>
      <c r="H171" s="82"/>
      <c r="I171" s="56"/>
      <c r="J171" s="56">
        <f>TRUNC(J170*B171,0)</f>
        <v>0</v>
      </c>
      <c r="K171" s="82"/>
      <c r="L171" s="82"/>
      <c r="M171" s="96"/>
      <c r="N171" s="86"/>
    </row>
    <row r="172" spans="1:14" s="87" customFormat="1" ht="24.95" customHeight="1">
      <c r="A172" s="81"/>
      <c r="B172" s="95"/>
      <c r="C172" s="83"/>
      <c r="D172" s="55"/>
      <c r="E172" s="51"/>
      <c r="F172" s="56"/>
      <c r="G172" s="82"/>
      <c r="H172" s="82"/>
      <c r="I172" s="56"/>
      <c r="J172" s="56"/>
      <c r="K172" s="82"/>
      <c r="L172" s="82"/>
      <c r="M172" s="96"/>
      <c r="N172" s="86"/>
    </row>
    <row r="173" spans="1:14" s="87" customFormat="1" ht="24.95" customHeight="1">
      <c r="A173" s="81"/>
      <c r="B173" s="82"/>
      <c r="C173" s="83"/>
      <c r="D173" s="55"/>
      <c r="E173" s="51"/>
      <c r="F173" s="56"/>
      <c r="G173" s="82"/>
      <c r="H173" s="82"/>
      <c r="I173" s="82"/>
      <c r="J173" s="82"/>
      <c r="K173" s="82"/>
      <c r="L173" s="82"/>
      <c r="M173" s="85"/>
      <c r="N173" s="86"/>
    </row>
    <row r="174" spans="1:14" s="87" customFormat="1" ht="24.95" customHeight="1">
      <c r="A174" s="102" t="s">
        <v>1906</v>
      </c>
      <c r="B174" s="82"/>
      <c r="C174" s="83"/>
      <c r="D174" s="55"/>
      <c r="E174" s="82"/>
      <c r="F174" s="84"/>
      <c r="G174" s="82"/>
      <c r="H174" s="82"/>
      <c r="I174" s="82"/>
      <c r="J174" s="84"/>
      <c r="K174" s="88"/>
      <c r="M174" s="101"/>
      <c r="N174" s="86"/>
    </row>
    <row r="175" spans="1:14" s="87" customFormat="1" ht="24.95" customHeight="1">
      <c r="A175" s="81" t="s">
        <v>150</v>
      </c>
      <c r="B175" s="82"/>
      <c r="C175" s="83">
        <f>'비상대처계획(기준소요인력)'!D26</f>
        <v>0.25</v>
      </c>
      <c r="D175" s="55" t="s">
        <v>41</v>
      </c>
      <c r="E175" s="56">
        <f t="shared" ref="E175:F182" si="36">G175+I175+K175</f>
        <v>467217</v>
      </c>
      <c r="F175" s="56">
        <f t="shared" si="36"/>
        <v>116804</v>
      </c>
      <c r="G175" s="84"/>
      <c r="H175" s="84"/>
      <c r="I175" s="56">
        <f>$I$4</f>
        <v>467217</v>
      </c>
      <c r="J175" s="56">
        <f t="shared" ref="J175:J180" si="37">INT(I175*C175)</f>
        <v>116804</v>
      </c>
      <c r="M175" s="101"/>
      <c r="N175" s="86"/>
    </row>
    <row r="176" spans="1:14" s="87" customFormat="1" ht="24.95" customHeight="1">
      <c r="A176" s="81" t="s">
        <v>146</v>
      </c>
      <c r="B176" s="82"/>
      <c r="C176" s="83">
        <f>'비상대처계획(기준소요인력)'!E26</f>
        <v>0.5</v>
      </c>
      <c r="D176" s="55" t="s">
        <v>41</v>
      </c>
      <c r="E176" s="56">
        <f t="shared" si="36"/>
        <v>373353</v>
      </c>
      <c r="F176" s="56">
        <f t="shared" si="36"/>
        <v>186676</v>
      </c>
      <c r="G176" s="84"/>
      <c r="H176" s="84"/>
      <c r="I176" s="56">
        <f>$I$5</f>
        <v>373353</v>
      </c>
      <c r="J176" s="56">
        <f t="shared" si="37"/>
        <v>186676</v>
      </c>
      <c r="M176" s="101"/>
      <c r="N176" s="86"/>
    </row>
    <row r="177" spans="1:14" s="87" customFormat="1" ht="24.95" customHeight="1">
      <c r="A177" s="81" t="s">
        <v>139</v>
      </c>
      <c r="B177" s="82"/>
      <c r="C177" s="83">
        <f>'비상대처계획(기준소요인력)'!F26</f>
        <v>1</v>
      </c>
      <c r="D177" s="55" t="s">
        <v>41</v>
      </c>
      <c r="E177" s="56">
        <f t="shared" si="36"/>
        <v>310884</v>
      </c>
      <c r="F177" s="56">
        <f t="shared" si="36"/>
        <v>310884</v>
      </c>
      <c r="G177" s="84"/>
      <c r="H177" s="84"/>
      <c r="I177" s="56">
        <f>$I$6</f>
        <v>310884</v>
      </c>
      <c r="J177" s="56">
        <f t="shared" si="37"/>
        <v>310884</v>
      </c>
      <c r="M177" s="101"/>
      <c r="N177" s="86"/>
    </row>
    <row r="178" spans="1:14" s="87" customFormat="1" ht="24.95" customHeight="1">
      <c r="A178" s="81" t="s">
        <v>168</v>
      </c>
      <c r="B178" s="82"/>
      <c r="C178" s="83">
        <f>'비상대처계획(기준소요인력)'!G26</f>
        <v>1</v>
      </c>
      <c r="D178" s="55" t="s">
        <v>41</v>
      </c>
      <c r="E178" s="56">
        <f t="shared" si="36"/>
        <v>295138</v>
      </c>
      <c r="F178" s="56">
        <f t="shared" si="36"/>
        <v>295138</v>
      </c>
      <c r="G178" s="84"/>
      <c r="H178" s="84"/>
      <c r="I178" s="56">
        <f>$I$7</f>
        <v>295138</v>
      </c>
      <c r="J178" s="56">
        <f t="shared" si="37"/>
        <v>295138</v>
      </c>
      <c r="M178" s="101"/>
      <c r="N178" s="86"/>
    </row>
    <row r="179" spans="1:14" s="87" customFormat="1" ht="24.95" customHeight="1">
      <c r="A179" s="81" t="s">
        <v>165</v>
      </c>
      <c r="B179" s="82"/>
      <c r="C179" s="83">
        <f>'비상대처계획(기준소요인력)'!H26</f>
        <v>1</v>
      </c>
      <c r="D179" s="55" t="s">
        <v>41</v>
      </c>
      <c r="E179" s="56">
        <f t="shared" si="36"/>
        <v>235459</v>
      </c>
      <c r="F179" s="56">
        <f t="shared" si="36"/>
        <v>235459</v>
      </c>
      <c r="G179" s="84"/>
      <c r="H179" s="84"/>
      <c r="I179" s="56">
        <f>$I$8</f>
        <v>235459</v>
      </c>
      <c r="J179" s="56">
        <f t="shared" si="37"/>
        <v>235459</v>
      </c>
      <c r="M179" s="101"/>
      <c r="N179" s="86"/>
    </row>
    <row r="180" spans="1:14" s="87" customFormat="1" ht="24.95" customHeight="1">
      <c r="A180" s="81" t="s">
        <v>179</v>
      </c>
      <c r="B180" s="82"/>
      <c r="C180" s="83">
        <f>'비상대처계획(기준소요인력)'!I26</f>
        <v>0.5</v>
      </c>
      <c r="D180" s="55" t="s">
        <v>41</v>
      </c>
      <c r="E180" s="56">
        <f t="shared" si="36"/>
        <v>250087</v>
      </c>
      <c r="F180" s="56">
        <f t="shared" si="36"/>
        <v>125043</v>
      </c>
      <c r="G180" s="84"/>
      <c r="H180" s="84"/>
      <c r="I180" s="56">
        <f>$I$9</f>
        <v>250087</v>
      </c>
      <c r="J180" s="56">
        <f t="shared" si="37"/>
        <v>125043</v>
      </c>
      <c r="M180" s="101"/>
      <c r="N180" s="86"/>
    </row>
    <row r="181" spans="1:14" s="87" customFormat="1" ht="24.95" customHeight="1">
      <c r="A181" s="81" t="s">
        <v>39</v>
      </c>
      <c r="B181" s="82"/>
      <c r="C181" s="83"/>
      <c r="D181" s="55"/>
      <c r="E181" s="56"/>
      <c r="F181" s="56">
        <f t="shared" si="36"/>
        <v>1270004</v>
      </c>
      <c r="G181" s="84"/>
      <c r="H181" s="84"/>
      <c r="I181" s="56"/>
      <c r="J181" s="56">
        <f>SUM(J175:J180)</f>
        <v>1270004</v>
      </c>
      <c r="M181" s="101"/>
      <c r="N181" s="86"/>
    </row>
    <row r="182" spans="1:14" s="87" customFormat="1" ht="24.95" customHeight="1">
      <c r="A182" s="81" t="s">
        <v>45</v>
      </c>
      <c r="B182" s="95">
        <f>$S$9</f>
        <v>0</v>
      </c>
      <c r="C182" s="83"/>
      <c r="D182" s="55"/>
      <c r="E182" s="51">
        <f>F182</f>
        <v>0</v>
      </c>
      <c r="F182" s="56">
        <f t="shared" si="36"/>
        <v>0</v>
      </c>
      <c r="G182" s="82"/>
      <c r="H182" s="82"/>
      <c r="I182" s="56"/>
      <c r="J182" s="56">
        <f>TRUNC(J181*B182,0)</f>
        <v>0</v>
      </c>
      <c r="M182" s="101"/>
      <c r="N182" s="86"/>
    </row>
    <row r="183" spans="1:14" s="87" customFormat="1" ht="24.95" customHeight="1">
      <c r="A183" s="102" t="s">
        <v>1907</v>
      </c>
      <c r="B183" s="82"/>
      <c r="C183" s="83"/>
      <c r="D183" s="55"/>
      <c r="E183" s="82"/>
      <c r="F183" s="84"/>
      <c r="G183" s="82"/>
      <c r="H183" s="82"/>
      <c r="I183" s="82"/>
      <c r="J183" s="84"/>
      <c r="K183" s="84"/>
      <c r="L183" s="84"/>
      <c r="M183" s="85"/>
      <c r="N183" s="86"/>
    </row>
    <row r="184" spans="1:14" s="87" customFormat="1" ht="24.95" customHeight="1">
      <c r="A184" s="81" t="s">
        <v>150</v>
      </c>
      <c r="B184" s="82"/>
      <c r="C184" s="83">
        <f>'비상대처계획(기준소요인력)'!D28</f>
        <v>0.2</v>
      </c>
      <c r="D184" s="55" t="s">
        <v>41</v>
      </c>
      <c r="E184" s="56">
        <f t="shared" ref="E184:F191" si="38">G184+I184+K184</f>
        <v>467217</v>
      </c>
      <c r="F184" s="56">
        <f t="shared" si="38"/>
        <v>93443</v>
      </c>
      <c r="G184" s="84"/>
      <c r="H184" s="84"/>
      <c r="I184" s="56">
        <f>$I$4</f>
        <v>467217</v>
      </c>
      <c r="J184" s="56">
        <f t="shared" ref="J184:J189" si="39">INT(I184*C184)</f>
        <v>93443</v>
      </c>
      <c r="K184" s="84"/>
      <c r="L184" s="84"/>
      <c r="M184" s="85"/>
      <c r="N184" s="86"/>
    </row>
    <row r="185" spans="1:14" s="87" customFormat="1" ht="24.95" customHeight="1">
      <c r="A185" s="81" t="s">
        <v>146</v>
      </c>
      <c r="B185" s="82"/>
      <c r="C185" s="83">
        <f>'비상대처계획(기준소요인력)'!E28</f>
        <v>0.4</v>
      </c>
      <c r="D185" s="55" t="s">
        <v>41</v>
      </c>
      <c r="E185" s="56">
        <f t="shared" si="38"/>
        <v>373353</v>
      </c>
      <c r="F185" s="56">
        <f t="shared" si="38"/>
        <v>149341</v>
      </c>
      <c r="G185" s="84"/>
      <c r="H185" s="84"/>
      <c r="I185" s="56">
        <f>$I$5</f>
        <v>373353</v>
      </c>
      <c r="J185" s="56">
        <f t="shared" si="39"/>
        <v>149341</v>
      </c>
      <c r="K185" s="84"/>
      <c r="L185" s="84"/>
      <c r="M185" s="85"/>
      <c r="N185" s="86"/>
    </row>
    <row r="186" spans="1:14" s="87" customFormat="1" ht="24.95" customHeight="1">
      <c r="A186" s="81" t="s">
        <v>139</v>
      </c>
      <c r="B186" s="82"/>
      <c r="C186" s="83">
        <f>'비상대처계획(기준소요인력)'!F28</f>
        <v>0.3</v>
      </c>
      <c r="D186" s="55" t="s">
        <v>41</v>
      </c>
      <c r="E186" s="56">
        <f t="shared" si="38"/>
        <v>310884</v>
      </c>
      <c r="F186" s="56">
        <f t="shared" si="38"/>
        <v>93265</v>
      </c>
      <c r="G186" s="84"/>
      <c r="H186" s="84"/>
      <c r="I186" s="56">
        <f>$I$6</f>
        <v>310884</v>
      </c>
      <c r="J186" s="56">
        <f t="shared" si="39"/>
        <v>93265</v>
      </c>
      <c r="K186" s="84"/>
      <c r="L186" s="84"/>
      <c r="M186" s="85"/>
      <c r="N186" s="86"/>
    </row>
    <row r="187" spans="1:14" s="87" customFormat="1" ht="24.95" customHeight="1">
      <c r="A187" s="81" t="s">
        <v>168</v>
      </c>
      <c r="B187" s="82"/>
      <c r="C187" s="83">
        <f>'비상대처계획(기준소요인력)'!G28</f>
        <v>0.5</v>
      </c>
      <c r="D187" s="55" t="s">
        <v>41</v>
      </c>
      <c r="E187" s="56">
        <f t="shared" si="38"/>
        <v>295138</v>
      </c>
      <c r="F187" s="56">
        <f t="shared" si="38"/>
        <v>147569</v>
      </c>
      <c r="G187" s="84"/>
      <c r="H187" s="84"/>
      <c r="I187" s="56">
        <f>$I$7</f>
        <v>295138</v>
      </c>
      <c r="J187" s="56">
        <f t="shared" si="39"/>
        <v>147569</v>
      </c>
      <c r="K187" s="84"/>
      <c r="L187" s="84"/>
      <c r="M187" s="85"/>
      <c r="N187" s="86"/>
    </row>
    <row r="188" spans="1:14" s="87" customFormat="1" ht="24.95" customHeight="1">
      <c r="A188" s="81" t="s">
        <v>165</v>
      </c>
      <c r="B188" s="82"/>
      <c r="C188" s="83">
        <f>'비상대처계획(기준소요인력)'!H28</f>
        <v>0.2</v>
      </c>
      <c r="D188" s="55" t="s">
        <v>41</v>
      </c>
      <c r="E188" s="56">
        <f t="shared" si="38"/>
        <v>235459</v>
      </c>
      <c r="F188" s="56">
        <f t="shared" si="38"/>
        <v>47091</v>
      </c>
      <c r="G188" s="84"/>
      <c r="H188" s="84"/>
      <c r="I188" s="56">
        <f>$I$8</f>
        <v>235459</v>
      </c>
      <c r="J188" s="56">
        <f t="shared" si="39"/>
        <v>47091</v>
      </c>
      <c r="K188" s="84"/>
      <c r="L188" s="84"/>
      <c r="M188" s="85"/>
      <c r="N188" s="86"/>
    </row>
    <row r="189" spans="1:14" s="87" customFormat="1" ht="24.95" customHeight="1">
      <c r="A189" s="81" t="s">
        <v>179</v>
      </c>
      <c r="B189" s="82"/>
      <c r="C189" s="83">
        <f>'비상대처계획(기준소요인력)'!I28</f>
        <v>0.2</v>
      </c>
      <c r="D189" s="55" t="s">
        <v>41</v>
      </c>
      <c r="E189" s="56">
        <f t="shared" si="38"/>
        <v>250087</v>
      </c>
      <c r="F189" s="56">
        <f t="shared" si="38"/>
        <v>50017</v>
      </c>
      <c r="G189" s="84"/>
      <c r="H189" s="84"/>
      <c r="I189" s="56">
        <f>$I$9</f>
        <v>250087</v>
      </c>
      <c r="J189" s="56">
        <f t="shared" si="39"/>
        <v>50017</v>
      </c>
      <c r="K189" s="84"/>
      <c r="L189" s="84"/>
      <c r="M189" s="85"/>
      <c r="N189" s="86"/>
    </row>
    <row r="190" spans="1:14" s="87" customFormat="1" ht="24.95" customHeight="1">
      <c r="A190" s="81" t="s">
        <v>39</v>
      </c>
      <c r="B190" s="82"/>
      <c r="C190" s="83"/>
      <c r="D190" s="55"/>
      <c r="E190" s="56"/>
      <c r="F190" s="56">
        <f t="shared" si="38"/>
        <v>580726</v>
      </c>
      <c r="G190" s="84"/>
      <c r="H190" s="84"/>
      <c r="I190" s="56"/>
      <c r="J190" s="56">
        <f>SUM(J184:J189)</f>
        <v>580726</v>
      </c>
      <c r="K190" s="84"/>
      <c r="L190" s="84"/>
      <c r="M190" s="85"/>
      <c r="N190" s="86"/>
    </row>
    <row r="191" spans="1:14" s="87" customFormat="1" ht="24.95" customHeight="1">
      <c r="A191" s="81" t="s">
        <v>45</v>
      </c>
      <c r="B191" s="95">
        <f>$S$10</f>
        <v>1</v>
      </c>
      <c r="C191" s="83"/>
      <c r="D191" s="55"/>
      <c r="E191" s="51">
        <f>F191</f>
        <v>580726</v>
      </c>
      <c r="F191" s="56">
        <f t="shared" si="38"/>
        <v>580726</v>
      </c>
      <c r="G191" s="82"/>
      <c r="H191" s="82"/>
      <c r="I191" s="56"/>
      <c r="J191" s="56">
        <f>TRUNC(J190*B191,0)</f>
        <v>580726</v>
      </c>
      <c r="K191" s="82"/>
      <c r="L191" s="82"/>
      <c r="M191" s="96"/>
      <c r="N191" s="86"/>
    </row>
    <row r="192" spans="1:14" s="87" customFormat="1" ht="24.95" customHeight="1">
      <c r="A192" s="81"/>
      <c r="B192" s="95"/>
      <c r="C192" s="83"/>
      <c r="D192" s="55"/>
      <c r="E192" s="51"/>
      <c r="F192" s="56"/>
      <c r="G192" s="82"/>
      <c r="H192" s="82"/>
      <c r="I192" s="56"/>
      <c r="J192" s="56"/>
      <c r="K192" s="82"/>
      <c r="L192" s="82"/>
      <c r="M192" s="96"/>
      <c r="N192" s="86"/>
    </row>
    <row r="193" spans="1:14" s="87" customFormat="1" ht="24.95" customHeight="1">
      <c r="A193" s="81"/>
      <c r="B193" s="82"/>
      <c r="C193" s="83"/>
      <c r="D193" s="55"/>
      <c r="E193" s="51"/>
      <c r="F193" s="56"/>
      <c r="G193" s="82"/>
      <c r="H193" s="82"/>
      <c r="I193" s="82"/>
      <c r="J193" s="82"/>
      <c r="K193" s="82"/>
      <c r="L193" s="82"/>
      <c r="M193" s="85"/>
      <c r="N193" s="86"/>
    </row>
    <row r="194" spans="1:14" s="87" customFormat="1" ht="24.95" customHeight="1">
      <c r="A194" s="102" t="s">
        <v>1908</v>
      </c>
      <c r="B194" s="82"/>
      <c r="C194" s="83"/>
      <c r="D194" s="55"/>
      <c r="E194" s="84"/>
      <c r="F194" s="84"/>
      <c r="G194" s="84"/>
      <c r="H194" s="84"/>
      <c r="I194" s="84"/>
      <c r="J194" s="84"/>
      <c r="K194" s="88"/>
      <c r="M194" s="101"/>
      <c r="N194" s="86"/>
    </row>
    <row r="195" spans="1:14" s="87" customFormat="1" ht="24.95" customHeight="1">
      <c r="A195" s="81" t="s">
        <v>150</v>
      </c>
      <c r="B195" s="82"/>
      <c r="C195" s="83">
        <f>'비상대처계획(기준소요인력)'!D29</f>
        <v>0.2</v>
      </c>
      <c r="D195" s="55" t="s">
        <v>41</v>
      </c>
      <c r="E195" s="56">
        <f t="shared" ref="E195:F202" si="40">G195+I195+K195</f>
        <v>467217</v>
      </c>
      <c r="F195" s="56">
        <f t="shared" si="40"/>
        <v>93443</v>
      </c>
      <c r="G195" s="84"/>
      <c r="H195" s="84"/>
      <c r="I195" s="56">
        <f>$I$4</f>
        <v>467217</v>
      </c>
      <c r="J195" s="56">
        <f t="shared" ref="J195:J200" si="41">INT(I195*C195)</f>
        <v>93443</v>
      </c>
      <c r="M195" s="101"/>
      <c r="N195" s="86"/>
    </row>
    <row r="196" spans="1:14" s="87" customFormat="1" ht="24.95" customHeight="1">
      <c r="A196" s="81" t="s">
        <v>146</v>
      </c>
      <c r="B196" s="82"/>
      <c r="C196" s="83">
        <f>'비상대처계획(기준소요인력)'!E29</f>
        <v>0.4</v>
      </c>
      <c r="D196" s="55" t="s">
        <v>41</v>
      </c>
      <c r="E196" s="56">
        <f t="shared" si="40"/>
        <v>373353</v>
      </c>
      <c r="F196" s="56">
        <f t="shared" si="40"/>
        <v>149341</v>
      </c>
      <c r="G196" s="84"/>
      <c r="H196" s="84"/>
      <c r="I196" s="56">
        <f>$I$5</f>
        <v>373353</v>
      </c>
      <c r="J196" s="56">
        <f t="shared" si="41"/>
        <v>149341</v>
      </c>
      <c r="M196" s="101"/>
      <c r="N196" s="86"/>
    </row>
    <row r="197" spans="1:14" s="87" customFormat="1" ht="24.95" customHeight="1">
      <c r="A197" s="81" t="s">
        <v>139</v>
      </c>
      <c r="B197" s="82"/>
      <c r="C197" s="83">
        <f>'비상대처계획(기준소요인력)'!F29</f>
        <v>0.3</v>
      </c>
      <c r="D197" s="55" t="s">
        <v>41</v>
      </c>
      <c r="E197" s="56">
        <f t="shared" si="40"/>
        <v>310884</v>
      </c>
      <c r="F197" s="56">
        <f t="shared" si="40"/>
        <v>93265</v>
      </c>
      <c r="G197" s="84"/>
      <c r="H197" s="84"/>
      <c r="I197" s="56">
        <f>$I$6</f>
        <v>310884</v>
      </c>
      <c r="J197" s="56">
        <f t="shared" si="41"/>
        <v>93265</v>
      </c>
      <c r="M197" s="101"/>
      <c r="N197" s="86"/>
    </row>
    <row r="198" spans="1:14" s="87" customFormat="1" ht="24.95" customHeight="1">
      <c r="A198" s="81" t="s">
        <v>168</v>
      </c>
      <c r="B198" s="82"/>
      <c r="C198" s="83">
        <f>'비상대처계획(기준소요인력)'!G29</f>
        <v>0.6</v>
      </c>
      <c r="D198" s="55" t="s">
        <v>41</v>
      </c>
      <c r="E198" s="56">
        <f t="shared" si="40"/>
        <v>295138</v>
      </c>
      <c r="F198" s="56">
        <f t="shared" si="40"/>
        <v>177082</v>
      </c>
      <c r="G198" s="84"/>
      <c r="H198" s="84"/>
      <c r="I198" s="56">
        <f>$I$7</f>
        <v>295138</v>
      </c>
      <c r="J198" s="56">
        <f t="shared" si="41"/>
        <v>177082</v>
      </c>
      <c r="M198" s="101"/>
      <c r="N198" s="86"/>
    </row>
    <row r="199" spans="1:14" s="87" customFormat="1" ht="24.95" customHeight="1">
      <c r="A199" s="81" t="s">
        <v>165</v>
      </c>
      <c r="B199" s="82"/>
      <c r="C199" s="83">
        <f>'비상대처계획(기준소요인력)'!H29</f>
        <v>0.3</v>
      </c>
      <c r="D199" s="55" t="s">
        <v>41</v>
      </c>
      <c r="E199" s="56">
        <f t="shared" si="40"/>
        <v>235459</v>
      </c>
      <c r="F199" s="56">
        <f t="shared" si="40"/>
        <v>70637</v>
      </c>
      <c r="G199" s="84"/>
      <c r="H199" s="84"/>
      <c r="I199" s="56">
        <f>$I$8</f>
        <v>235459</v>
      </c>
      <c r="J199" s="56">
        <f t="shared" si="41"/>
        <v>70637</v>
      </c>
      <c r="M199" s="101"/>
      <c r="N199" s="86"/>
    </row>
    <row r="200" spans="1:14" s="87" customFormat="1" ht="24.95" customHeight="1">
      <c r="A200" s="81" t="s">
        <v>179</v>
      </c>
      <c r="B200" s="82"/>
      <c r="C200" s="83">
        <f>'비상대처계획(기준소요인력)'!I29</f>
        <v>0.3</v>
      </c>
      <c r="D200" s="55" t="s">
        <v>41</v>
      </c>
      <c r="E200" s="56">
        <f t="shared" si="40"/>
        <v>250087</v>
      </c>
      <c r="F200" s="56">
        <f t="shared" si="40"/>
        <v>75026</v>
      </c>
      <c r="G200" s="84"/>
      <c r="H200" s="84"/>
      <c r="I200" s="56">
        <f>$I$9</f>
        <v>250087</v>
      </c>
      <c r="J200" s="56">
        <f t="shared" si="41"/>
        <v>75026</v>
      </c>
      <c r="M200" s="101"/>
      <c r="N200" s="86"/>
    </row>
    <row r="201" spans="1:14" s="87" customFormat="1" ht="24.95" customHeight="1">
      <c r="A201" s="81" t="s">
        <v>39</v>
      </c>
      <c r="B201" s="82"/>
      <c r="C201" s="83"/>
      <c r="D201" s="55"/>
      <c r="E201" s="56"/>
      <c r="F201" s="56">
        <f t="shared" si="40"/>
        <v>658794</v>
      </c>
      <c r="G201" s="84"/>
      <c r="H201" s="84"/>
      <c r="I201" s="56"/>
      <c r="J201" s="56">
        <f>SUM(J195:J200)</f>
        <v>658794</v>
      </c>
      <c r="M201" s="101"/>
      <c r="N201" s="86"/>
    </row>
    <row r="202" spans="1:14" s="87" customFormat="1" ht="24.95" customHeight="1">
      <c r="A202" s="81" t="s">
        <v>45</v>
      </c>
      <c r="B202" s="95">
        <f>$S$10</f>
        <v>1</v>
      </c>
      <c r="C202" s="83"/>
      <c r="D202" s="55"/>
      <c r="E202" s="51">
        <f>F202</f>
        <v>658794</v>
      </c>
      <c r="F202" s="56">
        <f t="shared" si="40"/>
        <v>658794</v>
      </c>
      <c r="G202" s="82"/>
      <c r="H202" s="82"/>
      <c r="I202" s="56"/>
      <c r="J202" s="56">
        <f>TRUNC(J201*B202,0)</f>
        <v>658794</v>
      </c>
      <c r="M202" s="101"/>
      <c r="N202" s="86"/>
    </row>
    <row r="203" spans="1:14" s="87" customFormat="1" ht="24.95" customHeight="1">
      <c r="A203" s="102" t="s">
        <v>1909</v>
      </c>
      <c r="B203" s="82"/>
      <c r="C203" s="83"/>
      <c r="D203" s="55"/>
      <c r="E203" s="84"/>
      <c r="F203" s="84"/>
      <c r="G203" s="84"/>
      <c r="H203" s="84"/>
      <c r="I203" s="84"/>
      <c r="J203" s="84"/>
      <c r="K203" s="88"/>
      <c r="M203" s="101"/>
      <c r="N203" s="86"/>
    </row>
    <row r="204" spans="1:14" s="87" customFormat="1" ht="24.95" customHeight="1">
      <c r="A204" s="81" t="s">
        <v>150</v>
      </c>
      <c r="B204" s="82"/>
      <c r="C204" s="83">
        <f>'비상대처계획(기준소요인력)'!D30</f>
        <v>1.4</v>
      </c>
      <c r="D204" s="55" t="s">
        <v>41</v>
      </c>
      <c r="E204" s="56">
        <f t="shared" ref="E204:F211" si="42">G204+I204+K204</f>
        <v>467217</v>
      </c>
      <c r="F204" s="56">
        <f t="shared" si="42"/>
        <v>654103</v>
      </c>
      <c r="G204" s="84"/>
      <c r="H204" s="84"/>
      <c r="I204" s="56">
        <f>$I$4</f>
        <v>467217</v>
      </c>
      <c r="J204" s="56">
        <f t="shared" ref="J204:J209" si="43">INT(I204*C204)</f>
        <v>654103</v>
      </c>
      <c r="M204" s="101"/>
      <c r="N204" s="86"/>
    </row>
    <row r="205" spans="1:14" s="87" customFormat="1" ht="24.95" customHeight="1">
      <c r="A205" s="81" t="s">
        <v>146</v>
      </c>
      <c r="B205" s="82"/>
      <c r="C205" s="83">
        <f>'비상대처계획(기준소요인력)'!E30</f>
        <v>2.8</v>
      </c>
      <c r="D205" s="55" t="s">
        <v>41</v>
      </c>
      <c r="E205" s="56">
        <f t="shared" si="42"/>
        <v>373353</v>
      </c>
      <c r="F205" s="56">
        <f t="shared" si="42"/>
        <v>1045388</v>
      </c>
      <c r="G205" s="84"/>
      <c r="H205" s="84"/>
      <c r="I205" s="56">
        <f>$I$5</f>
        <v>373353</v>
      </c>
      <c r="J205" s="56">
        <f t="shared" si="43"/>
        <v>1045388</v>
      </c>
      <c r="M205" s="101"/>
      <c r="N205" s="86"/>
    </row>
    <row r="206" spans="1:14" s="87" customFormat="1" ht="24.95" customHeight="1">
      <c r="A206" s="81" t="s">
        <v>139</v>
      </c>
      <c r="B206" s="82"/>
      <c r="C206" s="83">
        <f>'비상대처계획(기준소요인력)'!F30</f>
        <v>2.1</v>
      </c>
      <c r="D206" s="55" t="s">
        <v>41</v>
      </c>
      <c r="E206" s="56">
        <f t="shared" si="42"/>
        <v>310884</v>
      </c>
      <c r="F206" s="56">
        <f t="shared" si="42"/>
        <v>652856</v>
      </c>
      <c r="G206" s="84"/>
      <c r="H206" s="84"/>
      <c r="I206" s="56">
        <f>$I$6</f>
        <v>310884</v>
      </c>
      <c r="J206" s="56">
        <f t="shared" si="43"/>
        <v>652856</v>
      </c>
      <c r="M206" s="101"/>
      <c r="N206" s="86"/>
    </row>
    <row r="207" spans="1:14" s="87" customFormat="1" ht="24.95" customHeight="1">
      <c r="A207" s="81" t="s">
        <v>168</v>
      </c>
      <c r="B207" s="82"/>
      <c r="C207" s="83">
        <f>'비상대처계획(기준소요인력)'!G30</f>
        <v>3.81</v>
      </c>
      <c r="D207" s="55" t="s">
        <v>41</v>
      </c>
      <c r="E207" s="56">
        <f t="shared" si="42"/>
        <v>295138</v>
      </c>
      <c r="F207" s="56">
        <f t="shared" si="42"/>
        <v>1124475</v>
      </c>
      <c r="G207" s="84"/>
      <c r="H207" s="84"/>
      <c r="I207" s="56">
        <f>$I$7</f>
        <v>295138</v>
      </c>
      <c r="J207" s="56">
        <f t="shared" si="43"/>
        <v>1124475</v>
      </c>
      <c r="M207" s="101"/>
      <c r="N207" s="86"/>
    </row>
    <row r="208" spans="1:14" s="87" customFormat="1" ht="24.95" customHeight="1">
      <c r="A208" s="81" t="s">
        <v>165</v>
      </c>
      <c r="B208" s="82"/>
      <c r="C208" s="83">
        <f>'비상대처계획(기준소요인력)'!H30</f>
        <v>1.7</v>
      </c>
      <c r="D208" s="55" t="s">
        <v>41</v>
      </c>
      <c r="E208" s="56">
        <f t="shared" si="42"/>
        <v>235459</v>
      </c>
      <c r="F208" s="56">
        <f t="shared" si="42"/>
        <v>400280</v>
      </c>
      <c r="G208" s="84"/>
      <c r="H208" s="84"/>
      <c r="I208" s="56">
        <f>$I$8</f>
        <v>235459</v>
      </c>
      <c r="J208" s="56">
        <f t="shared" si="43"/>
        <v>400280</v>
      </c>
      <c r="M208" s="101"/>
      <c r="N208" s="86"/>
    </row>
    <row r="209" spans="1:16" s="87" customFormat="1" ht="24.95" customHeight="1">
      <c r="A209" s="81" t="s">
        <v>179</v>
      </c>
      <c r="B209" s="82"/>
      <c r="C209" s="83">
        <f>'비상대처계획(기준소요인력)'!I30</f>
        <v>1.7</v>
      </c>
      <c r="D209" s="55" t="s">
        <v>41</v>
      </c>
      <c r="E209" s="56">
        <f t="shared" si="42"/>
        <v>250087</v>
      </c>
      <c r="F209" s="56">
        <f t="shared" si="42"/>
        <v>425147</v>
      </c>
      <c r="G209" s="84"/>
      <c r="H209" s="84"/>
      <c r="I209" s="56">
        <f>$I$9</f>
        <v>250087</v>
      </c>
      <c r="J209" s="56">
        <f t="shared" si="43"/>
        <v>425147</v>
      </c>
      <c r="M209" s="101"/>
      <c r="N209" s="86"/>
    </row>
    <row r="210" spans="1:16" s="87" customFormat="1" ht="24.95" customHeight="1">
      <c r="A210" s="81" t="s">
        <v>39</v>
      </c>
      <c r="B210" s="82"/>
      <c r="C210" s="83"/>
      <c r="D210" s="55"/>
      <c r="E210" s="56"/>
      <c r="F210" s="56">
        <f t="shared" si="42"/>
        <v>4302249</v>
      </c>
      <c r="G210" s="84"/>
      <c r="H210" s="84"/>
      <c r="I210" s="56"/>
      <c r="J210" s="56">
        <f>SUM(J204:J209)</f>
        <v>4302249</v>
      </c>
      <c r="M210" s="101"/>
      <c r="N210" s="86"/>
    </row>
    <row r="211" spans="1:16" s="87" customFormat="1" ht="24.95" customHeight="1">
      <c r="A211" s="81" t="s">
        <v>45</v>
      </c>
      <c r="B211" s="95">
        <f>$S$10</f>
        <v>1</v>
      </c>
      <c r="C211" s="83"/>
      <c r="D211" s="55"/>
      <c r="E211" s="51">
        <f>F211</f>
        <v>4302249</v>
      </c>
      <c r="F211" s="56">
        <f t="shared" si="42"/>
        <v>4302249</v>
      </c>
      <c r="G211" s="82"/>
      <c r="H211" s="82"/>
      <c r="I211" s="56"/>
      <c r="J211" s="56">
        <f>TRUNC(J210*B211,0)</f>
        <v>4302249</v>
      </c>
      <c r="M211" s="101"/>
      <c r="N211" s="86"/>
    </row>
    <row r="212" spans="1:16" ht="24.95" customHeight="1">
      <c r="A212" s="81"/>
      <c r="B212" s="95"/>
      <c r="C212" s="83"/>
      <c r="D212" s="55"/>
      <c r="E212" s="51"/>
      <c r="F212" s="56"/>
      <c r="G212" s="82"/>
      <c r="H212" s="82"/>
      <c r="I212" s="56"/>
      <c r="J212" s="56"/>
      <c r="K212" s="87"/>
      <c r="L212" s="87"/>
      <c r="M212" s="101"/>
      <c r="N212" s="86"/>
      <c r="O212" s="87"/>
      <c r="P212" s="87"/>
    </row>
    <row r="213" spans="1:16" ht="24.95" customHeight="1">
      <c r="A213" s="81"/>
      <c r="B213" s="95"/>
      <c r="C213" s="83"/>
      <c r="D213" s="55"/>
      <c r="E213" s="51"/>
      <c r="F213" s="56"/>
      <c r="G213" s="82"/>
      <c r="H213" s="82"/>
      <c r="I213" s="56"/>
      <c r="J213" s="56"/>
      <c r="K213" s="87"/>
      <c r="L213" s="87"/>
      <c r="M213" s="101"/>
      <c r="N213" s="86"/>
      <c r="O213" s="87"/>
      <c r="P213" s="87"/>
    </row>
    <row r="214" spans="1:16" ht="24.95" customHeight="1">
      <c r="A214" s="102" t="s">
        <v>1910</v>
      </c>
      <c r="B214" s="82"/>
      <c r="C214" s="83"/>
      <c r="D214" s="55"/>
      <c r="E214" s="82"/>
      <c r="F214" s="84"/>
      <c r="G214" s="82"/>
      <c r="H214" s="82"/>
      <c r="I214" s="82"/>
      <c r="J214" s="84"/>
      <c r="K214" s="84"/>
      <c r="L214" s="84"/>
      <c r="M214" s="85"/>
      <c r="N214" s="86"/>
      <c r="O214" s="87"/>
      <c r="P214" s="87"/>
    </row>
    <row r="215" spans="1:16" ht="24.95" customHeight="1">
      <c r="A215" s="81" t="s">
        <v>150</v>
      </c>
      <c r="B215" s="82"/>
      <c r="C215" s="83">
        <f>'비상대처계획(기준소요인력)'!D31</f>
        <v>0.2</v>
      </c>
      <c r="D215" s="55" t="s">
        <v>41</v>
      </c>
      <c r="E215" s="56">
        <f t="shared" ref="E215:F222" si="44">G215+I215+K215</f>
        <v>467217</v>
      </c>
      <c r="F215" s="56">
        <f t="shared" si="44"/>
        <v>93443</v>
      </c>
      <c r="G215" s="84"/>
      <c r="H215" s="84"/>
      <c r="I215" s="56">
        <f>$I$4</f>
        <v>467217</v>
      </c>
      <c r="J215" s="56">
        <f t="shared" ref="J215:J220" si="45">INT(I215*C215)</f>
        <v>93443</v>
      </c>
      <c r="K215" s="84"/>
      <c r="L215" s="84"/>
      <c r="M215" s="85"/>
      <c r="N215" s="86"/>
      <c r="O215" s="87"/>
      <c r="P215" s="87"/>
    </row>
    <row r="216" spans="1:16" ht="24.95" customHeight="1">
      <c r="A216" s="81" t="s">
        <v>146</v>
      </c>
      <c r="B216" s="82"/>
      <c r="C216" s="83">
        <f>'비상대처계획(기준소요인력)'!E31</f>
        <v>0.4</v>
      </c>
      <c r="D216" s="55" t="s">
        <v>41</v>
      </c>
      <c r="E216" s="56">
        <f t="shared" si="44"/>
        <v>373353</v>
      </c>
      <c r="F216" s="56">
        <f t="shared" si="44"/>
        <v>149341</v>
      </c>
      <c r="G216" s="84"/>
      <c r="H216" s="84"/>
      <c r="I216" s="56">
        <f>$I$5</f>
        <v>373353</v>
      </c>
      <c r="J216" s="56">
        <f t="shared" si="45"/>
        <v>149341</v>
      </c>
      <c r="K216" s="84"/>
      <c r="L216" s="84"/>
      <c r="M216" s="85"/>
      <c r="N216" s="86"/>
      <c r="O216" s="87"/>
      <c r="P216" s="87"/>
    </row>
    <row r="217" spans="1:16" ht="24.95" customHeight="1">
      <c r="A217" s="81" t="s">
        <v>139</v>
      </c>
      <c r="B217" s="82"/>
      <c r="C217" s="83">
        <f>'비상대처계획(기준소요인력)'!F31</f>
        <v>0.3</v>
      </c>
      <c r="D217" s="55" t="s">
        <v>41</v>
      </c>
      <c r="E217" s="56">
        <f t="shared" si="44"/>
        <v>310884</v>
      </c>
      <c r="F217" s="56">
        <f t="shared" si="44"/>
        <v>93265</v>
      </c>
      <c r="G217" s="84"/>
      <c r="H217" s="84"/>
      <c r="I217" s="56">
        <f>$I$6</f>
        <v>310884</v>
      </c>
      <c r="J217" s="56">
        <f t="shared" si="45"/>
        <v>93265</v>
      </c>
      <c r="K217" s="84"/>
      <c r="L217" s="84"/>
      <c r="M217" s="85"/>
      <c r="N217" s="86"/>
      <c r="O217" s="87"/>
      <c r="P217" s="87"/>
    </row>
    <row r="218" spans="1:16" ht="24.95" customHeight="1">
      <c r="A218" s="81" t="s">
        <v>168</v>
      </c>
      <c r="B218" s="82"/>
      <c r="C218" s="83">
        <f>'비상대처계획(기준소요인력)'!G31</f>
        <v>0.6</v>
      </c>
      <c r="D218" s="55" t="s">
        <v>41</v>
      </c>
      <c r="E218" s="56">
        <f t="shared" si="44"/>
        <v>295138</v>
      </c>
      <c r="F218" s="56">
        <f t="shared" si="44"/>
        <v>177082</v>
      </c>
      <c r="G218" s="84"/>
      <c r="H218" s="84"/>
      <c r="I218" s="56">
        <f>$I$7</f>
        <v>295138</v>
      </c>
      <c r="J218" s="56">
        <f t="shared" si="45"/>
        <v>177082</v>
      </c>
      <c r="K218" s="84"/>
      <c r="L218" s="84"/>
      <c r="M218" s="85"/>
      <c r="N218" s="86"/>
      <c r="O218" s="87"/>
      <c r="P218" s="87"/>
    </row>
    <row r="219" spans="1:16" ht="24.95" customHeight="1">
      <c r="A219" s="81" t="s">
        <v>165</v>
      </c>
      <c r="B219" s="82"/>
      <c r="C219" s="83">
        <f>'비상대처계획(기준소요인력)'!H31</f>
        <v>0.3</v>
      </c>
      <c r="D219" s="55" t="s">
        <v>41</v>
      </c>
      <c r="E219" s="56">
        <f t="shared" si="44"/>
        <v>235459</v>
      </c>
      <c r="F219" s="56">
        <f t="shared" si="44"/>
        <v>70637</v>
      </c>
      <c r="G219" s="84"/>
      <c r="H219" s="84"/>
      <c r="I219" s="56">
        <f>$I$8</f>
        <v>235459</v>
      </c>
      <c r="J219" s="56">
        <f t="shared" si="45"/>
        <v>70637</v>
      </c>
      <c r="K219" s="84"/>
      <c r="L219" s="84"/>
      <c r="M219" s="85"/>
      <c r="N219" s="86"/>
      <c r="O219" s="87"/>
      <c r="P219" s="87"/>
    </row>
    <row r="220" spans="1:16" ht="24.95" customHeight="1">
      <c r="A220" s="81" t="s">
        <v>180</v>
      </c>
      <c r="B220" s="82"/>
      <c r="C220" s="83">
        <f>'비상대처계획(기준소요인력)'!I31</f>
        <v>0.3</v>
      </c>
      <c r="D220" s="55" t="s">
        <v>41</v>
      </c>
      <c r="E220" s="56">
        <f t="shared" si="44"/>
        <v>250087</v>
      </c>
      <c r="F220" s="56">
        <f t="shared" si="44"/>
        <v>75026</v>
      </c>
      <c r="G220" s="84"/>
      <c r="H220" s="84"/>
      <c r="I220" s="56">
        <f>$I$9</f>
        <v>250087</v>
      </c>
      <c r="J220" s="56">
        <f t="shared" si="45"/>
        <v>75026</v>
      </c>
      <c r="K220" s="84"/>
      <c r="L220" s="84"/>
      <c r="M220" s="85"/>
      <c r="N220" s="86"/>
      <c r="O220" s="87"/>
      <c r="P220" s="87"/>
    </row>
    <row r="221" spans="1:16" ht="24.95" customHeight="1">
      <c r="A221" s="81" t="s">
        <v>39</v>
      </c>
      <c r="B221" s="82"/>
      <c r="C221" s="83"/>
      <c r="D221" s="55"/>
      <c r="E221" s="56"/>
      <c r="F221" s="56">
        <f t="shared" si="44"/>
        <v>658794</v>
      </c>
      <c r="G221" s="84"/>
      <c r="H221" s="84"/>
      <c r="I221" s="56"/>
      <c r="J221" s="56">
        <f>SUM(J215:J220)</f>
        <v>658794</v>
      </c>
      <c r="K221" s="84"/>
      <c r="L221" s="84"/>
      <c r="M221" s="85"/>
      <c r="N221" s="86"/>
      <c r="O221" s="87"/>
      <c r="P221" s="87"/>
    </row>
    <row r="222" spans="1:16" ht="24.95" customHeight="1">
      <c r="A222" s="81" t="s">
        <v>45</v>
      </c>
      <c r="B222" s="95">
        <f>$S$10</f>
        <v>1</v>
      </c>
      <c r="C222" s="83"/>
      <c r="D222" s="55"/>
      <c r="E222" s="51">
        <f>F222</f>
        <v>658794</v>
      </c>
      <c r="F222" s="56">
        <f t="shared" si="44"/>
        <v>658794</v>
      </c>
      <c r="G222" s="82"/>
      <c r="H222" s="82"/>
      <c r="I222" s="56"/>
      <c r="J222" s="56">
        <f>TRUNC(J221*B222,0)</f>
        <v>658794</v>
      </c>
      <c r="K222" s="82"/>
      <c r="L222" s="82"/>
      <c r="M222" s="96"/>
      <c r="N222" s="86"/>
      <c r="O222" s="87"/>
      <c r="P222" s="87"/>
    </row>
    <row r="223" spans="1:16" ht="24.95" customHeight="1">
      <c r="A223" s="102" t="s">
        <v>1911</v>
      </c>
      <c r="B223" s="82"/>
      <c r="C223" s="83"/>
      <c r="D223" s="55"/>
      <c r="E223" s="84"/>
      <c r="F223" s="84"/>
      <c r="G223" s="84"/>
      <c r="H223" s="84"/>
      <c r="I223" s="84"/>
      <c r="J223" s="84"/>
      <c r="K223" s="88"/>
      <c r="L223" s="87"/>
      <c r="M223" s="101"/>
      <c r="N223" s="86"/>
      <c r="O223" s="87"/>
      <c r="P223" s="87"/>
    </row>
    <row r="224" spans="1:16" ht="24.95" customHeight="1">
      <c r="A224" s="81" t="s">
        <v>150</v>
      </c>
      <c r="B224" s="82"/>
      <c r="C224" s="83">
        <f>'비상대처계획(기준소요인력)'!D33</f>
        <v>0.5</v>
      </c>
      <c r="D224" s="55" t="s">
        <v>41</v>
      </c>
      <c r="E224" s="56">
        <f t="shared" ref="E224:F231" si="46">G224+I224+K224</f>
        <v>467217</v>
      </c>
      <c r="F224" s="56">
        <f t="shared" si="46"/>
        <v>233608</v>
      </c>
      <c r="G224" s="84"/>
      <c r="H224" s="84"/>
      <c r="I224" s="56">
        <f>$I$4</f>
        <v>467217</v>
      </c>
      <c r="J224" s="56">
        <f t="shared" ref="J224:J229" si="47">INT(I224*C224)</f>
        <v>233608</v>
      </c>
      <c r="K224" s="87"/>
      <c r="L224" s="87"/>
      <c r="M224" s="101"/>
      <c r="N224" s="86"/>
      <c r="O224" s="87"/>
      <c r="P224" s="87"/>
    </row>
    <row r="225" spans="1:16" ht="24.95" customHeight="1">
      <c r="A225" s="81" t="s">
        <v>146</v>
      </c>
      <c r="B225" s="82"/>
      <c r="C225" s="83">
        <f>'비상대처계획(기준소요인력)'!E33</f>
        <v>0.5</v>
      </c>
      <c r="D225" s="55" t="s">
        <v>41</v>
      </c>
      <c r="E225" s="56">
        <f t="shared" si="46"/>
        <v>373353</v>
      </c>
      <c r="F225" s="56">
        <f t="shared" si="46"/>
        <v>186676</v>
      </c>
      <c r="G225" s="84"/>
      <c r="H225" s="84"/>
      <c r="I225" s="56">
        <f>$I$5</f>
        <v>373353</v>
      </c>
      <c r="J225" s="56">
        <f t="shared" si="47"/>
        <v>186676</v>
      </c>
      <c r="K225" s="87"/>
      <c r="L225" s="87"/>
      <c r="M225" s="101"/>
      <c r="N225" s="86"/>
      <c r="O225" s="87"/>
      <c r="P225" s="87"/>
    </row>
    <row r="226" spans="1:16" ht="24.95" customHeight="1">
      <c r="A226" s="81" t="s">
        <v>139</v>
      </c>
      <c r="B226" s="82"/>
      <c r="C226" s="83">
        <f>'비상대처계획(기준소요인력)'!F33</f>
        <v>0.5</v>
      </c>
      <c r="D226" s="55" t="s">
        <v>41</v>
      </c>
      <c r="E226" s="56">
        <f t="shared" si="46"/>
        <v>310884</v>
      </c>
      <c r="F226" s="56">
        <f t="shared" si="46"/>
        <v>155442</v>
      </c>
      <c r="G226" s="84"/>
      <c r="H226" s="84"/>
      <c r="I226" s="56">
        <f>$I$6</f>
        <v>310884</v>
      </c>
      <c r="J226" s="56">
        <f t="shared" si="47"/>
        <v>155442</v>
      </c>
      <c r="K226" s="87"/>
      <c r="L226" s="87"/>
      <c r="M226" s="101"/>
      <c r="N226" s="86"/>
      <c r="O226" s="87"/>
      <c r="P226" s="87"/>
    </row>
    <row r="227" spans="1:16" ht="24.95" customHeight="1">
      <c r="A227" s="81" t="s">
        <v>168</v>
      </c>
      <c r="B227" s="82"/>
      <c r="C227" s="83">
        <f>'비상대처계획(기준소요인력)'!G33</f>
        <v>2</v>
      </c>
      <c r="D227" s="55" t="s">
        <v>41</v>
      </c>
      <c r="E227" s="56">
        <f t="shared" si="46"/>
        <v>295138</v>
      </c>
      <c r="F227" s="56">
        <f t="shared" si="46"/>
        <v>590276</v>
      </c>
      <c r="G227" s="84"/>
      <c r="H227" s="84"/>
      <c r="I227" s="56">
        <f>$I$7</f>
        <v>295138</v>
      </c>
      <c r="J227" s="56">
        <f t="shared" si="47"/>
        <v>590276</v>
      </c>
      <c r="K227" s="87"/>
      <c r="L227" s="87"/>
      <c r="M227" s="101"/>
      <c r="N227" s="86"/>
      <c r="O227" s="87"/>
      <c r="P227" s="87"/>
    </row>
    <row r="228" spans="1:16" ht="24.95" customHeight="1">
      <c r="A228" s="81" t="s">
        <v>165</v>
      </c>
      <c r="B228" s="82"/>
      <c r="C228" s="83">
        <f>'비상대처계획(기준소요인력)'!H33</f>
        <v>2</v>
      </c>
      <c r="D228" s="55" t="s">
        <v>41</v>
      </c>
      <c r="E228" s="56">
        <f t="shared" si="46"/>
        <v>235459</v>
      </c>
      <c r="F228" s="56">
        <f t="shared" si="46"/>
        <v>470918</v>
      </c>
      <c r="G228" s="84"/>
      <c r="H228" s="84"/>
      <c r="I228" s="56">
        <f>$I$8</f>
        <v>235459</v>
      </c>
      <c r="J228" s="56">
        <f t="shared" si="47"/>
        <v>470918</v>
      </c>
      <c r="K228" s="87"/>
      <c r="L228" s="87"/>
      <c r="M228" s="101"/>
      <c r="N228" s="86"/>
      <c r="O228" s="87"/>
      <c r="P228" s="87"/>
    </row>
    <row r="229" spans="1:16" ht="24.95" customHeight="1">
      <c r="A229" s="81" t="s">
        <v>179</v>
      </c>
      <c r="B229" s="82"/>
      <c r="C229" s="83">
        <f>'비상대처계획(기준소요인력)'!I33</f>
        <v>2</v>
      </c>
      <c r="D229" s="55" t="s">
        <v>41</v>
      </c>
      <c r="E229" s="56">
        <f t="shared" si="46"/>
        <v>250087</v>
      </c>
      <c r="F229" s="56">
        <f t="shared" si="46"/>
        <v>500174</v>
      </c>
      <c r="G229" s="84"/>
      <c r="H229" s="84"/>
      <c r="I229" s="56">
        <f>$I$9</f>
        <v>250087</v>
      </c>
      <c r="J229" s="56">
        <f t="shared" si="47"/>
        <v>500174</v>
      </c>
      <c r="K229" s="87"/>
      <c r="L229" s="87"/>
      <c r="M229" s="101"/>
      <c r="N229" s="86"/>
      <c r="O229" s="87"/>
      <c r="P229" s="87"/>
    </row>
    <row r="230" spans="1:16" ht="24.95" customHeight="1">
      <c r="A230" s="81" t="s">
        <v>39</v>
      </c>
      <c r="B230" s="82"/>
      <c r="C230" s="83"/>
      <c r="D230" s="55"/>
      <c r="E230" s="56"/>
      <c r="F230" s="56">
        <f t="shared" si="46"/>
        <v>2137094</v>
      </c>
      <c r="G230" s="84"/>
      <c r="H230" s="84"/>
      <c r="I230" s="56"/>
      <c r="J230" s="56">
        <f>SUM(J224:J229)</f>
        <v>2137094</v>
      </c>
      <c r="K230" s="87"/>
      <c r="L230" s="87"/>
      <c r="M230" s="101"/>
      <c r="N230" s="86"/>
      <c r="O230" s="87"/>
      <c r="P230" s="87"/>
    </row>
    <row r="231" spans="1:16" ht="24.95" customHeight="1">
      <c r="A231" s="81" t="s">
        <v>45</v>
      </c>
      <c r="B231" s="95">
        <f>$S$11</f>
        <v>1</v>
      </c>
      <c r="C231" s="83"/>
      <c r="D231" s="55"/>
      <c r="E231" s="51">
        <f>F231</f>
        <v>2137094</v>
      </c>
      <c r="F231" s="56">
        <f t="shared" si="46"/>
        <v>2137094</v>
      </c>
      <c r="G231" s="82"/>
      <c r="H231" s="82"/>
      <c r="I231" s="56"/>
      <c r="J231" s="56">
        <f>TRUNC(J230*B231,0)</f>
        <v>2137094</v>
      </c>
      <c r="K231" s="87"/>
      <c r="L231" s="87"/>
      <c r="M231" s="101"/>
      <c r="N231" s="86"/>
      <c r="O231" s="87"/>
      <c r="P231" s="87"/>
    </row>
    <row r="232" spans="1:16" ht="24.95" customHeight="1">
      <c r="A232" s="81"/>
      <c r="B232" s="95"/>
      <c r="C232" s="83"/>
      <c r="D232" s="55"/>
      <c r="E232" s="51"/>
      <c r="F232" s="56"/>
      <c r="G232" s="82"/>
      <c r="H232" s="82"/>
      <c r="I232" s="56"/>
      <c r="J232" s="56"/>
      <c r="K232" s="87"/>
      <c r="L232" s="87"/>
      <c r="M232" s="101"/>
      <c r="N232" s="86"/>
      <c r="O232" s="87"/>
      <c r="P232" s="87"/>
    </row>
    <row r="233" spans="1:16" ht="24.95" customHeight="1">
      <c r="A233" s="81"/>
      <c r="B233" s="95"/>
      <c r="C233" s="83"/>
      <c r="D233" s="55"/>
      <c r="E233" s="51"/>
      <c r="F233" s="56"/>
      <c r="G233" s="82"/>
      <c r="H233" s="82"/>
      <c r="I233" s="56"/>
      <c r="J233" s="56"/>
      <c r="K233" s="87"/>
      <c r="L233" s="87"/>
      <c r="M233" s="101"/>
      <c r="N233" s="86"/>
      <c r="O233" s="87"/>
      <c r="P233" s="87"/>
    </row>
    <row r="234" spans="1:16" s="87" customFormat="1" ht="24.95" customHeight="1">
      <c r="A234" s="102" t="s">
        <v>1912</v>
      </c>
      <c r="B234" s="82"/>
      <c r="C234" s="83"/>
      <c r="D234" s="55"/>
      <c r="E234" s="82"/>
      <c r="F234" s="84"/>
      <c r="G234" s="82"/>
      <c r="H234" s="82"/>
      <c r="I234" s="82"/>
      <c r="J234" s="84"/>
      <c r="K234" s="84"/>
      <c r="L234" s="84"/>
      <c r="M234" s="85"/>
      <c r="N234" s="86"/>
    </row>
    <row r="235" spans="1:16" s="87" customFormat="1" ht="24.95" customHeight="1">
      <c r="A235" s="81" t="s">
        <v>150</v>
      </c>
      <c r="B235" s="82"/>
      <c r="C235" s="83">
        <f>'비상대처계획(기준소요인력)'!D34</f>
        <v>1.8</v>
      </c>
      <c r="D235" s="55" t="s">
        <v>41</v>
      </c>
      <c r="E235" s="56">
        <f t="shared" ref="E235:F242" si="48">G235+I235+K235</f>
        <v>467217</v>
      </c>
      <c r="F235" s="56">
        <f t="shared" si="48"/>
        <v>840990</v>
      </c>
      <c r="G235" s="84"/>
      <c r="H235" s="84"/>
      <c r="I235" s="56">
        <f>$I$4</f>
        <v>467217</v>
      </c>
      <c r="J235" s="56">
        <f t="shared" ref="J235:J240" si="49">INT(I235*C235)</f>
        <v>840990</v>
      </c>
      <c r="K235" s="84"/>
      <c r="L235" s="84"/>
      <c r="M235" s="85"/>
      <c r="N235" s="86"/>
    </row>
    <row r="236" spans="1:16" s="87" customFormat="1" ht="24.95" customHeight="1">
      <c r="A236" s="81" t="s">
        <v>146</v>
      </c>
      <c r="B236" s="82"/>
      <c r="C236" s="83">
        <f>'비상대처계획(기준소요인력)'!E34</f>
        <v>5.4</v>
      </c>
      <c r="D236" s="55" t="s">
        <v>41</v>
      </c>
      <c r="E236" s="56">
        <f t="shared" si="48"/>
        <v>373353</v>
      </c>
      <c r="F236" s="56">
        <f t="shared" si="48"/>
        <v>2016106</v>
      </c>
      <c r="G236" s="84"/>
      <c r="H236" s="84"/>
      <c r="I236" s="56">
        <f>$I$5</f>
        <v>373353</v>
      </c>
      <c r="J236" s="56">
        <f t="shared" si="49"/>
        <v>2016106</v>
      </c>
      <c r="K236" s="84"/>
      <c r="L236" s="84"/>
      <c r="M236" s="85"/>
      <c r="N236" s="86"/>
    </row>
    <row r="237" spans="1:16" s="87" customFormat="1" ht="24.95" customHeight="1">
      <c r="A237" s="81" t="s">
        <v>139</v>
      </c>
      <c r="B237" s="82"/>
      <c r="C237" s="83">
        <f>'비상대처계획(기준소요인력)'!F34</f>
        <v>5.4</v>
      </c>
      <c r="D237" s="55" t="s">
        <v>41</v>
      </c>
      <c r="E237" s="56">
        <f t="shared" si="48"/>
        <v>310884</v>
      </c>
      <c r="F237" s="56">
        <f t="shared" si="48"/>
        <v>1678773</v>
      </c>
      <c r="G237" s="84"/>
      <c r="H237" s="84"/>
      <c r="I237" s="56">
        <f>$I$6</f>
        <v>310884</v>
      </c>
      <c r="J237" s="56">
        <f t="shared" si="49"/>
        <v>1678773</v>
      </c>
      <c r="K237" s="84"/>
      <c r="L237" s="84"/>
      <c r="M237" s="85"/>
      <c r="N237" s="86"/>
    </row>
    <row r="238" spans="1:16" s="87" customFormat="1" ht="24.95" customHeight="1">
      <c r="A238" s="81" t="s">
        <v>168</v>
      </c>
      <c r="B238" s="82"/>
      <c r="C238" s="83">
        <f>'비상대처계획(기준소요인력)'!G34</f>
        <v>5.4</v>
      </c>
      <c r="D238" s="55" t="s">
        <v>41</v>
      </c>
      <c r="E238" s="56">
        <f t="shared" si="48"/>
        <v>295138</v>
      </c>
      <c r="F238" s="56">
        <f t="shared" si="48"/>
        <v>1593745</v>
      </c>
      <c r="G238" s="84"/>
      <c r="H238" s="84"/>
      <c r="I238" s="56">
        <f>$I$7</f>
        <v>295138</v>
      </c>
      <c r="J238" s="56">
        <f t="shared" si="49"/>
        <v>1593745</v>
      </c>
      <c r="K238" s="84"/>
      <c r="L238" s="84"/>
      <c r="M238" s="85"/>
      <c r="N238" s="86"/>
    </row>
    <row r="239" spans="1:16" s="87" customFormat="1" ht="24.95" customHeight="1">
      <c r="A239" s="81" t="s">
        <v>165</v>
      </c>
      <c r="B239" s="82"/>
      <c r="C239" s="83">
        <f>'비상대처계획(기준소요인력)'!H34</f>
        <v>5.4</v>
      </c>
      <c r="D239" s="55" t="s">
        <v>41</v>
      </c>
      <c r="E239" s="56">
        <f t="shared" si="48"/>
        <v>235459</v>
      </c>
      <c r="F239" s="56">
        <f t="shared" si="48"/>
        <v>1271478</v>
      </c>
      <c r="G239" s="84"/>
      <c r="H239" s="84"/>
      <c r="I239" s="56">
        <f>$I$8</f>
        <v>235459</v>
      </c>
      <c r="J239" s="56">
        <f t="shared" si="49"/>
        <v>1271478</v>
      </c>
      <c r="K239" s="84"/>
      <c r="L239" s="84"/>
      <c r="M239" s="85"/>
      <c r="N239" s="86"/>
    </row>
    <row r="240" spans="1:16" s="87" customFormat="1" ht="24.95" customHeight="1">
      <c r="A240" s="81" t="s">
        <v>180</v>
      </c>
      <c r="B240" s="82"/>
      <c r="C240" s="83">
        <f>'비상대처계획(기준소요인력)'!I34</f>
        <v>5.4</v>
      </c>
      <c r="D240" s="55" t="s">
        <v>41</v>
      </c>
      <c r="E240" s="56">
        <f t="shared" si="48"/>
        <v>250087</v>
      </c>
      <c r="F240" s="56">
        <f t="shared" si="48"/>
        <v>1350469</v>
      </c>
      <c r="G240" s="84"/>
      <c r="H240" s="84"/>
      <c r="I240" s="56">
        <f>$I$9</f>
        <v>250087</v>
      </c>
      <c r="J240" s="56">
        <f t="shared" si="49"/>
        <v>1350469</v>
      </c>
      <c r="K240" s="84"/>
      <c r="L240" s="84"/>
      <c r="M240" s="85"/>
      <c r="N240" s="86"/>
    </row>
    <row r="241" spans="1:16" s="87" customFormat="1" ht="24.95" customHeight="1">
      <c r="A241" s="81" t="s">
        <v>39</v>
      </c>
      <c r="B241" s="82"/>
      <c r="C241" s="83"/>
      <c r="D241" s="55"/>
      <c r="E241" s="56"/>
      <c r="F241" s="56">
        <f t="shared" si="48"/>
        <v>8751561</v>
      </c>
      <c r="G241" s="84"/>
      <c r="H241" s="84"/>
      <c r="I241" s="56"/>
      <c r="J241" s="56">
        <f>SUM(J235:J240)</f>
        <v>8751561</v>
      </c>
      <c r="K241" s="84"/>
      <c r="L241" s="84"/>
      <c r="M241" s="85"/>
      <c r="N241" s="86"/>
    </row>
    <row r="242" spans="1:16" s="87" customFormat="1" ht="24.95" customHeight="1">
      <c r="A242" s="81" t="s">
        <v>45</v>
      </c>
      <c r="B242" s="95">
        <f>$S$11</f>
        <v>1</v>
      </c>
      <c r="C242" s="83"/>
      <c r="D242" s="55"/>
      <c r="E242" s="51">
        <f>F242</f>
        <v>8751561</v>
      </c>
      <c r="F242" s="56">
        <f t="shared" si="48"/>
        <v>8751561</v>
      </c>
      <c r="G242" s="82"/>
      <c r="H242" s="82"/>
      <c r="I242" s="56"/>
      <c r="J242" s="56">
        <f>TRUNC(J241*B242,0)</f>
        <v>8751561</v>
      </c>
      <c r="K242" s="82"/>
      <c r="L242" s="82"/>
      <c r="M242" s="96"/>
      <c r="N242" s="86"/>
    </row>
    <row r="243" spans="1:16" s="87" customFormat="1" ht="24.95" customHeight="1">
      <c r="A243" s="102" t="s">
        <v>1913</v>
      </c>
      <c r="B243" s="82"/>
      <c r="C243" s="83"/>
      <c r="D243" s="55"/>
      <c r="E243" s="84"/>
      <c r="F243" s="84"/>
      <c r="G243" s="84"/>
      <c r="H243" s="84"/>
      <c r="I243" s="84"/>
      <c r="J243" s="84"/>
      <c r="K243" s="88"/>
      <c r="M243" s="101"/>
      <c r="N243" s="86"/>
    </row>
    <row r="244" spans="1:16" s="87" customFormat="1" ht="24.95" customHeight="1">
      <c r="A244" s="81" t="s">
        <v>150</v>
      </c>
      <c r="B244" s="82"/>
      <c r="C244" s="83">
        <f>'비상대처계획(기준소요인력)'!D35</f>
        <v>1.32</v>
      </c>
      <c r="D244" s="55" t="s">
        <v>41</v>
      </c>
      <c r="E244" s="56">
        <f t="shared" ref="E244:F251" si="50">G244+I244+K244</f>
        <v>467217</v>
      </c>
      <c r="F244" s="56">
        <f t="shared" si="50"/>
        <v>616726</v>
      </c>
      <c r="G244" s="84"/>
      <c r="H244" s="84"/>
      <c r="I244" s="56">
        <f>$I$4</f>
        <v>467217</v>
      </c>
      <c r="J244" s="56">
        <f t="shared" ref="J244:J249" si="51">INT(I244*C244)</f>
        <v>616726</v>
      </c>
      <c r="M244" s="101"/>
      <c r="N244" s="86"/>
    </row>
    <row r="245" spans="1:16" s="87" customFormat="1" ht="24.95" customHeight="1">
      <c r="A245" s="81" t="s">
        <v>146</v>
      </c>
      <c r="B245" s="82"/>
      <c r="C245" s="83">
        <f>'비상대처계획(기준소요인력)'!E35</f>
        <v>4.68</v>
      </c>
      <c r="D245" s="55" t="s">
        <v>41</v>
      </c>
      <c r="E245" s="56">
        <f t="shared" si="50"/>
        <v>373353</v>
      </c>
      <c r="F245" s="56">
        <f t="shared" si="50"/>
        <v>1747292</v>
      </c>
      <c r="G245" s="84"/>
      <c r="H245" s="84"/>
      <c r="I245" s="56">
        <f>$I$5</f>
        <v>373353</v>
      </c>
      <c r="J245" s="56">
        <f t="shared" si="51"/>
        <v>1747292</v>
      </c>
      <c r="M245" s="101"/>
      <c r="N245" s="86"/>
    </row>
    <row r="246" spans="1:16" s="87" customFormat="1" ht="24.95" customHeight="1">
      <c r="A246" s="81" t="s">
        <v>139</v>
      </c>
      <c r="B246" s="82"/>
      <c r="C246" s="83">
        <f>'비상대처계획(기준소요인력)'!F35</f>
        <v>3.8</v>
      </c>
      <c r="D246" s="55" t="s">
        <v>41</v>
      </c>
      <c r="E246" s="56">
        <f t="shared" si="50"/>
        <v>310884</v>
      </c>
      <c r="F246" s="56">
        <f t="shared" si="50"/>
        <v>1181359</v>
      </c>
      <c r="G246" s="84"/>
      <c r="H246" s="84"/>
      <c r="I246" s="56">
        <f>$I$6</f>
        <v>310884</v>
      </c>
      <c r="J246" s="56">
        <f t="shared" si="51"/>
        <v>1181359</v>
      </c>
      <c r="M246" s="101"/>
      <c r="N246" s="86"/>
    </row>
    <row r="247" spans="1:16" s="87" customFormat="1" ht="24.95" customHeight="1">
      <c r="A247" s="81" t="s">
        <v>168</v>
      </c>
      <c r="B247" s="82"/>
      <c r="C247" s="83">
        <f>'비상대처계획(기준소요인력)'!G35</f>
        <v>3.6</v>
      </c>
      <c r="D247" s="55" t="s">
        <v>41</v>
      </c>
      <c r="E247" s="56">
        <f t="shared" si="50"/>
        <v>295138</v>
      </c>
      <c r="F247" s="56">
        <f t="shared" si="50"/>
        <v>1062496</v>
      </c>
      <c r="G247" s="84"/>
      <c r="H247" s="84"/>
      <c r="I247" s="56">
        <f>$I$7</f>
        <v>295138</v>
      </c>
      <c r="J247" s="56">
        <f t="shared" si="51"/>
        <v>1062496</v>
      </c>
      <c r="M247" s="101"/>
      <c r="N247" s="86"/>
    </row>
    <row r="248" spans="1:16" s="87" customFormat="1" ht="24.95" customHeight="1">
      <c r="A248" s="81" t="s">
        <v>165</v>
      </c>
      <c r="B248" s="82"/>
      <c r="C248" s="83">
        <f>'비상대처계획(기준소요인력)'!H35</f>
        <v>3.6</v>
      </c>
      <c r="D248" s="55" t="s">
        <v>41</v>
      </c>
      <c r="E248" s="56">
        <f t="shared" si="50"/>
        <v>235459</v>
      </c>
      <c r="F248" s="56">
        <f t="shared" si="50"/>
        <v>847652</v>
      </c>
      <c r="G248" s="84"/>
      <c r="H248" s="84"/>
      <c r="I248" s="56">
        <f>$I$8</f>
        <v>235459</v>
      </c>
      <c r="J248" s="56">
        <f t="shared" si="51"/>
        <v>847652</v>
      </c>
      <c r="M248" s="101"/>
      <c r="N248" s="86"/>
    </row>
    <row r="249" spans="1:16" s="87" customFormat="1" ht="24.95" customHeight="1">
      <c r="A249" s="81" t="s">
        <v>179</v>
      </c>
      <c r="B249" s="82"/>
      <c r="C249" s="83">
        <f>'비상대처계획(기준소요인력)'!I35</f>
        <v>3.6</v>
      </c>
      <c r="D249" s="55" t="s">
        <v>41</v>
      </c>
      <c r="E249" s="56">
        <f t="shared" si="50"/>
        <v>250087</v>
      </c>
      <c r="F249" s="56">
        <f t="shared" si="50"/>
        <v>900313</v>
      </c>
      <c r="G249" s="84"/>
      <c r="H249" s="84"/>
      <c r="I249" s="56">
        <f>$I$9</f>
        <v>250087</v>
      </c>
      <c r="J249" s="56">
        <f t="shared" si="51"/>
        <v>900313</v>
      </c>
      <c r="M249" s="101"/>
      <c r="N249" s="86"/>
    </row>
    <row r="250" spans="1:16" s="87" customFormat="1" ht="24.95" customHeight="1">
      <c r="A250" s="81" t="s">
        <v>39</v>
      </c>
      <c r="B250" s="82"/>
      <c r="C250" s="83"/>
      <c r="D250" s="55"/>
      <c r="E250" s="56"/>
      <c r="F250" s="56">
        <f t="shared" si="50"/>
        <v>6355838</v>
      </c>
      <c r="G250" s="84"/>
      <c r="H250" s="84"/>
      <c r="I250" s="56"/>
      <c r="J250" s="56">
        <f>SUM(J244:J249)</f>
        <v>6355838</v>
      </c>
      <c r="M250" s="101"/>
      <c r="N250" s="86"/>
    </row>
    <row r="251" spans="1:16" s="87" customFormat="1" ht="24.95" customHeight="1">
      <c r="A251" s="81" t="s">
        <v>45</v>
      </c>
      <c r="B251" s="95">
        <f>$S$11</f>
        <v>1</v>
      </c>
      <c r="C251" s="83"/>
      <c r="D251" s="55"/>
      <c r="E251" s="51">
        <f>F251</f>
        <v>6355838</v>
      </c>
      <c r="F251" s="56">
        <f t="shared" si="50"/>
        <v>6355838</v>
      </c>
      <c r="G251" s="82"/>
      <c r="H251" s="82"/>
      <c r="I251" s="56"/>
      <c r="J251" s="56">
        <f>TRUNC(J250*B251,0)</f>
        <v>6355838</v>
      </c>
      <c r="M251" s="101"/>
      <c r="N251" s="86"/>
    </row>
    <row r="252" spans="1:16" ht="24.95" customHeight="1">
      <c r="A252" s="81"/>
      <c r="B252" s="95"/>
      <c r="C252" s="83"/>
      <c r="D252" s="55"/>
      <c r="E252" s="51"/>
      <c r="F252" s="56"/>
      <c r="G252" s="82"/>
      <c r="H252" s="82"/>
      <c r="I252" s="56"/>
      <c r="J252" s="56"/>
      <c r="K252" s="87"/>
      <c r="L252" s="87"/>
      <c r="M252" s="101"/>
      <c r="N252" s="86"/>
      <c r="O252" s="87"/>
      <c r="P252" s="87"/>
    </row>
    <row r="253" spans="1:16" ht="24.95" customHeight="1">
      <c r="A253" s="81"/>
      <c r="B253" s="95"/>
      <c r="C253" s="83"/>
      <c r="D253" s="55"/>
      <c r="E253" s="51"/>
      <c r="F253" s="56"/>
      <c r="G253" s="82"/>
      <c r="H253" s="82"/>
      <c r="I253" s="56"/>
      <c r="J253" s="56"/>
      <c r="K253" s="87"/>
      <c r="L253" s="87"/>
      <c r="M253" s="101"/>
      <c r="N253" s="86"/>
      <c r="O253" s="87"/>
      <c r="P253" s="87"/>
    </row>
    <row r="254" spans="1:16" ht="24.95" customHeight="1">
      <c r="A254" s="102" t="s">
        <v>1914</v>
      </c>
      <c r="B254" s="82"/>
      <c r="C254" s="83"/>
      <c r="D254" s="55"/>
      <c r="E254" s="82"/>
      <c r="F254" s="84"/>
      <c r="G254" s="82"/>
      <c r="H254" s="82"/>
      <c r="I254" s="82"/>
      <c r="J254" s="84"/>
      <c r="K254" s="84"/>
      <c r="L254" s="84"/>
      <c r="M254" s="85"/>
      <c r="N254" s="86"/>
      <c r="O254" s="87"/>
      <c r="P254" s="87"/>
    </row>
    <row r="255" spans="1:16" ht="24.95" customHeight="1">
      <c r="A255" s="81" t="s">
        <v>150</v>
      </c>
      <c r="B255" s="82"/>
      <c r="C255" s="83">
        <f>'비상대처계획(기준소요인력)'!D36</f>
        <v>0.6</v>
      </c>
      <c r="D255" s="55" t="s">
        <v>41</v>
      </c>
      <c r="E255" s="56">
        <f t="shared" ref="E255:F262" si="52">G255+I255+K255</f>
        <v>467217</v>
      </c>
      <c r="F255" s="56">
        <f t="shared" si="52"/>
        <v>280330</v>
      </c>
      <c r="G255" s="84"/>
      <c r="H255" s="84"/>
      <c r="I255" s="56">
        <f>$I$4</f>
        <v>467217</v>
      </c>
      <c r="J255" s="56">
        <f t="shared" ref="J255:J260" si="53">INT(I255*C255)</f>
        <v>280330</v>
      </c>
      <c r="K255" s="84"/>
      <c r="L255" s="84"/>
      <c r="M255" s="85"/>
      <c r="N255" s="86"/>
      <c r="O255" s="87"/>
      <c r="P255" s="87"/>
    </row>
    <row r="256" spans="1:16" ht="24.95" customHeight="1">
      <c r="A256" s="81" t="s">
        <v>146</v>
      </c>
      <c r="B256" s="82"/>
      <c r="C256" s="83">
        <f>'비상대처계획(기준소요인력)'!E36</f>
        <v>1.8</v>
      </c>
      <c r="D256" s="55" t="s">
        <v>41</v>
      </c>
      <c r="E256" s="56">
        <f t="shared" si="52"/>
        <v>373353</v>
      </c>
      <c r="F256" s="56">
        <f t="shared" si="52"/>
        <v>672035</v>
      </c>
      <c r="G256" s="84"/>
      <c r="H256" s="84"/>
      <c r="I256" s="56">
        <f>$I$5</f>
        <v>373353</v>
      </c>
      <c r="J256" s="56">
        <f t="shared" si="53"/>
        <v>672035</v>
      </c>
      <c r="K256" s="84"/>
      <c r="L256" s="84"/>
      <c r="M256" s="85"/>
      <c r="N256" s="86"/>
      <c r="O256" s="87"/>
      <c r="P256" s="87"/>
    </row>
    <row r="257" spans="1:16" ht="24.95" customHeight="1">
      <c r="A257" s="81" t="s">
        <v>139</v>
      </c>
      <c r="B257" s="82"/>
      <c r="C257" s="83">
        <f>'비상대처계획(기준소요인력)'!F36</f>
        <v>1.8</v>
      </c>
      <c r="D257" s="55" t="s">
        <v>41</v>
      </c>
      <c r="E257" s="56">
        <f t="shared" si="52"/>
        <v>310884</v>
      </c>
      <c r="F257" s="56">
        <f t="shared" si="52"/>
        <v>559591</v>
      </c>
      <c r="G257" s="84"/>
      <c r="H257" s="84"/>
      <c r="I257" s="56">
        <f>$I$6</f>
        <v>310884</v>
      </c>
      <c r="J257" s="56">
        <f t="shared" si="53"/>
        <v>559591</v>
      </c>
      <c r="K257" s="84"/>
      <c r="L257" s="84"/>
      <c r="M257" s="85"/>
      <c r="N257" s="86"/>
      <c r="O257" s="87"/>
      <c r="P257" s="87"/>
    </row>
    <row r="258" spans="1:16" ht="24.95" customHeight="1">
      <c r="A258" s="81" t="s">
        <v>168</v>
      </c>
      <c r="B258" s="82"/>
      <c r="C258" s="83">
        <f>'비상대처계획(기준소요인력)'!G36</f>
        <v>1.79</v>
      </c>
      <c r="D258" s="55" t="s">
        <v>41</v>
      </c>
      <c r="E258" s="56">
        <f t="shared" si="52"/>
        <v>295138</v>
      </c>
      <c r="F258" s="56">
        <f t="shared" si="52"/>
        <v>528297</v>
      </c>
      <c r="G258" s="84"/>
      <c r="H258" s="84"/>
      <c r="I258" s="56">
        <f>$I$7</f>
        <v>295138</v>
      </c>
      <c r="J258" s="56">
        <f t="shared" si="53"/>
        <v>528297</v>
      </c>
      <c r="K258" s="84"/>
      <c r="L258" s="84"/>
      <c r="M258" s="85"/>
      <c r="N258" s="86"/>
      <c r="O258" s="87"/>
      <c r="P258" s="87"/>
    </row>
    <row r="259" spans="1:16" ht="24.95" customHeight="1">
      <c r="A259" s="81" t="s">
        <v>165</v>
      </c>
      <c r="B259" s="82"/>
      <c r="C259" s="83">
        <f>'비상대처계획(기준소요인력)'!H36</f>
        <v>1.39</v>
      </c>
      <c r="D259" s="55" t="s">
        <v>41</v>
      </c>
      <c r="E259" s="56">
        <f t="shared" si="52"/>
        <v>235459</v>
      </c>
      <c r="F259" s="56">
        <f t="shared" si="52"/>
        <v>327288</v>
      </c>
      <c r="G259" s="84"/>
      <c r="H259" s="84"/>
      <c r="I259" s="56">
        <f>$I$8</f>
        <v>235459</v>
      </c>
      <c r="J259" s="56">
        <f t="shared" si="53"/>
        <v>327288</v>
      </c>
      <c r="K259" s="84"/>
      <c r="L259" s="84"/>
      <c r="M259" s="85"/>
      <c r="N259" s="86"/>
      <c r="O259" s="87"/>
      <c r="P259" s="87"/>
    </row>
    <row r="260" spans="1:16" ht="24.95" customHeight="1">
      <c r="A260" s="81" t="s">
        <v>180</v>
      </c>
      <c r="B260" s="82"/>
      <c r="C260" s="83">
        <f>'비상대처계획(기준소요인력)'!I36</f>
        <v>0.9</v>
      </c>
      <c r="D260" s="55" t="s">
        <v>41</v>
      </c>
      <c r="E260" s="56">
        <f t="shared" si="52"/>
        <v>250087</v>
      </c>
      <c r="F260" s="56">
        <f t="shared" si="52"/>
        <v>225078</v>
      </c>
      <c r="G260" s="84"/>
      <c r="H260" s="84"/>
      <c r="I260" s="56">
        <f>$I$9</f>
        <v>250087</v>
      </c>
      <c r="J260" s="56">
        <f t="shared" si="53"/>
        <v>225078</v>
      </c>
      <c r="K260" s="84"/>
      <c r="L260" s="84"/>
      <c r="M260" s="85"/>
      <c r="N260" s="86"/>
      <c r="O260" s="87"/>
      <c r="P260" s="87"/>
    </row>
    <row r="261" spans="1:16" ht="24.95" customHeight="1">
      <c r="A261" s="81" t="s">
        <v>39</v>
      </c>
      <c r="B261" s="82"/>
      <c r="C261" s="83"/>
      <c r="D261" s="55"/>
      <c r="E261" s="56"/>
      <c r="F261" s="56">
        <f t="shared" si="52"/>
        <v>2592619</v>
      </c>
      <c r="G261" s="84"/>
      <c r="H261" s="84"/>
      <c r="I261" s="56"/>
      <c r="J261" s="56">
        <f>SUM(J255:J260)</f>
        <v>2592619</v>
      </c>
      <c r="K261" s="84"/>
      <c r="L261" s="84"/>
      <c r="M261" s="85"/>
      <c r="N261" s="86"/>
      <c r="O261" s="87"/>
      <c r="P261" s="87"/>
    </row>
    <row r="262" spans="1:16" ht="24.95" customHeight="1">
      <c r="A262" s="81" t="s">
        <v>45</v>
      </c>
      <c r="B262" s="95">
        <f>$S$11</f>
        <v>1</v>
      </c>
      <c r="C262" s="83"/>
      <c r="D262" s="55"/>
      <c r="E262" s="51">
        <f>F262</f>
        <v>2592619</v>
      </c>
      <c r="F262" s="56">
        <f t="shared" si="52"/>
        <v>2592619</v>
      </c>
      <c r="G262" s="82"/>
      <c r="H262" s="82"/>
      <c r="I262" s="56"/>
      <c r="J262" s="56">
        <f>TRUNC(J261*B262,0)</f>
        <v>2592619</v>
      </c>
      <c r="K262" s="82"/>
      <c r="L262" s="82"/>
      <c r="M262" s="96"/>
      <c r="N262" s="86"/>
      <c r="O262" s="87"/>
      <c r="P262" s="87"/>
    </row>
    <row r="263" spans="1:16" ht="24.95" customHeight="1">
      <c r="A263" s="102" t="s">
        <v>1915</v>
      </c>
      <c r="B263" s="82"/>
      <c r="C263" s="83"/>
      <c r="D263" s="55"/>
      <c r="E263" s="84"/>
      <c r="F263" s="84"/>
      <c r="G263" s="84"/>
      <c r="H263" s="84"/>
      <c r="I263" s="84"/>
      <c r="J263" s="84"/>
      <c r="K263" s="88"/>
      <c r="L263" s="87"/>
      <c r="M263" s="101"/>
      <c r="N263" s="86"/>
      <c r="O263" s="87"/>
      <c r="P263" s="87"/>
    </row>
    <row r="264" spans="1:16" ht="24.95" customHeight="1">
      <c r="A264" s="81" t="s">
        <v>150</v>
      </c>
      <c r="B264" s="82"/>
      <c r="C264" s="83">
        <f>'비상대처계획(기준소요인력)'!D37</f>
        <v>1.32</v>
      </c>
      <c r="D264" s="55" t="s">
        <v>41</v>
      </c>
      <c r="E264" s="56">
        <f t="shared" ref="E264:F271" si="54">G264+I264+K264</f>
        <v>467217</v>
      </c>
      <c r="F264" s="56">
        <f t="shared" si="54"/>
        <v>616726</v>
      </c>
      <c r="G264" s="84"/>
      <c r="H264" s="84"/>
      <c r="I264" s="56">
        <f>$I$4</f>
        <v>467217</v>
      </c>
      <c r="J264" s="56">
        <f t="shared" ref="J264:J269" si="55">INT(I264*C264)</f>
        <v>616726</v>
      </c>
      <c r="K264" s="87"/>
      <c r="L264" s="87"/>
      <c r="M264" s="101"/>
      <c r="N264" s="86"/>
      <c r="O264" s="87"/>
      <c r="P264" s="87"/>
    </row>
    <row r="265" spans="1:16" ht="24.95" customHeight="1">
      <c r="A265" s="81" t="s">
        <v>146</v>
      </c>
      <c r="B265" s="82"/>
      <c r="C265" s="83">
        <f>'비상대처계획(기준소요인력)'!E37</f>
        <v>4.68</v>
      </c>
      <c r="D265" s="55" t="s">
        <v>41</v>
      </c>
      <c r="E265" s="56">
        <f t="shared" si="54"/>
        <v>373353</v>
      </c>
      <c r="F265" s="56">
        <f t="shared" si="54"/>
        <v>1747292</v>
      </c>
      <c r="G265" s="84"/>
      <c r="H265" s="84"/>
      <c r="I265" s="56">
        <f>$I$5</f>
        <v>373353</v>
      </c>
      <c r="J265" s="56">
        <f t="shared" si="55"/>
        <v>1747292</v>
      </c>
      <c r="K265" s="87"/>
      <c r="L265" s="87"/>
      <c r="M265" s="101"/>
      <c r="N265" s="86"/>
      <c r="O265" s="87"/>
      <c r="P265" s="87"/>
    </row>
    <row r="266" spans="1:16" ht="24.95" customHeight="1">
      <c r="A266" s="81" t="s">
        <v>139</v>
      </c>
      <c r="B266" s="82"/>
      <c r="C266" s="83">
        <f>'비상대처계획(기준소요인력)'!F37</f>
        <v>3.79</v>
      </c>
      <c r="D266" s="55" t="s">
        <v>41</v>
      </c>
      <c r="E266" s="56">
        <f t="shared" si="54"/>
        <v>310884</v>
      </c>
      <c r="F266" s="56">
        <f t="shared" si="54"/>
        <v>1178250</v>
      </c>
      <c r="G266" s="84"/>
      <c r="H266" s="84"/>
      <c r="I266" s="56">
        <f>$I$6</f>
        <v>310884</v>
      </c>
      <c r="J266" s="56">
        <f t="shared" si="55"/>
        <v>1178250</v>
      </c>
      <c r="K266" s="87"/>
      <c r="L266" s="87"/>
      <c r="M266" s="101"/>
      <c r="N266" s="86"/>
      <c r="O266" s="87"/>
      <c r="P266" s="87"/>
    </row>
    <row r="267" spans="1:16" ht="24.95" customHeight="1">
      <c r="A267" s="81" t="s">
        <v>168</v>
      </c>
      <c r="B267" s="82"/>
      <c r="C267" s="83">
        <f>'비상대처계획(기준소요인력)'!G37</f>
        <v>3.6</v>
      </c>
      <c r="D267" s="55" t="s">
        <v>41</v>
      </c>
      <c r="E267" s="56">
        <f t="shared" si="54"/>
        <v>295138</v>
      </c>
      <c r="F267" s="56">
        <f t="shared" si="54"/>
        <v>1062496</v>
      </c>
      <c r="G267" s="84"/>
      <c r="H267" s="84"/>
      <c r="I267" s="56">
        <f>$I$7</f>
        <v>295138</v>
      </c>
      <c r="J267" s="56">
        <f t="shared" si="55"/>
        <v>1062496</v>
      </c>
      <c r="K267" s="87"/>
      <c r="L267" s="87"/>
      <c r="M267" s="101"/>
      <c r="N267" s="86"/>
      <c r="O267" s="87"/>
      <c r="P267" s="87"/>
    </row>
    <row r="268" spans="1:16" ht="24.95" customHeight="1">
      <c r="A268" s="81" t="s">
        <v>165</v>
      </c>
      <c r="B268" s="82"/>
      <c r="C268" s="83">
        <f>'비상대처계획(기준소요인력)'!H37</f>
        <v>3.6</v>
      </c>
      <c r="D268" s="55" t="s">
        <v>41</v>
      </c>
      <c r="E268" s="56">
        <f t="shared" si="54"/>
        <v>235459</v>
      </c>
      <c r="F268" s="56">
        <f t="shared" si="54"/>
        <v>847652</v>
      </c>
      <c r="G268" s="84"/>
      <c r="H268" s="84"/>
      <c r="I268" s="56">
        <f>$I$8</f>
        <v>235459</v>
      </c>
      <c r="J268" s="56">
        <f t="shared" si="55"/>
        <v>847652</v>
      </c>
      <c r="K268" s="87"/>
      <c r="L268" s="87"/>
      <c r="M268" s="101"/>
      <c r="N268" s="86"/>
      <c r="O268" s="87"/>
      <c r="P268" s="87"/>
    </row>
    <row r="269" spans="1:16" ht="24.95" customHeight="1">
      <c r="A269" s="81" t="s">
        <v>179</v>
      </c>
      <c r="B269" s="82"/>
      <c r="C269" s="83">
        <f>'비상대처계획(기준소요인력)'!I37</f>
        <v>3.6</v>
      </c>
      <c r="D269" s="55" t="s">
        <v>41</v>
      </c>
      <c r="E269" s="56">
        <f t="shared" si="54"/>
        <v>250087</v>
      </c>
      <c r="F269" s="56">
        <f t="shared" si="54"/>
        <v>900313</v>
      </c>
      <c r="G269" s="84"/>
      <c r="H269" s="84"/>
      <c r="I269" s="56">
        <f>$I$9</f>
        <v>250087</v>
      </c>
      <c r="J269" s="56">
        <f t="shared" si="55"/>
        <v>900313</v>
      </c>
      <c r="K269" s="87"/>
      <c r="L269" s="87"/>
      <c r="M269" s="101"/>
      <c r="N269" s="86"/>
      <c r="O269" s="87"/>
      <c r="P269" s="87"/>
    </row>
    <row r="270" spans="1:16" ht="24.95" customHeight="1">
      <c r="A270" s="81" t="s">
        <v>39</v>
      </c>
      <c r="B270" s="82"/>
      <c r="C270" s="83"/>
      <c r="D270" s="55"/>
      <c r="E270" s="56"/>
      <c r="F270" s="56">
        <f t="shared" si="54"/>
        <v>6352729</v>
      </c>
      <c r="G270" s="84"/>
      <c r="H270" s="84"/>
      <c r="I270" s="56"/>
      <c r="J270" s="56">
        <f>SUM(J264:J269)</f>
        <v>6352729</v>
      </c>
      <c r="K270" s="87"/>
      <c r="L270" s="87"/>
      <c r="M270" s="101"/>
      <c r="N270" s="86"/>
      <c r="O270" s="87"/>
      <c r="P270" s="87"/>
    </row>
    <row r="271" spans="1:16" ht="24.95" customHeight="1">
      <c r="A271" s="81" t="s">
        <v>45</v>
      </c>
      <c r="B271" s="95">
        <f>$S$11</f>
        <v>1</v>
      </c>
      <c r="C271" s="83"/>
      <c r="D271" s="55"/>
      <c r="E271" s="51">
        <f>F271</f>
        <v>6352729</v>
      </c>
      <c r="F271" s="56">
        <f t="shared" si="54"/>
        <v>6352729</v>
      </c>
      <c r="G271" s="82"/>
      <c r="H271" s="82"/>
      <c r="I271" s="56"/>
      <c r="J271" s="56">
        <f>TRUNC(J270*B271,0)</f>
        <v>6352729</v>
      </c>
      <c r="K271" s="87"/>
      <c r="L271" s="87"/>
      <c r="M271" s="101"/>
      <c r="N271" s="86"/>
      <c r="O271" s="87"/>
      <c r="P271" s="87"/>
    </row>
    <row r="272" spans="1:16" ht="24.95" customHeight="1">
      <c r="A272" s="81"/>
      <c r="B272" s="95"/>
      <c r="C272" s="83"/>
      <c r="D272" s="55"/>
      <c r="E272" s="51"/>
      <c r="F272" s="56"/>
      <c r="G272" s="82"/>
      <c r="H272" s="82"/>
      <c r="I272" s="56"/>
      <c r="J272" s="56"/>
      <c r="K272" s="87"/>
      <c r="L272" s="87"/>
      <c r="M272" s="101"/>
      <c r="N272" s="86"/>
      <c r="O272" s="87"/>
      <c r="P272" s="87"/>
    </row>
    <row r="273" spans="1:16" ht="24.95" customHeight="1">
      <c r="A273" s="81"/>
      <c r="B273" s="95"/>
      <c r="C273" s="83"/>
      <c r="D273" s="55"/>
      <c r="E273" s="51"/>
      <c r="F273" s="56"/>
      <c r="G273" s="82"/>
      <c r="H273" s="82"/>
      <c r="I273" s="56"/>
      <c r="J273" s="56"/>
      <c r="K273" s="87"/>
      <c r="L273" s="87"/>
      <c r="M273" s="101"/>
      <c r="N273" s="86"/>
      <c r="O273" s="87"/>
      <c r="P273" s="87"/>
    </row>
    <row r="274" spans="1:16" s="87" customFormat="1" ht="24.95" customHeight="1">
      <c r="A274" s="102" t="s">
        <v>1916</v>
      </c>
      <c r="B274" s="82"/>
      <c r="C274" s="83"/>
      <c r="D274" s="55"/>
      <c r="E274" s="82"/>
      <c r="F274" s="84"/>
      <c r="G274" s="82"/>
      <c r="H274" s="82"/>
      <c r="I274" s="82"/>
      <c r="J274" s="84"/>
      <c r="K274" s="88"/>
      <c r="M274" s="101"/>
      <c r="N274" s="86"/>
    </row>
    <row r="275" spans="1:16" s="87" customFormat="1" ht="24.95" customHeight="1">
      <c r="A275" s="81" t="s">
        <v>150</v>
      </c>
      <c r="B275" s="82"/>
      <c r="C275" s="83">
        <f>'비상대처계획(기준소요인력)'!D38</f>
        <v>0.96</v>
      </c>
      <c r="D275" s="55" t="s">
        <v>41</v>
      </c>
      <c r="E275" s="56">
        <f t="shared" ref="E275:F282" si="56">G275+I275+K275</f>
        <v>467217</v>
      </c>
      <c r="F275" s="56">
        <f t="shared" si="56"/>
        <v>448528</v>
      </c>
      <c r="G275" s="84"/>
      <c r="H275" s="84"/>
      <c r="I275" s="56">
        <f>$I$4</f>
        <v>467217</v>
      </c>
      <c r="J275" s="56">
        <f t="shared" ref="J275:J280" si="57">INT(I275*C275)</f>
        <v>448528</v>
      </c>
      <c r="M275" s="101"/>
      <c r="N275" s="86"/>
    </row>
    <row r="276" spans="1:16" s="87" customFormat="1" ht="24.95" customHeight="1">
      <c r="A276" s="81" t="s">
        <v>146</v>
      </c>
      <c r="B276" s="82"/>
      <c r="C276" s="83">
        <f>'비상대처계획(기준소요인력)'!E38</f>
        <v>1.44</v>
      </c>
      <c r="D276" s="55" t="s">
        <v>41</v>
      </c>
      <c r="E276" s="56">
        <f t="shared" si="56"/>
        <v>373353</v>
      </c>
      <c r="F276" s="56">
        <f t="shared" si="56"/>
        <v>537628</v>
      </c>
      <c r="G276" s="84"/>
      <c r="H276" s="84"/>
      <c r="I276" s="56">
        <f>$I$5</f>
        <v>373353</v>
      </c>
      <c r="J276" s="56">
        <f t="shared" si="57"/>
        <v>537628</v>
      </c>
      <c r="M276" s="101"/>
      <c r="N276" s="86"/>
    </row>
    <row r="277" spans="1:16" s="87" customFormat="1" ht="24.95" customHeight="1">
      <c r="A277" s="81" t="s">
        <v>139</v>
      </c>
      <c r="B277" s="82"/>
      <c r="C277" s="83">
        <f>'비상대처계획(기준소요인력)'!F38</f>
        <v>3.21</v>
      </c>
      <c r="D277" s="55" t="s">
        <v>41</v>
      </c>
      <c r="E277" s="56">
        <f t="shared" si="56"/>
        <v>310884</v>
      </c>
      <c r="F277" s="56">
        <f t="shared" si="56"/>
        <v>997937</v>
      </c>
      <c r="G277" s="84"/>
      <c r="H277" s="84"/>
      <c r="I277" s="56">
        <f>$I$6</f>
        <v>310884</v>
      </c>
      <c r="J277" s="56">
        <f t="shared" si="57"/>
        <v>997937</v>
      </c>
      <c r="M277" s="101"/>
      <c r="N277" s="86"/>
    </row>
    <row r="278" spans="1:16" s="87" customFormat="1" ht="24.95" customHeight="1">
      <c r="A278" s="81" t="s">
        <v>168</v>
      </c>
      <c r="B278" s="82"/>
      <c r="C278" s="83">
        <f>'비상대처계획(기준소요인력)'!G38</f>
        <v>3.61</v>
      </c>
      <c r="D278" s="55" t="s">
        <v>41</v>
      </c>
      <c r="E278" s="56">
        <f t="shared" si="56"/>
        <v>295138</v>
      </c>
      <c r="F278" s="56">
        <f t="shared" si="56"/>
        <v>1065448</v>
      </c>
      <c r="G278" s="84"/>
      <c r="H278" s="84"/>
      <c r="I278" s="56">
        <f>$I$7</f>
        <v>295138</v>
      </c>
      <c r="J278" s="56">
        <f t="shared" si="57"/>
        <v>1065448</v>
      </c>
      <c r="M278" s="101"/>
      <c r="N278" s="86"/>
    </row>
    <row r="279" spans="1:16" s="87" customFormat="1" ht="24.95" customHeight="1">
      <c r="A279" s="81" t="s">
        <v>165</v>
      </c>
      <c r="B279" s="82"/>
      <c r="C279" s="83">
        <f>'비상대처계획(기준소요인력)'!H38</f>
        <v>4.01</v>
      </c>
      <c r="D279" s="55" t="s">
        <v>41</v>
      </c>
      <c r="E279" s="56">
        <f t="shared" si="56"/>
        <v>235459</v>
      </c>
      <c r="F279" s="56">
        <f t="shared" si="56"/>
        <v>944190</v>
      </c>
      <c r="G279" s="84"/>
      <c r="H279" s="84"/>
      <c r="I279" s="56">
        <f>$I$8</f>
        <v>235459</v>
      </c>
      <c r="J279" s="56">
        <f t="shared" si="57"/>
        <v>944190</v>
      </c>
      <c r="M279" s="101"/>
      <c r="N279" s="86"/>
    </row>
    <row r="280" spans="1:16" s="87" customFormat="1" ht="24.95" customHeight="1">
      <c r="A280" s="81" t="s">
        <v>180</v>
      </c>
      <c r="B280" s="82"/>
      <c r="C280" s="83">
        <f>'비상대처계획(기준소요인력)'!I38</f>
        <v>4.5</v>
      </c>
      <c r="D280" s="55" t="s">
        <v>41</v>
      </c>
      <c r="E280" s="56">
        <f t="shared" si="56"/>
        <v>250087</v>
      </c>
      <c r="F280" s="56">
        <f t="shared" si="56"/>
        <v>1125391</v>
      </c>
      <c r="G280" s="84"/>
      <c r="H280" s="84"/>
      <c r="I280" s="56">
        <f>$I$9</f>
        <v>250087</v>
      </c>
      <c r="J280" s="56">
        <f t="shared" si="57"/>
        <v>1125391</v>
      </c>
      <c r="M280" s="101"/>
      <c r="N280" s="86"/>
    </row>
    <row r="281" spans="1:16" s="87" customFormat="1" ht="24.95" customHeight="1">
      <c r="A281" s="81" t="s">
        <v>39</v>
      </c>
      <c r="B281" s="82"/>
      <c r="C281" s="83"/>
      <c r="D281" s="55"/>
      <c r="E281" s="56"/>
      <c r="F281" s="56">
        <f t="shared" si="56"/>
        <v>5119122</v>
      </c>
      <c r="G281" s="84"/>
      <c r="H281" s="84"/>
      <c r="I281" s="56"/>
      <c r="J281" s="56">
        <f>SUM(J275:J280)</f>
        <v>5119122</v>
      </c>
      <c r="M281" s="101"/>
      <c r="N281" s="86"/>
    </row>
    <row r="282" spans="1:16" s="87" customFormat="1" ht="24.95" customHeight="1">
      <c r="A282" s="81" t="s">
        <v>45</v>
      </c>
      <c r="B282" s="95">
        <f>$S$11</f>
        <v>1</v>
      </c>
      <c r="C282" s="83"/>
      <c r="D282" s="55"/>
      <c r="E282" s="51">
        <f>F282</f>
        <v>5119122</v>
      </c>
      <c r="F282" s="56">
        <f t="shared" si="56"/>
        <v>5119122</v>
      </c>
      <c r="G282" s="82"/>
      <c r="H282" s="82"/>
      <c r="I282" s="56"/>
      <c r="J282" s="56">
        <f>TRUNC(J281*B282,0)</f>
        <v>5119122</v>
      </c>
      <c r="M282" s="101"/>
      <c r="N282" s="86"/>
    </row>
    <row r="283" spans="1:16" s="87" customFormat="1" ht="24.95" customHeight="1">
      <c r="A283" s="102" t="s">
        <v>1917</v>
      </c>
      <c r="B283" s="82"/>
      <c r="C283" s="83"/>
      <c r="D283" s="55"/>
      <c r="E283" s="82"/>
      <c r="F283" s="84"/>
      <c r="G283" s="82"/>
      <c r="H283" s="82"/>
      <c r="I283" s="82"/>
      <c r="J283" s="84"/>
      <c r="K283" s="84"/>
      <c r="L283" s="84"/>
      <c r="M283" s="85"/>
      <c r="N283" s="86"/>
    </row>
    <row r="284" spans="1:16" s="87" customFormat="1" ht="24.95" customHeight="1">
      <c r="A284" s="81" t="s">
        <v>150</v>
      </c>
      <c r="B284" s="82"/>
      <c r="C284" s="83">
        <f>'비상대처계획(기준소요인력)'!D40</f>
        <v>1.8</v>
      </c>
      <c r="D284" s="55" t="s">
        <v>41</v>
      </c>
      <c r="E284" s="56">
        <f t="shared" ref="E284:F291" si="58">G284+I284+K284</f>
        <v>467217</v>
      </c>
      <c r="F284" s="56">
        <f t="shared" si="58"/>
        <v>840990</v>
      </c>
      <c r="G284" s="84"/>
      <c r="H284" s="84"/>
      <c r="I284" s="56">
        <f>$I$4</f>
        <v>467217</v>
      </c>
      <c r="J284" s="56">
        <f t="shared" ref="J284:J289" si="59">INT(I284*C284)</f>
        <v>840990</v>
      </c>
      <c r="K284" s="84"/>
      <c r="L284" s="84"/>
      <c r="M284" s="85"/>
      <c r="N284" s="86"/>
    </row>
    <row r="285" spans="1:16" s="87" customFormat="1" ht="24.95" customHeight="1">
      <c r="A285" s="81" t="s">
        <v>146</v>
      </c>
      <c r="B285" s="82"/>
      <c r="C285" s="83">
        <f>'비상대처계획(기준소요인력)'!E40</f>
        <v>5.4</v>
      </c>
      <c r="D285" s="55" t="s">
        <v>41</v>
      </c>
      <c r="E285" s="56">
        <f t="shared" si="58"/>
        <v>373353</v>
      </c>
      <c r="F285" s="56">
        <f t="shared" si="58"/>
        <v>2016106</v>
      </c>
      <c r="G285" s="84"/>
      <c r="H285" s="84"/>
      <c r="I285" s="56">
        <f>$I$5</f>
        <v>373353</v>
      </c>
      <c r="J285" s="56">
        <f t="shared" si="59"/>
        <v>2016106</v>
      </c>
      <c r="K285" s="84"/>
      <c r="L285" s="84"/>
      <c r="M285" s="85"/>
      <c r="N285" s="86"/>
    </row>
    <row r="286" spans="1:16" s="87" customFormat="1" ht="24.95" customHeight="1">
      <c r="A286" s="81" t="s">
        <v>139</v>
      </c>
      <c r="B286" s="82"/>
      <c r="C286" s="83">
        <f>'비상대처계획(기준소요인력)'!F40</f>
        <v>5.4</v>
      </c>
      <c r="D286" s="55" t="s">
        <v>41</v>
      </c>
      <c r="E286" s="56">
        <f t="shared" si="58"/>
        <v>310884</v>
      </c>
      <c r="F286" s="56">
        <f t="shared" si="58"/>
        <v>1678773</v>
      </c>
      <c r="G286" s="84"/>
      <c r="H286" s="84"/>
      <c r="I286" s="56">
        <f>$I$6</f>
        <v>310884</v>
      </c>
      <c r="J286" s="56">
        <f t="shared" si="59"/>
        <v>1678773</v>
      </c>
      <c r="K286" s="84"/>
      <c r="L286" s="84"/>
      <c r="M286" s="85"/>
      <c r="N286" s="86"/>
    </row>
    <row r="287" spans="1:16" s="87" customFormat="1" ht="24.95" customHeight="1">
      <c r="A287" s="81" t="s">
        <v>168</v>
      </c>
      <c r="B287" s="82"/>
      <c r="C287" s="83">
        <f>'비상대처계획(기준소요인력)'!G40</f>
        <v>5.4</v>
      </c>
      <c r="D287" s="55" t="s">
        <v>41</v>
      </c>
      <c r="E287" s="56">
        <f t="shared" si="58"/>
        <v>295138</v>
      </c>
      <c r="F287" s="56">
        <f t="shared" si="58"/>
        <v>1593745</v>
      </c>
      <c r="G287" s="84"/>
      <c r="H287" s="84"/>
      <c r="I287" s="56">
        <f>$I$7</f>
        <v>295138</v>
      </c>
      <c r="J287" s="56">
        <f t="shared" si="59"/>
        <v>1593745</v>
      </c>
      <c r="K287" s="84"/>
      <c r="L287" s="84"/>
      <c r="M287" s="85"/>
      <c r="N287" s="86"/>
    </row>
    <row r="288" spans="1:16" s="87" customFormat="1" ht="24.95" customHeight="1">
      <c r="A288" s="81" t="s">
        <v>165</v>
      </c>
      <c r="B288" s="82"/>
      <c r="C288" s="83">
        <f>'비상대처계획(기준소요인력)'!H40</f>
        <v>5.4</v>
      </c>
      <c r="D288" s="55" t="s">
        <v>41</v>
      </c>
      <c r="E288" s="56">
        <f t="shared" si="58"/>
        <v>235459</v>
      </c>
      <c r="F288" s="56">
        <f t="shared" si="58"/>
        <v>1271478</v>
      </c>
      <c r="G288" s="84"/>
      <c r="H288" s="84"/>
      <c r="I288" s="56">
        <f>$I$8</f>
        <v>235459</v>
      </c>
      <c r="J288" s="56">
        <f t="shared" si="59"/>
        <v>1271478</v>
      </c>
      <c r="K288" s="84"/>
      <c r="L288" s="84"/>
      <c r="M288" s="85"/>
      <c r="N288" s="86"/>
    </row>
    <row r="289" spans="1:14" s="87" customFormat="1" ht="24.95" customHeight="1">
      <c r="A289" s="81" t="s">
        <v>180</v>
      </c>
      <c r="B289" s="82"/>
      <c r="C289" s="83">
        <f>'비상대처계획(기준소요인력)'!I40</f>
        <v>5.4</v>
      </c>
      <c r="D289" s="55" t="s">
        <v>41</v>
      </c>
      <c r="E289" s="56">
        <f t="shared" si="58"/>
        <v>250087</v>
      </c>
      <c r="F289" s="56">
        <f t="shared" si="58"/>
        <v>1350469</v>
      </c>
      <c r="G289" s="84"/>
      <c r="H289" s="84"/>
      <c r="I289" s="56">
        <f>$I$9</f>
        <v>250087</v>
      </c>
      <c r="J289" s="56">
        <f t="shared" si="59"/>
        <v>1350469</v>
      </c>
      <c r="K289" s="84"/>
      <c r="L289" s="84"/>
      <c r="M289" s="85"/>
      <c r="N289" s="86"/>
    </row>
    <row r="290" spans="1:14" s="87" customFormat="1" ht="24.95" customHeight="1">
      <c r="A290" s="81" t="s">
        <v>39</v>
      </c>
      <c r="B290" s="82"/>
      <c r="C290" s="83"/>
      <c r="D290" s="55"/>
      <c r="E290" s="56"/>
      <c r="F290" s="56">
        <f t="shared" si="58"/>
        <v>8751561</v>
      </c>
      <c r="G290" s="84"/>
      <c r="H290" s="84"/>
      <c r="I290" s="56"/>
      <c r="J290" s="56">
        <f>SUM(J284:J289)</f>
        <v>8751561</v>
      </c>
      <c r="K290" s="84"/>
      <c r="L290" s="84"/>
      <c r="M290" s="85"/>
      <c r="N290" s="86"/>
    </row>
    <row r="291" spans="1:14" s="87" customFormat="1" ht="24.95" customHeight="1">
      <c r="A291" s="81" t="s">
        <v>45</v>
      </c>
      <c r="B291" s="95">
        <f>$S$12</f>
        <v>1</v>
      </c>
      <c r="C291" s="83"/>
      <c r="D291" s="55"/>
      <c r="E291" s="51">
        <f>F291</f>
        <v>8751561</v>
      </c>
      <c r="F291" s="56">
        <f t="shared" si="58"/>
        <v>8751561</v>
      </c>
      <c r="G291" s="82"/>
      <c r="H291" s="82"/>
      <c r="I291" s="56"/>
      <c r="J291" s="56">
        <f>TRUNC(J290*B291,0)</f>
        <v>8751561</v>
      </c>
      <c r="K291" s="82"/>
      <c r="L291" s="82"/>
      <c r="M291" s="96"/>
      <c r="N291" s="86"/>
    </row>
    <row r="292" spans="1:14" s="87" customFormat="1" ht="24.95" customHeight="1">
      <c r="A292" s="81"/>
      <c r="B292" s="95"/>
      <c r="C292" s="83"/>
      <c r="D292" s="55"/>
      <c r="E292" s="51"/>
      <c r="F292" s="56"/>
      <c r="G292" s="82"/>
      <c r="H292" s="82"/>
      <c r="I292" s="56"/>
      <c r="J292" s="56"/>
      <c r="K292" s="82"/>
      <c r="L292" s="82"/>
      <c r="M292" s="96"/>
      <c r="N292" s="86"/>
    </row>
    <row r="293" spans="1:14" s="87" customFormat="1" ht="24.95" customHeight="1">
      <c r="A293" s="81"/>
      <c r="B293" s="95"/>
      <c r="C293" s="83"/>
      <c r="D293" s="55"/>
      <c r="E293" s="51"/>
      <c r="F293" s="56"/>
      <c r="G293" s="82"/>
      <c r="H293" s="82"/>
      <c r="I293" s="56"/>
      <c r="J293" s="56"/>
      <c r="K293" s="82"/>
      <c r="L293" s="82"/>
      <c r="M293" s="96"/>
      <c r="N293" s="86"/>
    </row>
    <row r="294" spans="1:14" s="87" customFormat="1" ht="24.95" customHeight="1">
      <c r="A294" s="102" t="s">
        <v>1918</v>
      </c>
      <c r="B294" s="82"/>
      <c r="C294" s="83"/>
      <c r="D294" s="55"/>
      <c r="E294" s="84"/>
      <c r="F294" s="84"/>
      <c r="G294" s="84"/>
      <c r="H294" s="84"/>
      <c r="I294" s="84"/>
      <c r="J294" s="84"/>
      <c r="K294" s="88"/>
      <c r="M294" s="101"/>
      <c r="N294" s="86"/>
    </row>
    <row r="295" spans="1:14" s="87" customFormat="1" ht="24.95" customHeight="1">
      <c r="A295" s="81" t="s">
        <v>150</v>
      </c>
      <c r="B295" s="82"/>
      <c r="C295" s="83">
        <f>'비상대처계획(기준소요인력)'!D41</f>
        <v>1.2</v>
      </c>
      <c r="D295" s="55" t="s">
        <v>41</v>
      </c>
      <c r="E295" s="56">
        <f t="shared" ref="E295:F302" si="60">G295+I295+K295</f>
        <v>467217</v>
      </c>
      <c r="F295" s="56">
        <f t="shared" si="60"/>
        <v>560660</v>
      </c>
      <c r="G295" s="84"/>
      <c r="H295" s="84"/>
      <c r="I295" s="56">
        <f>$I$4</f>
        <v>467217</v>
      </c>
      <c r="J295" s="56">
        <f t="shared" ref="J295:J300" si="61">INT(I295*C295)</f>
        <v>560660</v>
      </c>
      <c r="M295" s="101"/>
      <c r="N295" s="86"/>
    </row>
    <row r="296" spans="1:14" s="87" customFormat="1" ht="24.95" customHeight="1">
      <c r="A296" s="81" t="s">
        <v>146</v>
      </c>
      <c r="B296" s="82"/>
      <c r="C296" s="83">
        <f>'비상대처계획(기준소요인력)'!E41</f>
        <v>3.6</v>
      </c>
      <c r="D296" s="55" t="s">
        <v>41</v>
      </c>
      <c r="E296" s="56">
        <f t="shared" si="60"/>
        <v>373353</v>
      </c>
      <c r="F296" s="56">
        <f t="shared" si="60"/>
        <v>1344070</v>
      </c>
      <c r="G296" s="84"/>
      <c r="H296" s="84"/>
      <c r="I296" s="56">
        <f>$I$5</f>
        <v>373353</v>
      </c>
      <c r="J296" s="56">
        <f t="shared" si="61"/>
        <v>1344070</v>
      </c>
      <c r="M296" s="101"/>
      <c r="N296" s="86"/>
    </row>
    <row r="297" spans="1:14" s="87" customFormat="1" ht="24.95" customHeight="1">
      <c r="A297" s="81" t="s">
        <v>139</v>
      </c>
      <c r="B297" s="82"/>
      <c r="C297" s="83">
        <f>'비상대처계획(기준소요인력)'!F41</f>
        <v>3.6</v>
      </c>
      <c r="D297" s="55" t="s">
        <v>41</v>
      </c>
      <c r="E297" s="56">
        <f t="shared" si="60"/>
        <v>310884</v>
      </c>
      <c r="F297" s="56">
        <f t="shared" si="60"/>
        <v>1119182</v>
      </c>
      <c r="G297" s="84"/>
      <c r="H297" s="84"/>
      <c r="I297" s="56">
        <f>$I$6</f>
        <v>310884</v>
      </c>
      <c r="J297" s="56">
        <f t="shared" si="61"/>
        <v>1119182</v>
      </c>
      <c r="M297" s="101"/>
      <c r="N297" s="86"/>
    </row>
    <row r="298" spans="1:14" s="87" customFormat="1" ht="24.95" customHeight="1">
      <c r="A298" s="81" t="s">
        <v>168</v>
      </c>
      <c r="B298" s="82"/>
      <c r="C298" s="83">
        <f>'비상대처계획(기준소요인력)'!G41</f>
        <v>3.6</v>
      </c>
      <c r="D298" s="55" t="s">
        <v>41</v>
      </c>
      <c r="E298" s="56">
        <f t="shared" si="60"/>
        <v>295138</v>
      </c>
      <c r="F298" s="56">
        <f t="shared" si="60"/>
        <v>1062496</v>
      </c>
      <c r="G298" s="84"/>
      <c r="H298" s="84"/>
      <c r="I298" s="56">
        <f>$I$7</f>
        <v>295138</v>
      </c>
      <c r="J298" s="56">
        <f t="shared" si="61"/>
        <v>1062496</v>
      </c>
      <c r="M298" s="101"/>
      <c r="N298" s="86"/>
    </row>
    <row r="299" spans="1:14" s="87" customFormat="1" ht="24.95" customHeight="1">
      <c r="A299" s="81" t="s">
        <v>165</v>
      </c>
      <c r="B299" s="82"/>
      <c r="C299" s="83">
        <f>'비상대처계획(기준소요인력)'!H41</f>
        <v>3.6</v>
      </c>
      <c r="D299" s="55" t="s">
        <v>41</v>
      </c>
      <c r="E299" s="56">
        <f t="shared" si="60"/>
        <v>235459</v>
      </c>
      <c r="F299" s="56">
        <f t="shared" si="60"/>
        <v>847652</v>
      </c>
      <c r="G299" s="84"/>
      <c r="H299" s="84"/>
      <c r="I299" s="56">
        <f>$I$8</f>
        <v>235459</v>
      </c>
      <c r="J299" s="56">
        <f t="shared" si="61"/>
        <v>847652</v>
      </c>
      <c r="M299" s="101"/>
      <c r="N299" s="86"/>
    </row>
    <row r="300" spans="1:14" s="87" customFormat="1" ht="24.95" customHeight="1">
      <c r="A300" s="81" t="s">
        <v>179</v>
      </c>
      <c r="B300" s="82"/>
      <c r="C300" s="83">
        <f>'비상대처계획(기준소요인력)'!I41</f>
        <v>3.6</v>
      </c>
      <c r="D300" s="55" t="s">
        <v>41</v>
      </c>
      <c r="E300" s="56">
        <f t="shared" si="60"/>
        <v>250087</v>
      </c>
      <c r="F300" s="56">
        <f t="shared" si="60"/>
        <v>900313</v>
      </c>
      <c r="G300" s="84"/>
      <c r="H300" s="84"/>
      <c r="I300" s="56">
        <f>$I$9</f>
        <v>250087</v>
      </c>
      <c r="J300" s="56">
        <f t="shared" si="61"/>
        <v>900313</v>
      </c>
      <c r="M300" s="101"/>
      <c r="N300" s="86"/>
    </row>
    <row r="301" spans="1:14" s="87" customFormat="1" ht="24.95" customHeight="1">
      <c r="A301" s="81" t="s">
        <v>39</v>
      </c>
      <c r="B301" s="82"/>
      <c r="C301" s="83"/>
      <c r="D301" s="55"/>
      <c r="E301" s="56"/>
      <c r="F301" s="56">
        <f t="shared" si="60"/>
        <v>5834373</v>
      </c>
      <c r="G301" s="84"/>
      <c r="H301" s="84"/>
      <c r="I301" s="56"/>
      <c r="J301" s="56">
        <f>SUM(J295:J300)</f>
        <v>5834373</v>
      </c>
      <c r="M301" s="101"/>
      <c r="N301" s="86"/>
    </row>
    <row r="302" spans="1:14" s="87" customFormat="1" ht="24.95" customHeight="1">
      <c r="A302" s="81" t="s">
        <v>45</v>
      </c>
      <c r="B302" s="95">
        <f>$S$12</f>
        <v>1</v>
      </c>
      <c r="C302" s="83"/>
      <c r="D302" s="55"/>
      <c r="E302" s="51">
        <f>F302</f>
        <v>5834373</v>
      </c>
      <c r="F302" s="56">
        <f t="shared" si="60"/>
        <v>5834373</v>
      </c>
      <c r="G302" s="82"/>
      <c r="H302" s="82"/>
      <c r="I302" s="56"/>
      <c r="J302" s="56">
        <f>TRUNC(J301*B302,0)</f>
        <v>5834373</v>
      </c>
      <c r="M302" s="101"/>
      <c r="N302" s="86"/>
    </row>
    <row r="303" spans="1:14" s="87" customFormat="1" ht="24.95" customHeight="1">
      <c r="A303" s="102" t="s">
        <v>1919</v>
      </c>
      <c r="B303" s="82"/>
      <c r="C303" s="83"/>
      <c r="D303" s="55"/>
      <c r="E303" s="84"/>
      <c r="F303" s="84"/>
      <c r="G303" s="84"/>
      <c r="H303" s="84"/>
      <c r="I303" s="84"/>
      <c r="J303" s="84"/>
      <c r="K303" s="88"/>
      <c r="M303" s="101"/>
      <c r="N303" s="86"/>
    </row>
    <row r="304" spans="1:14" s="87" customFormat="1" ht="24.95" customHeight="1">
      <c r="A304" s="81" t="s">
        <v>150</v>
      </c>
      <c r="B304" s="82"/>
      <c r="C304" s="83">
        <f>'비상대처계획(기준소요인력)'!D42</f>
        <v>1.5</v>
      </c>
      <c r="D304" s="55" t="s">
        <v>41</v>
      </c>
      <c r="E304" s="56">
        <f t="shared" ref="E304:F311" si="62">G304+I304+K304</f>
        <v>467217</v>
      </c>
      <c r="F304" s="56">
        <f t="shared" si="62"/>
        <v>700825</v>
      </c>
      <c r="G304" s="84"/>
      <c r="H304" s="84"/>
      <c r="I304" s="56">
        <f>$I$4</f>
        <v>467217</v>
      </c>
      <c r="J304" s="56">
        <f t="shared" ref="J304:J309" si="63">INT(I304*C304)</f>
        <v>700825</v>
      </c>
      <c r="M304" s="101"/>
      <c r="N304" s="86"/>
    </row>
    <row r="305" spans="1:16" s="87" customFormat="1" ht="24.95" customHeight="1">
      <c r="A305" s="81" t="s">
        <v>146</v>
      </c>
      <c r="B305" s="82"/>
      <c r="C305" s="83">
        <f>'비상대처계획(기준소요인력)'!E42</f>
        <v>4.5</v>
      </c>
      <c r="D305" s="55" t="s">
        <v>41</v>
      </c>
      <c r="E305" s="56">
        <f t="shared" si="62"/>
        <v>373353</v>
      </c>
      <c r="F305" s="56">
        <f t="shared" si="62"/>
        <v>1680088</v>
      </c>
      <c r="G305" s="84"/>
      <c r="H305" s="84"/>
      <c r="I305" s="56">
        <f>$I$5</f>
        <v>373353</v>
      </c>
      <c r="J305" s="56">
        <f t="shared" si="63"/>
        <v>1680088</v>
      </c>
      <c r="M305" s="101"/>
      <c r="N305" s="86"/>
    </row>
    <row r="306" spans="1:16" s="87" customFormat="1" ht="24.95" customHeight="1">
      <c r="A306" s="81" t="s">
        <v>139</v>
      </c>
      <c r="B306" s="82"/>
      <c r="C306" s="83">
        <f>'비상대처계획(기준소요인력)'!F42</f>
        <v>4.5</v>
      </c>
      <c r="D306" s="55" t="s">
        <v>41</v>
      </c>
      <c r="E306" s="56">
        <f t="shared" si="62"/>
        <v>310884</v>
      </c>
      <c r="F306" s="56">
        <f t="shared" si="62"/>
        <v>1398978</v>
      </c>
      <c r="G306" s="84"/>
      <c r="H306" s="84"/>
      <c r="I306" s="56">
        <f>$I$6</f>
        <v>310884</v>
      </c>
      <c r="J306" s="56">
        <f t="shared" si="63"/>
        <v>1398978</v>
      </c>
      <c r="M306" s="101"/>
      <c r="N306" s="86"/>
    </row>
    <row r="307" spans="1:16" s="87" customFormat="1" ht="24.95" customHeight="1">
      <c r="A307" s="81" t="s">
        <v>168</v>
      </c>
      <c r="B307" s="82"/>
      <c r="C307" s="83">
        <f>'비상대처계획(기준소요인력)'!G42</f>
        <v>4.5</v>
      </c>
      <c r="D307" s="55" t="s">
        <v>41</v>
      </c>
      <c r="E307" s="56">
        <f t="shared" si="62"/>
        <v>295138</v>
      </c>
      <c r="F307" s="56">
        <f t="shared" si="62"/>
        <v>1328121</v>
      </c>
      <c r="G307" s="84"/>
      <c r="H307" s="84"/>
      <c r="I307" s="56">
        <f>$I$7</f>
        <v>295138</v>
      </c>
      <c r="J307" s="56">
        <f t="shared" si="63"/>
        <v>1328121</v>
      </c>
      <c r="M307" s="101"/>
      <c r="N307" s="86"/>
    </row>
    <row r="308" spans="1:16" s="87" customFormat="1" ht="24.95" customHeight="1">
      <c r="A308" s="81" t="s">
        <v>165</v>
      </c>
      <c r="B308" s="82"/>
      <c r="C308" s="83">
        <f>'비상대처계획(기준소요인력)'!H42</f>
        <v>4.5</v>
      </c>
      <c r="D308" s="55" t="s">
        <v>41</v>
      </c>
      <c r="E308" s="56">
        <f t="shared" si="62"/>
        <v>235459</v>
      </c>
      <c r="F308" s="56">
        <f t="shared" si="62"/>
        <v>1059565</v>
      </c>
      <c r="G308" s="84"/>
      <c r="H308" s="84"/>
      <c r="I308" s="56">
        <f>$I$8</f>
        <v>235459</v>
      </c>
      <c r="J308" s="56">
        <f t="shared" si="63"/>
        <v>1059565</v>
      </c>
      <c r="M308" s="101"/>
      <c r="N308" s="86"/>
    </row>
    <row r="309" spans="1:16" s="87" customFormat="1" ht="24.95" customHeight="1">
      <c r="A309" s="81" t="s">
        <v>179</v>
      </c>
      <c r="B309" s="82"/>
      <c r="C309" s="83">
        <f>'비상대처계획(기준소요인력)'!I42</f>
        <v>4.5</v>
      </c>
      <c r="D309" s="55" t="s">
        <v>41</v>
      </c>
      <c r="E309" s="56">
        <f t="shared" si="62"/>
        <v>250087</v>
      </c>
      <c r="F309" s="56">
        <f t="shared" si="62"/>
        <v>1125391</v>
      </c>
      <c r="G309" s="84"/>
      <c r="H309" s="84"/>
      <c r="I309" s="56">
        <f>$I$9</f>
        <v>250087</v>
      </c>
      <c r="J309" s="56">
        <f t="shared" si="63"/>
        <v>1125391</v>
      </c>
      <c r="M309" s="101"/>
      <c r="N309" s="86"/>
    </row>
    <row r="310" spans="1:16" s="87" customFormat="1" ht="24.95" customHeight="1">
      <c r="A310" s="81" t="s">
        <v>39</v>
      </c>
      <c r="B310" s="82"/>
      <c r="C310" s="83"/>
      <c r="D310" s="55"/>
      <c r="E310" s="56"/>
      <c r="F310" s="56">
        <f t="shared" si="62"/>
        <v>7292968</v>
      </c>
      <c r="G310" s="84"/>
      <c r="H310" s="84"/>
      <c r="I310" s="56"/>
      <c r="J310" s="56">
        <f>SUM(J304:J309)</f>
        <v>7292968</v>
      </c>
      <c r="M310" s="101"/>
      <c r="N310" s="86"/>
    </row>
    <row r="311" spans="1:16" s="87" customFormat="1" ht="24.95" customHeight="1">
      <c r="A311" s="81" t="s">
        <v>45</v>
      </c>
      <c r="B311" s="95">
        <f>$S$12</f>
        <v>1</v>
      </c>
      <c r="C311" s="83"/>
      <c r="D311" s="55"/>
      <c r="E311" s="51">
        <f>F311</f>
        <v>7292968</v>
      </c>
      <c r="F311" s="56">
        <f t="shared" si="62"/>
        <v>7292968</v>
      </c>
      <c r="G311" s="82"/>
      <c r="H311" s="82"/>
      <c r="I311" s="56"/>
      <c r="J311" s="56">
        <f>TRUNC(J310*B311,0)</f>
        <v>7292968</v>
      </c>
      <c r="M311" s="101"/>
      <c r="N311" s="86"/>
    </row>
    <row r="312" spans="1:16" s="87" customFormat="1" ht="24.95" customHeight="1">
      <c r="A312" s="81"/>
      <c r="B312" s="95"/>
      <c r="C312" s="83"/>
      <c r="D312" s="55"/>
      <c r="E312" s="51"/>
      <c r="F312" s="56"/>
      <c r="G312" s="82"/>
      <c r="H312" s="82"/>
      <c r="I312" s="56"/>
      <c r="J312" s="56"/>
      <c r="M312" s="101"/>
      <c r="N312" s="86"/>
    </row>
    <row r="313" spans="1:16" ht="24.95" customHeight="1">
      <c r="A313" s="81"/>
      <c r="B313" s="95"/>
      <c r="C313" s="83"/>
      <c r="D313" s="55"/>
      <c r="E313" s="51"/>
      <c r="F313" s="56"/>
      <c r="G313" s="82"/>
      <c r="H313" s="82"/>
      <c r="I313" s="56"/>
      <c r="J313" s="56"/>
      <c r="K313" s="87"/>
      <c r="L313" s="87"/>
      <c r="M313" s="101"/>
      <c r="N313" s="86"/>
      <c r="O313" s="87"/>
      <c r="P313" s="87"/>
    </row>
    <row r="314" spans="1:16" ht="24.95" customHeight="1">
      <c r="A314" s="102" t="s">
        <v>1920</v>
      </c>
      <c r="B314" s="82"/>
      <c r="C314" s="83"/>
      <c r="D314" s="55"/>
      <c r="E314" s="82"/>
      <c r="F314" s="84"/>
      <c r="G314" s="82"/>
      <c r="H314" s="82"/>
      <c r="I314" s="82"/>
      <c r="J314" s="84"/>
      <c r="K314" s="84"/>
      <c r="L314" s="84"/>
      <c r="M314" s="85"/>
      <c r="N314" s="86"/>
      <c r="O314" s="87"/>
      <c r="P314" s="87"/>
    </row>
    <row r="315" spans="1:16" ht="24.95" customHeight="1">
      <c r="A315" s="81" t="s">
        <v>150</v>
      </c>
      <c r="B315" s="82"/>
      <c r="C315" s="83">
        <f>'비상대처계획(기준소요인력)'!D43</f>
        <v>0.9</v>
      </c>
      <c r="D315" s="55" t="s">
        <v>41</v>
      </c>
      <c r="E315" s="56">
        <f t="shared" ref="E315:F322" si="64">G315+I315+K315</f>
        <v>467217</v>
      </c>
      <c r="F315" s="56">
        <f t="shared" si="64"/>
        <v>420495</v>
      </c>
      <c r="G315" s="84"/>
      <c r="H315" s="84"/>
      <c r="I315" s="56">
        <f>$I$4</f>
        <v>467217</v>
      </c>
      <c r="J315" s="56">
        <f t="shared" ref="J315:J320" si="65">INT(I315*C315)</f>
        <v>420495</v>
      </c>
      <c r="K315" s="84"/>
      <c r="L315" s="84"/>
      <c r="M315" s="85"/>
      <c r="N315" s="86"/>
      <c r="O315" s="87"/>
      <c r="P315" s="87"/>
    </row>
    <row r="316" spans="1:16" ht="24.95" customHeight="1">
      <c r="A316" s="81" t="s">
        <v>146</v>
      </c>
      <c r="B316" s="82"/>
      <c r="C316" s="83">
        <f>'비상대처계획(기준소요인력)'!E43</f>
        <v>2.7</v>
      </c>
      <c r="D316" s="55" t="s">
        <v>41</v>
      </c>
      <c r="E316" s="56">
        <f t="shared" si="64"/>
        <v>373353</v>
      </c>
      <c r="F316" s="56">
        <f t="shared" si="64"/>
        <v>1008053</v>
      </c>
      <c r="G316" s="84"/>
      <c r="H316" s="84"/>
      <c r="I316" s="56">
        <f>$I$5</f>
        <v>373353</v>
      </c>
      <c r="J316" s="56">
        <f t="shared" si="65"/>
        <v>1008053</v>
      </c>
      <c r="K316" s="84"/>
      <c r="L316" s="84"/>
      <c r="M316" s="85"/>
      <c r="N316" s="86"/>
      <c r="O316" s="87"/>
      <c r="P316" s="87"/>
    </row>
    <row r="317" spans="1:16" ht="24.95" customHeight="1">
      <c r="A317" s="81" t="s">
        <v>139</v>
      </c>
      <c r="B317" s="82"/>
      <c r="C317" s="83">
        <f>'비상대처계획(기준소요인력)'!F43</f>
        <v>2.7</v>
      </c>
      <c r="D317" s="55" t="s">
        <v>41</v>
      </c>
      <c r="E317" s="56">
        <f t="shared" si="64"/>
        <v>310884</v>
      </c>
      <c r="F317" s="56">
        <f t="shared" si="64"/>
        <v>839386</v>
      </c>
      <c r="G317" s="84"/>
      <c r="H317" s="84"/>
      <c r="I317" s="56">
        <f>$I$6</f>
        <v>310884</v>
      </c>
      <c r="J317" s="56">
        <f t="shared" si="65"/>
        <v>839386</v>
      </c>
      <c r="K317" s="84"/>
      <c r="L317" s="84"/>
      <c r="M317" s="85"/>
      <c r="N317" s="86"/>
      <c r="O317" s="87"/>
      <c r="P317" s="87"/>
    </row>
    <row r="318" spans="1:16" ht="24.95" customHeight="1">
      <c r="A318" s="81" t="s">
        <v>168</v>
      </c>
      <c r="B318" s="82"/>
      <c r="C318" s="83">
        <f>'비상대처계획(기준소요인력)'!G43</f>
        <v>2.7</v>
      </c>
      <c r="D318" s="55" t="s">
        <v>41</v>
      </c>
      <c r="E318" s="56">
        <f t="shared" si="64"/>
        <v>295138</v>
      </c>
      <c r="F318" s="56">
        <f t="shared" si="64"/>
        <v>796872</v>
      </c>
      <c r="G318" s="84"/>
      <c r="H318" s="84"/>
      <c r="I318" s="56">
        <f>$I$7</f>
        <v>295138</v>
      </c>
      <c r="J318" s="56">
        <f t="shared" si="65"/>
        <v>796872</v>
      </c>
      <c r="K318" s="84"/>
      <c r="L318" s="84"/>
      <c r="M318" s="85"/>
      <c r="N318" s="86"/>
      <c r="O318" s="87"/>
      <c r="P318" s="87"/>
    </row>
    <row r="319" spans="1:16" ht="24.95" customHeight="1">
      <c r="A319" s="81" t="s">
        <v>165</v>
      </c>
      <c r="B319" s="82"/>
      <c r="C319" s="83">
        <f>'비상대처계획(기준소요인력)'!H43</f>
        <v>2.7</v>
      </c>
      <c r="D319" s="55" t="s">
        <v>41</v>
      </c>
      <c r="E319" s="56">
        <f t="shared" si="64"/>
        <v>235459</v>
      </c>
      <c r="F319" s="56">
        <f t="shared" si="64"/>
        <v>635739</v>
      </c>
      <c r="G319" s="84"/>
      <c r="H319" s="84"/>
      <c r="I319" s="56">
        <f>$I$8</f>
        <v>235459</v>
      </c>
      <c r="J319" s="56">
        <f t="shared" si="65"/>
        <v>635739</v>
      </c>
      <c r="K319" s="84"/>
      <c r="L319" s="84"/>
      <c r="M319" s="85"/>
      <c r="N319" s="86"/>
      <c r="O319" s="87"/>
      <c r="P319" s="87"/>
    </row>
    <row r="320" spans="1:16" ht="24.95" customHeight="1">
      <c r="A320" s="81" t="s">
        <v>179</v>
      </c>
      <c r="B320" s="82"/>
      <c r="C320" s="83">
        <f>'비상대처계획(기준소요인력)'!I43</f>
        <v>2.7</v>
      </c>
      <c r="D320" s="55" t="s">
        <v>41</v>
      </c>
      <c r="E320" s="56">
        <f t="shared" si="64"/>
        <v>250087</v>
      </c>
      <c r="F320" s="56">
        <f t="shared" si="64"/>
        <v>675234</v>
      </c>
      <c r="G320" s="84"/>
      <c r="H320" s="84"/>
      <c r="I320" s="56">
        <f>$I$9</f>
        <v>250087</v>
      </c>
      <c r="J320" s="56">
        <f t="shared" si="65"/>
        <v>675234</v>
      </c>
      <c r="K320" s="84"/>
      <c r="L320" s="84"/>
      <c r="M320" s="85"/>
      <c r="N320" s="86"/>
      <c r="O320" s="87"/>
      <c r="P320" s="87"/>
    </row>
    <row r="321" spans="1:16" ht="24.95" customHeight="1">
      <c r="A321" s="81" t="s">
        <v>39</v>
      </c>
      <c r="B321" s="82"/>
      <c r="C321" s="83"/>
      <c r="D321" s="55"/>
      <c r="E321" s="56"/>
      <c r="F321" s="56">
        <f t="shared" si="64"/>
        <v>4375779</v>
      </c>
      <c r="G321" s="84"/>
      <c r="H321" s="84"/>
      <c r="I321" s="56"/>
      <c r="J321" s="56">
        <f>SUM(J315:J320)</f>
        <v>4375779</v>
      </c>
      <c r="K321" s="84"/>
      <c r="L321" s="84"/>
      <c r="M321" s="85"/>
      <c r="N321" s="86"/>
      <c r="O321" s="87"/>
      <c r="P321" s="87"/>
    </row>
    <row r="322" spans="1:16" ht="24.95" customHeight="1">
      <c r="A322" s="81" t="s">
        <v>45</v>
      </c>
      <c r="B322" s="95">
        <f>$S$12</f>
        <v>1</v>
      </c>
      <c r="C322" s="83"/>
      <c r="D322" s="55"/>
      <c r="E322" s="51">
        <f>F322</f>
        <v>4375779</v>
      </c>
      <c r="F322" s="56">
        <f t="shared" si="64"/>
        <v>4375779</v>
      </c>
      <c r="G322" s="82"/>
      <c r="H322" s="82"/>
      <c r="I322" s="56"/>
      <c r="J322" s="56">
        <f>TRUNC(J321*B322,0)</f>
        <v>4375779</v>
      </c>
      <c r="K322" s="82"/>
      <c r="L322" s="82"/>
      <c r="M322" s="96"/>
      <c r="N322" s="86"/>
      <c r="O322" s="87"/>
      <c r="P322" s="87"/>
    </row>
    <row r="323" spans="1:16" ht="24.95" customHeight="1">
      <c r="A323" s="102" t="s">
        <v>1921</v>
      </c>
      <c r="B323" s="82"/>
      <c r="C323" s="83"/>
      <c r="D323" s="55"/>
      <c r="E323" s="84"/>
      <c r="F323" s="84"/>
      <c r="G323" s="84"/>
      <c r="H323" s="84"/>
      <c r="I323" s="84"/>
      <c r="J323" s="84"/>
      <c r="K323" s="88"/>
      <c r="L323" s="87"/>
      <c r="M323" s="101"/>
      <c r="N323" s="86"/>
      <c r="O323" s="87"/>
      <c r="P323" s="87"/>
    </row>
    <row r="324" spans="1:16" ht="24.95" customHeight="1">
      <c r="A324" s="81" t="s">
        <v>150</v>
      </c>
      <c r="B324" s="82"/>
      <c r="C324" s="83">
        <f>'비상대처계획(기준소요인력)'!D44</f>
        <v>0.6</v>
      </c>
      <c r="D324" s="55" t="s">
        <v>41</v>
      </c>
      <c r="E324" s="56">
        <f t="shared" ref="E324:F331" si="66">G324+I324+K324</f>
        <v>467217</v>
      </c>
      <c r="F324" s="56">
        <f t="shared" si="66"/>
        <v>280330</v>
      </c>
      <c r="G324" s="84"/>
      <c r="H324" s="84"/>
      <c r="I324" s="56">
        <f>$I$4</f>
        <v>467217</v>
      </c>
      <c r="J324" s="56">
        <f t="shared" ref="J324:J329" si="67">INT(I324*C324)</f>
        <v>280330</v>
      </c>
      <c r="K324" s="87"/>
      <c r="L324" s="87"/>
      <c r="M324" s="101"/>
      <c r="N324" s="86"/>
      <c r="O324" s="87"/>
      <c r="P324" s="87"/>
    </row>
    <row r="325" spans="1:16" ht="24.95" customHeight="1">
      <c r="A325" s="81" t="s">
        <v>146</v>
      </c>
      <c r="B325" s="82"/>
      <c r="C325" s="83">
        <f>'비상대처계획(기준소요인력)'!E44</f>
        <v>1.8</v>
      </c>
      <c r="D325" s="55" t="s">
        <v>41</v>
      </c>
      <c r="E325" s="56">
        <f t="shared" si="66"/>
        <v>373353</v>
      </c>
      <c r="F325" s="56">
        <f t="shared" si="66"/>
        <v>672035</v>
      </c>
      <c r="G325" s="84"/>
      <c r="H325" s="84"/>
      <c r="I325" s="56">
        <f>$I$5</f>
        <v>373353</v>
      </c>
      <c r="J325" s="56">
        <f t="shared" si="67"/>
        <v>672035</v>
      </c>
      <c r="K325" s="87"/>
      <c r="L325" s="87"/>
      <c r="M325" s="101"/>
      <c r="N325" s="86"/>
      <c r="O325" s="87"/>
      <c r="P325" s="87"/>
    </row>
    <row r="326" spans="1:16" ht="24.95" customHeight="1">
      <c r="A326" s="81" t="s">
        <v>139</v>
      </c>
      <c r="B326" s="82"/>
      <c r="C326" s="83">
        <f>'비상대처계획(기준소요인력)'!F44</f>
        <v>1.8</v>
      </c>
      <c r="D326" s="55" t="s">
        <v>41</v>
      </c>
      <c r="E326" s="56">
        <f t="shared" si="66"/>
        <v>310884</v>
      </c>
      <c r="F326" s="56">
        <f t="shared" si="66"/>
        <v>559591</v>
      </c>
      <c r="G326" s="84"/>
      <c r="H326" s="84"/>
      <c r="I326" s="56">
        <f>$I$6</f>
        <v>310884</v>
      </c>
      <c r="J326" s="56">
        <f t="shared" si="67"/>
        <v>559591</v>
      </c>
      <c r="K326" s="87"/>
      <c r="L326" s="87"/>
      <c r="M326" s="101"/>
      <c r="N326" s="86"/>
      <c r="O326" s="87"/>
      <c r="P326" s="87"/>
    </row>
    <row r="327" spans="1:16" ht="24.95" customHeight="1">
      <c r="A327" s="81" t="s">
        <v>168</v>
      </c>
      <c r="B327" s="82"/>
      <c r="C327" s="83">
        <f>'비상대처계획(기준소요인력)'!G44</f>
        <v>1.8</v>
      </c>
      <c r="D327" s="55" t="s">
        <v>41</v>
      </c>
      <c r="E327" s="56">
        <f t="shared" si="66"/>
        <v>295138</v>
      </c>
      <c r="F327" s="56">
        <f t="shared" si="66"/>
        <v>531248</v>
      </c>
      <c r="G327" s="84"/>
      <c r="H327" s="84"/>
      <c r="I327" s="56">
        <f>$I$7</f>
        <v>295138</v>
      </c>
      <c r="J327" s="56">
        <f t="shared" si="67"/>
        <v>531248</v>
      </c>
      <c r="K327" s="87"/>
      <c r="L327" s="87"/>
      <c r="M327" s="101"/>
      <c r="N327" s="86"/>
      <c r="O327" s="87"/>
      <c r="P327" s="87"/>
    </row>
    <row r="328" spans="1:16" ht="24.95" customHeight="1">
      <c r="A328" s="81" t="s">
        <v>165</v>
      </c>
      <c r="B328" s="82"/>
      <c r="C328" s="83">
        <f>'비상대처계획(기준소요인력)'!H44</f>
        <v>1.8</v>
      </c>
      <c r="D328" s="55" t="s">
        <v>41</v>
      </c>
      <c r="E328" s="56">
        <f t="shared" si="66"/>
        <v>235459</v>
      </c>
      <c r="F328" s="56">
        <f t="shared" si="66"/>
        <v>423826</v>
      </c>
      <c r="G328" s="84"/>
      <c r="H328" s="84"/>
      <c r="I328" s="56">
        <f>$I$8</f>
        <v>235459</v>
      </c>
      <c r="J328" s="56">
        <f t="shared" si="67"/>
        <v>423826</v>
      </c>
      <c r="K328" s="87"/>
      <c r="L328" s="87"/>
      <c r="M328" s="101"/>
      <c r="N328" s="86"/>
      <c r="O328" s="87"/>
      <c r="P328" s="87"/>
    </row>
    <row r="329" spans="1:16" ht="24.95" customHeight="1">
      <c r="A329" s="81" t="s">
        <v>179</v>
      </c>
      <c r="B329" s="82"/>
      <c r="C329" s="83">
        <f>'비상대처계획(기준소요인력)'!I44</f>
        <v>1.8</v>
      </c>
      <c r="D329" s="55" t="s">
        <v>41</v>
      </c>
      <c r="E329" s="56">
        <f t="shared" si="66"/>
        <v>250087</v>
      </c>
      <c r="F329" s="56">
        <f t="shared" si="66"/>
        <v>450156</v>
      </c>
      <c r="G329" s="84"/>
      <c r="H329" s="84"/>
      <c r="I329" s="56">
        <f>$I$9</f>
        <v>250087</v>
      </c>
      <c r="J329" s="56">
        <f t="shared" si="67"/>
        <v>450156</v>
      </c>
      <c r="K329" s="87"/>
      <c r="L329" s="87"/>
      <c r="M329" s="101"/>
      <c r="N329" s="86"/>
      <c r="O329" s="87"/>
      <c r="P329" s="87"/>
    </row>
    <row r="330" spans="1:16" ht="24.95" customHeight="1">
      <c r="A330" s="81" t="s">
        <v>39</v>
      </c>
      <c r="B330" s="82"/>
      <c r="C330" s="83"/>
      <c r="D330" s="55"/>
      <c r="E330" s="56"/>
      <c r="F330" s="56">
        <f t="shared" si="66"/>
        <v>2917186</v>
      </c>
      <c r="G330" s="84"/>
      <c r="H330" s="84"/>
      <c r="I330" s="56"/>
      <c r="J330" s="56">
        <f>SUM(J324:J329)</f>
        <v>2917186</v>
      </c>
      <c r="K330" s="87"/>
      <c r="L330" s="87"/>
      <c r="M330" s="101"/>
      <c r="N330" s="86"/>
      <c r="O330" s="87"/>
      <c r="P330" s="87"/>
    </row>
    <row r="331" spans="1:16" ht="24.95" customHeight="1">
      <c r="A331" s="81" t="s">
        <v>45</v>
      </c>
      <c r="B331" s="95">
        <f>$S$12</f>
        <v>1</v>
      </c>
      <c r="C331" s="83"/>
      <c r="D331" s="55"/>
      <c r="E331" s="51">
        <f>F331</f>
        <v>2917186</v>
      </c>
      <c r="F331" s="56">
        <f t="shared" si="66"/>
        <v>2917186</v>
      </c>
      <c r="G331" s="82"/>
      <c r="H331" s="82"/>
      <c r="I331" s="56"/>
      <c r="J331" s="56">
        <f>TRUNC(J330*B331,0)</f>
        <v>2917186</v>
      </c>
      <c r="K331" s="87"/>
      <c r="L331" s="87"/>
      <c r="M331" s="101"/>
      <c r="N331" s="86"/>
      <c r="O331" s="87"/>
      <c r="P331" s="87"/>
    </row>
    <row r="332" spans="1:16" ht="24.95" customHeight="1">
      <c r="A332" s="81"/>
      <c r="B332" s="95"/>
      <c r="C332" s="83"/>
      <c r="D332" s="55"/>
      <c r="E332" s="51"/>
      <c r="F332" s="56"/>
      <c r="G332" s="82"/>
      <c r="H332" s="82"/>
      <c r="I332" s="56"/>
      <c r="J332" s="56"/>
      <c r="K332" s="87"/>
      <c r="L332" s="87"/>
      <c r="M332" s="101"/>
      <c r="N332" s="86"/>
      <c r="O332" s="87"/>
      <c r="P332" s="87"/>
    </row>
    <row r="333" spans="1:16" ht="24.95" customHeight="1">
      <c r="A333" s="81"/>
      <c r="B333" s="95"/>
      <c r="C333" s="83"/>
      <c r="D333" s="55"/>
      <c r="E333" s="51"/>
      <c r="F333" s="56"/>
      <c r="G333" s="82"/>
      <c r="H333" s="82"/>
      <c r="I333" s="56"/>
      <c r="J333" s="56"/>
      <c r="K333" s="87"/>
      <c r="L333" s="87"/>
      <c r="M333" s="101"/>
      <c r="N333" s="86"/>
      <c r="O333" s="87"/>
      <c r="P333" s="87"/>
    </row>
    <row r="334" spans="1:16" s="87" customFormat="1" ht="24.95" customHeight="1">
      <c r="A334" s="102" t="s">
        <v>1922</v>
      </c>
      <c r="B334" s="82"/>
      <c r="C334" s="83"/>
      <c r="D334" s="55"/>
      <c r="E334" s="82"/>
      <c r="F334" s="84"/>
      <c r="G334" s="82"/>
      <c r="H334" s="82"/>
      <c r="I334" s="82"/>
      <c r="J334" s="84"/>
      <c r="K334" s="84"/>
      <c r="L334" s="84"/>
      <c r="M334" s="85"/>
      <c r="N334" s="86"/>
    </row>
    <row r="335" spans="1:16" s="87" customFormat="1" ht="24.95" customHeight="1">
      <c r="A335" s="81" t="s">
        <v>150</v>
      </c>
      <c r="B335" s="82"/>
      <c r="C335" s="83">
        <f>'비상대처계획(기준소요인력)'!D46</f>
        <v>1.8</v>
      </c>
      <c r="D335" s="55" t="s">
        <v>41</v>
      </c>
      <c r="E335" s="56">
        <f t="shared" ref="E335:F342" si="68">G335+I335+K335</f>
        <v>467217</v>
      </c>
      <c r="F335" s="56">
        <f t="shared" si="68"/>
        <v>840990</v>
      </c>
      <c r="G335" s="84"/>
      <c r="H335" s="84"/>
      <c r="I335" s="56">
        <f>$I$4</f>
        <v>467217</v>
      </c>
      <c r="J335" s="56">
        <f t="shared" ref="J335:J340" si="69">INT(I335*C335)</f>
        <v>840990</v>
      </c>
      <c r="K335" s="84"/>
      <c r="L335" s="84"/>
      <c r="M335" s="85"/>
      <c r="N335" s="86"/>
    </row>
    <row r="336" spans="1:16" s="87" customFormat="1" ht="24.95" customHeight="1">
      <c r="A336" s="81" t="s">
        <v>146</v>
      </c>
      <c r="B336" s="82"/>
      <c r="C336" s="83">
        <f>'비상대처계획(기준소요인력)'!E46</f>
        <v>5.4</v>
      </c>
      <c r="D336" s="55" t="s">
        <v>41</v>
      </c>
      <c r="E336" s="56">
        <f t="shared" si="68"/>
        <v>373353</v>
      </c>
      <c r="F336" s="56">
        <f t="shared" si="68"/>
        <v>2016106</v>
      </c>
      <c r="G336" s="84"/>
      <c r="H336" s="84"/>
      <c r="I336" s="56">
        <f>$I$5</f>
        <v>373353</v>
      </c>
      <c r="J336" s="56">
        <f t="shared" si="69"/>
        <v>2016106</v>
      </c>
      <c r="K336" s="84"/>
      <c r="L336" s="84"/>
      <c r="M336" s="85"/>
      <c r="N336" s="86"/>
    </row>
    <row r="337" spans="1:16" s="87" customFormat="1" ht="24.95" customHeight="1">
      <c r="A337" s="81" t="s">
        <v>139</v>
      </c>
      <c r="B337" s="82"/>
      <c r="C337" s="83">
        <f>'비상대처계획(기준소요인력)'!F46</f>
        <v>5.4</v>
      </c>
      <c r="D337" s="55" t="s">
        <v>41</v>
      </c>
      <c r="E337" s="56">
        <f t="shared" si="68"/>
        <v>310884</v>
      </c>
      <c r="F337" s="56">
        <f t="shared" si="68"/>
        <v>1678773</v>
      </c>
      <c r="G337" s="84"/>
      <c r="H337" s="84"/>
      <c r="I337" s="56">
        <f>$I$6</f>
        <v>310884</v>
      </c>
      <c r="J337" s="56">
        <f t="shared" si="69"/>
        <v>1678773</v>
      </c>
      <c r="K337" s="84"/>
      <c r="L337" s="84"/>
      <c r="M337" s="85"/>
      <c r="N337" s="86"/>
    </row>
    <row r="338" spans="1:16" s="87" customFormat="1" ht="24.95" customHeight="1">
      <c r="A338" s="81" t="s">
        <v>168</v>
      </c>
      <c r="B338" s="82"/>
      <c r="C338" s="83">
        <f>'비상대처계획(기준소요인력)'!G46</f>
        <v>5.4</v>
      </c>
      <c r="D338" s="55" t="s">
        <v>41</v>
      </c>
      <c r="E338" s="56">
        <f t="shared" si="68"/>
        <v>295138</v>
      </c>
      <c r="F338" s="56">
        <f t="shared" si="68"/>
        <v>1593745</v>
      </c>
      <c r="G338" s="84"/>
      <c r="H338" s="84"/>
      <c r="I338" s="56">
        <f>$I$7</f>
        <v>295138</v>
      </c>
      <c r="J338" s="56">
        <f t="shared" si="69"/>
        <v>1593745</v>
      </c>
      <c r="K338" s="84"/>
      <c r="L338" s="84"/>
      <c r="M338" s="85"/>
      <c r="N338" s="86"/>
    </row>
    <row r="339" spans="1:16" s="87" customFormat="1" ht="24.95" customHeight="1">
      <c r="A339" s="81" t="s">
        <v>165</v>
      </c>
      <c r="B339" s="82"/>
      <c r="C339" s="83">
        <f>'비상대처계획(기준소요인력)'!H46</f>
        <v>5.4</v>
      </c>
      <c r="D339" s="55" t="s">
        <v>41</v>
      </c>
      <c r="E339" s="56">
        <f t="shared" si="68"/>
        <v>235459</v>
      </c>
      <c r="F339" s="56">
        <f t="shared" si="68"/>
        <v>1271478</v>
      </c>
      <c r="G339" s="84"/>
      <c r="H339" s="84"/>
      <c r="I339" s="56">
        <f>$I$8</f>
        <v>235459</v>
      </c>
      <c r="J339" s="56">
        <f t="shared" si="69"/>
        <v>1271478</v>
      </c>
      <c r="K339" s="84"/>
      <c r="L339" s="84"/>
      <c r="M339" s="85"/>
      <c r="N339" s="86"/>
    </row>
    <row r="340" spans="1:16" s="87" customFormat="1" ht="24.95" customHeight="1">
      <c r="A340" s="81" t="s">
        <v>179</v>
      </c>
      <c r="B340" s="82"/>
      <c r="C340" s="83">
        <f>'비상대처계획(기준소요인력)'!I46</f>
        <v>5.4</v>
      </c>
      <c r="D340" s="55" t="s">
        <v>41</v>
      </c>
      <c r="E340" s="56">
        <f t="shared" si="68"/>
        <v>250087</v>
      </c>
      <c r="F340" s="56">
        <f t="shared" si="68"/>
        <v>1350469</v>
      </c>
      <c r="G340" s="84"/>
      <c r="H340" s="84"/>
      <c r="I340" s="56">
        <f>$I$9</f>
        <v>250087</v>
      </c>
      <c r="J340" s="56">
        <f t="shared" si="69"/>
        <v>1350469</v>
      </c>
      <c r="K340" s="84"/>
      <c r="L340" s="84"/>
      <c r="M340" s="85"/>
      <c r="N340" s="86"/>
    </row>
    <row r="341" spans="1:16" s="87" customFormat="1" ht="24.95" customHeight="1">
      <c r="A341" s="81" t="s">
        <v>39</v>
      </c>
      <c r="B341" s="82"/>
      <c r="C341" s="83"/>
      <c r="D341" s="55"/>
      <c r="E341" s="56"/>
      <c r="F341" s="56">
        <f t="shared" si="68"/>
        <v>8751561</v>
      </c>
      <c r="G341" s="84"/>
      <c r="H341" s="84"/>
      <c r="I341" s="56"/>
      <c r="J341" s="56">
        <f>SUM(J335:J340)</f>
        <v>8751561</v>
      </c>
      <c r="K341" s="84"/>
      <c r="L341" s="84"/>
      <c r="M341" s="85"/>
      <c r="N341" s="86"/>
    </row>
    <row r="342" spans="1:16" s="87" customFormat="1" ht="24.95" customHeight="1">
      <c r="A342" s="81" t="s">
        <v>45</v>
      </c>
      <c r="B342" s="95">
        <f>$S$13</f>
        <v>1</v>
      </c>
      <c r="C342" s="83"/>
      <c r="D342" s="55"/>
      <c r="E342" s="51">
        <f>F342</f>
        <v>8751561</v>
      </c>
      <c r="F342" s="56">
        <f t="shared" si="68"/>
        <v>8751561</v>
      </c>
      <c r="G342" s="82"/>
      <c r="H342" s="82"/>
      <c r="I342" s="56"/>
      <c r="J342" s="56">
        <f>TRUNC(J341*B342,0)</f>
        <v>8751561</v>
      </c>
      <c r="K342" s="82"/>
      <c r="L342" s="82"/>
      <c r="M342" s="96"/>
      <c r="N342" s="86"/>
    </row>
    <row r="343" spans="1:16" ht="24.95" customHeight="1">
      <c r="A343" s="102" t="s">
        <v>1923</v>
      </c>
      <c r="B343" s="82"/>
      <c r="C343" s="83"/>
      <c r="D343" s="55"/>
      <c r="E343" s="82"/>
      <c r="F343" s="84"/>
      <c r="G343" s="82"/>
      <c r="H343" s="82"/>
      <c r="I343" s="82"/>
      <c r="J343" s="84"/>
      <c r="K343" s="84"/>
      <c r="L343" s="84"/>
      <c r="M343" s="85"/>
      <c r="N343" s="86"/>
      <c r="O343" s="87"/>
      <c r="P343" s="87"/>
    </row>
    <row r="344" spans="1:16" ht="24.95" customHeight="1">
      <c r="A344" s="81" t="s">
        <v>150</v>
      </c>
      <c r="B344" s="82"/>
      <c r="C344" s="83">
        <f>'비상대처계획(기준소요인력)'!D47</f>
        <v>1.2</v>
      </c>
      <c r="D344" s="55" t="s">
        <v>41</v>
      </c>
      <c r="E344" s="56">
        <f t="shared" ref="E344:F351" si="70">G344+I344+K344</f>
        <v>467217</v>
      </c>
      <c r="F344" s="56">
        <f t="shared" si="70"/>
        <v>560660</v>
      </c>
      <c r="G344" s="84"/>
      <c r="H344" s="84"/>
      <c r="I344" s="56">
        <f>$I$4</f>
        <v>467217</v>
      </c>
      <c r="J344" s="56">
        <f t="shared" ref="J344:J349" si="71">INT(I344*C344)</f>
        <v>560660</v>
      </c>
      <c r="K344" s="84"/>
      <c r="L344" s="84"/>
      <c r="M344" s="85"/>
      <c r="N344" s="86"/>
      <c r="O344" s="87"/>
      <c r="P344" s="87"/>
    </row>
    <row r="345" spans="1:16" ht="24.95" customHeight="1">
      <c r="A345" s="81" t="s">
        <v>146</v>
      </c>
      <c r="B345" s="82"/>
      <c r="C345" s="83">
        <f>'비상대처계획(기준소요인력)'!E47</f>
        <v>3.6</v>
      </c>
      <c r="D345" s="55" t="s">
        <v>41</v>
      </c>
      <c r="E345" s="56">
        <f t="shared" si="70"/>
        <v>373353</v>
      </c>
      <c r="F345" s="56">
        <f t="shared" si="70"/>
        <v>1344070</v>
      </c>
      <c r="G345" s="84"/>
      <c r="H345" s="84"/>
      <c r="I345" s="56">
        <f>$I$5</f>
        <v>373353</v>
      </c>
      <c r="J345" s="56">
        <f t="shared" si="71"/>
        <v>1344070</v>
      </c>
      <c r="K345" s="84"/>
      <c r="L345" s="84"/>
      <c r="M345" s="85"/>
      <c r="N345" s="86"/>
      <c r="O345" s="87"/>
      <c r="P345" s="87"/>
    </row>
    <row r="346" spans="1:16" ht="24.95" customHeight="1">
      <c r="A346" s="81" t="s">
        <v>139</v>
      </c>
      <c r="B346" s="82"/>
      <c r="C346" s="83">
        <f>'비상대처계획(기준소요인력)'!F47</f>
        <v>3.6</v>
      </c>
      <c r="D346" s="55" t="s">
        <v>41</v>
      </c>
      <c r="E346" s="56">
        <f t="shared" si="70"/>
        <v>310884</v>
      </c>
      <c r="F346" s="56">
        <f t="shared" si="70"/>
        <v>1119182</v>
      </c>
      <c r="G346" s="84"/>
      <c r="H346" s="84"/>
      <c r="I346" s="56">
        <f>$I$6</f>
        <v>310884</v>
      </c>
      <c r="J346" s="56">
        <f t="shared" si="71"/>
        <v>1119182</v>
      </c>
      <c r="K346" s="84"/>
      <c r="L346" s="84"/>
      <c r="M346" s="85"/>
      <c r="N346" s="86"/>
      <c r="O346" s="87"/>
      <c r="P346" s="87"/>
    </row>
    <row r="347" spans="1:16" ht="24.95" customHeight="1">
      <c r="A347" s="81" t="s">
        <v>168</v>
      </c>
      <c r="B347" s="82"/>
      <c r="C347" s="83">
        <f>'비상대처계획(기준소요인력)'!G47</f>
        <v>3.6</v>
      </c>
      <c r="D347" s="55" t="s">
        <v>41</v>
      </c>
      <c r="E347" s="56">
        <f t="shared" si="70"/>
        <v>295138</v>
      </c>
      <c r="F347" s="56">
        <f t="shared" si="70"/>
        <v>1062496</v>
      </c>
      <c r="G347" s="84"/>
      <c r="H347" s="84"/>
      <c r="I347" s="56">
        <f>$I$7</f>
        <v>295138</v>
      </c>
      <c r="J347" s="56">
        <f t="shared" si="71"/>
        <v>1062496</v>
      </c>
      <c r="K347" s="84"/>
      <c r="L347" s="84"/>
      <c r="M347" s="85"/>
      <c r="N347" s="86"/>
      <c r="O347" s="87"/>
      <c r="P347" s="87"/>
    </row>
    <row r="348" spans="1:16" ht="24.95" customHeight="1">
      <c r="A348" s="81" t="s">
        <v>165</v>
      </c>
      <c r="B348" s="82"/>
      <c r="C348" s="83">
        <f>'비상대처계획(기준소요인력)'!H47</f>
        <v>3.6</v>
      </c>
      <c r="D348" s="55" t="s">
        <v>41</v>
      </c>
      <c r="E348" s="56">
        <f t="shared" si="70"/>
        <v>235459</v>
      </c>
      <c r="F348" s="56">
        <f t="shared" si="70"/>
        <v>847652</v>
      </c>
      <c r="G348" s="84"/>
      <c r="H348" s="84"/>
      <c r="I348" s="56">
        <f>$I$8</f>
        <v>235459</v>
      </c>
      <c r="J348" s="56">
        <f t="shared" si="71"/>
        <v>847652</v>
      </c>
      <c r="K348" s="84"/>
      <c r="L348" s="84"/>
      <c r="M348" s="85"/>
      <c r="N348" s="86"/>
      <c r="O348" s="87"/>
      <c r="P348" s="87"/>
    </row>
    <row r="349" spans="1:16" ht="24.95" customHeight="1">
      <c r="A349" s="81" t="s">
        <v>179</v>
      </c>
      <c r="B349" s="82"/>
      <c r="C349" s="83">
        <f>'비상대처계획(기준소요인력)'!I47</f>
        <v>3.6</v>
      </c>
      <c r="D349" s="55" t="s">
        <v>41</v>
      </c>
      <c r="E349" s="56">
        <f t="shared" si="70"/>
        <v>250087</v>
      </c>
      <c r="F349" s="56">
        <f t="shared" si="70"/>
        <v>900313</v>
      </c>
      <c r="G349" s="84"/>
      <c r="H349" s="84"/>
      <c r="I349" s="56">
        <f>$I$9</f>
        <v>250087</v>
      </c>
      <c r="J349" s="56">
        <f t="shared" si="71"/>
        <v>900313</v>
      </c>
      <c r="K349" s="84"/>
      <c r="L349" s="84"/>
      <c r="M349" s="85"/>
      <c r="N349" s="86"/>
      <c r="O349" s="87"/>
      <c r="P349" s="87"/>
    </row>
    <row r="350" spans="1:16" ht="24.95" customHeight="1">
      <c r="A350" s="81" t="s">
        <v>39</v>
      </c>
      <c r="B350" s="82"/>
      <c r="C350" s="83"/>
      <c r="D350" s="55"/>
      <c r="E350" s="56"/>
      <c r="F350" s="56">
        <f t="shared" si="70"/>
        <v>5834373</v>
      </c>
      <c r="G350" s="84"/>
      <c r="H350" s="84"/>
      <c r="I350" s="56"/>
      <c r="J350" s="56">
        <f>SUM(J344:J349)</f>
        <v>5834373</v>
      </c>
      <c r="K350" s="84"/>
      <c r="L350" s="84"/>
      <c r="M350" s="85"/>
      <c r="N350" s="86"/>
      <c r="O350" s="87"/>
      <c r="P350" s="87"/>
    </row>
    <row r="351" spans="1:16" ht="24.95" customHeight="1">
      <c r="A351" s="81" t="s">
        <v>45</v>
      </c>
      <c r="B351" s="95">
        <f>$S$13</f>
        <v>1</v>
      </c>
      <c r="C351" s="83"/>
      <c r="D351" s="55"/>
      <c r="E351" s="51">
        <f>F351</f>
        <v>5834373</v>
      </c>
      <c r="F351" s="56">
        <f t="shared" si="70"/>
        <v>5834373</v>
      </c>
      <c r="G351" s="82"/>
      <c r="H351" s="82"/>
      <c r="I351" s="56"/>
      <c r="J351" s="56">
        <f>TRUNC(J350*B351,0)</f>
        <v>5834373</v>
      </c>
      <c r="K351" s="82"/>
      <c r="L351" s="82"/>
      <c r="M351" s="96"/>
      <c r="N351" s="86"/>
      <c r="O351" s="87"/>
      <c r="P351" s="87"/>
    </row>
    <row r="352" spans="1:16" ht="24.95" customHeight="1">
      <c r="A352" s="81"/>
      <c r="B352" s="95"/>
      <c r="C352" s="83"/>
      <c r="D352" s="55"/>
      <c r="E352" s="51"/>
      <c r="F352" s="56"/>
      <c r="G352" s="82"/>
      <c r="H352" s="82"/>
      <c r="I352" s="56"/>
      <c r="J352" s="56"/>
      <c r="K352" s="82"/>
      <c r="L352" s="82"/>
      <c r="M352" s="96"/>
      <c r="N352" s="86"/>
      <c r="O352" s="87"/>
      <c r="P352" s="87"/>
    </row>
    <row r="353" spans="1:16" ht="24.95" customHeight="1">
      <c r="A353" s="81"/>
      <c r="B353" s="82"/>
      <c r="C353" s="83"/>
      <c r="D353" s="55"/>
      <c r="E353" s="51"/>
      <c r="F353" s="56"/>
      <c r="G353" s="82"/>
      <c r="H353" s="82"/>
      <c r="I353" s="82"/>
      <c r="J353" s="82"/>
      <c r="K353" s="82"/>
      <c r="L353" s="82"/>
      <c r="M353" s="85"/>
      <c r="N353" s="86"/>
      <c r="O353" s="87"/>
      <c r="P353" s="87"/>
    </row>
    <row r="354" spans="1:16" ht="24.95" customHeight="1">
      <c r="A354" s="102" t="s">
        <v>1924</v>
      </c>
      <c r="B354" s="82"/>
      <c r="C354" s="83"/>
      <c r="D354" s="55"/>
      <c r="E354" s="84"/>
      <c r="F354" s="84"/>
      <c r="G354" s="84"/>
      <c r="H354" s="84"/>
      <c r="I354" s="84"/>
      <c r="J354" s="84"/>
      <c r="K354" s="88"/>
      <c r="L354" s="87"/>
      <c r="M354" s="101"/>
      <c r="N354" s="86"/>
      <c r="O354" s="87"/>
      <c r="P354" s="87"/>
    </row>
    <row r="355" spans="1:16" ht="24.95" customHeight="1">
      <c r="A355" s="81" t="s">
        <v>150</v>
      </c>
      <c r="B355" s="82"/>
      <c r="C355" s="83">
        <f>'비상대처계획(기준소요인력)'!D49</f>
        <v>0.9</v>
      </c>
      <c r="D355" s="55" t="s">
        <v>41</v>
      </c>
      <c r="E355" s="56">
        <f t="shared" ref="E355:F362" si="72">G355+I355+K355</f>
        <v>467217</v>
      </c>
      <c r="F355" s="56">
        <f t="shared" si="72"/>
        <v>420495</v>
      </c>
      <c r="G355" s="84"/>
      <c r="H355" s="84"/>
      <c r="I355" s="56">
        <f>$I$4</f>
        <v>467217</v>
      </c>
      <c r="J355" s="56">
        <f t="shared" ref="J355:J360" si="73">INT(I355*C355)</f>
        <v>420495</v>
      </c>
      <c r="K355" s="87"/>
      <c r="L355" s="87"/>
      <c r="M355" s="101"/>
      <c r="N355" s="86"/>
      <c r="O355" s="87"/>
      <c r="P355" s="87"/>
    </row>
    <row r="356" spans="1:16" ht="24.95" customHeight="1">
      <c r="A356" s="81" t="s">
        <v>146</v>
      </c>
      <c r="B356" s="82"/>
      <c r="C356" s="83">
        <f>'비상대처계획(기준소요인력)'!E49</f>
        <v>1.5</v>
      </c>
      <c r="D356" s="55" t="s">
        <v>41</v>
      </c>
      <c r="E356" s="56">
        <f t="shared" si="72"/>
        <v>373353</v>
      </c>
      <c r="F356" s="56">
        <f t="shared" si="72"/>
        <v>560029</v>
      </c>
      <c r="G356" s="84"/>
      <c r="H356" s="84"/>
      <c r="I356" s="56">
        <f>$I$5</f>
        <v>373353</v>
      </c>
      <c r="J356" s="56">
        <f t="shared" si="73"/>
        <v>560029</v>
      </c>
      <c r="K356" s="87"/>
      <c r="L356" s="87"/>
      <c r="M356" s="101"/>
      <c r="N356" s="86"/>
      <c r="O356" s="87"/>
      <c r="P356" s="87"/>
    </row>
    <row r="357" spans="1:16" ht="24.95" customHeight="1">
      <c r="A357" s="81" t="s">
        <v>139</v>
      </c>
      <c r="B357" s="82"/>
      <c r="C357" s="83">
        <f>'비상대처계획(기준소요인력)'!F49</f>
        <v>1.5</v>
      </c>
      <c r="D357" s="55" t="s">
        <v>41</v>
      </c>
      <c r="E357" s="56">
        <f t="shared" si="72"/>
        <v>310884</v>
      </c>
      <c r="F357" s="56">
        <f t="shared" si="72"/>
        <v>466326</v>
      </c>
      <c r="G357" s="84"/>
      <c r="H357" s="84"/>
      <c r="I357" s="56">
        <f>$I$6</f>
        <v>310884</v>
      </c>
      <c r="J357" s="56">
        <f t="shared" si="73"/>
        <v>466326</v>
      </c>
      <c r="K357" s="87"/>
      <c r="L357" s="87"/>
      <c r="M357" s="101"/>
      <c r="N357" s="86"/>
      <c r="O357" s="87"/>
      <c r="P357" s="87"/>
    </row>
    <row r="358" spans="1:16" ht="24.95" customHeight="1">
      <c r="A358" s="81" t="s">
        <v>168</v>
      </c>
      <c r="B358" s="82"/>
      <c r="C358" s="83">
        <f>'비상대처계획(기준소요인력)'!G49</f>
        <v>1.2</v>
      </c>
      <c r="D358" s="55" t="s">
        <v>41</v>
      </c>
      <c r="E358" s="56">
        <f t="shared" si="72"/>
        <v>295138</v>
      </c>
      <c r="F358" s="56">
        <f t="shared" si="72"/>
        <v>354165</v>
      </c>
      <c r="G358" s="84"/>
      <c r="H358" s="84"/>
      <c r="I358" s="56">
        <f>$I$7</f>
        <v>295138</v>
      </c>
      <c r="J358" s="56">
        <f t="shared" si="73"/>
        <v>354165</v>
      </c>
      <c r="K358" s="87"/>
      <c r="L358" s="87"/>
      <c r="M358" s="101"/>
      <c r="N358" s="86"/>
      <c r="O358" s="87"/>
      <c r="P358" s="87"/>
    </row>
    <row r="359" spans="1:16" ht="24.95" customHeight="1">
      <c r="A359" s="81" t="s">
        <v>165</v>
      </c>
      <c r="B359" s="82"/>
      <c r="C359" s="83">
        <f>'비상대처계획(기준소요인력)'!H49</f>
        <v>0</v>
      </c>
      <c r="D359" s="55" t="s">
        <v>41</v>
      </c>
      <c r="E359" s="56">
        <f t="shared" si="72"/>
        <v>235459</v>
      </c>
      <c r="F359" s="56">
        <f t="shared" si="72"/>
        <v>0</v>
      </c>
      <c r="G359" s="84"/>
      <c r="H359" s="84"/>
      <c r="I359" s="56">
        <f>$I$8</f>
        <v>235459</v>
      </c>
      <c r="J359" s="56">
        <f t="shared" si="73"/>
        <v>0</v>
      </c>
      <c r="K359" s="87"/>
      <c r="L359" s="87"/>
      <c r="M359" s="101"/>
      <c r="N359" s="86"/>
      <c r="O359" s="87"/>
      <c r="P359" s="87"/>
    </row>
    <row r="360" spans="1:16" ht="24.95" customHeight="1">
      <c r="A360" s="81" t="s">
        <v>179</v>
      </c>
      <c r="B360" s="82"/>
      <c r="C360" s="83">
        <f>'비상대처계획(기준소요인력)'!I49</f>
        <v>0</v>
      </c>
      <c r="D360" s="55" t="s">
        <v>41</v>
      </c>
      <c r="E360" s="56">
        <f t="shared" si="72"/>
        <v>250087</v>
      </c>
      <c r="F360" s="56">
        <f t="shared" si="72"/>
        <v>0</v>
      </c>
      <c r="G360" s="84"/>
      <c r="H360" s="84"/>
      <c r="I360" s="56">
        <f>$I$9</f>
        <v>250087</v>
      </c>
      <c r="J360" s="56">
        <f t="shared" si="73"/>
        <v>0</v>
      </c>
      <c r="K360" s="87"/>
      <c r="L360" s="87"/>
      <c r="M360" s="101"/>
      <c r="N360" s="86"/>
      <c r="O360" s="87"/>
      <c r="P360" s="87"/>
    </row>
    <row r="361" spans="1:16" ht="24.95" customHeight="1">
      <c r="A361" s="81" t="s">
        <v>39</v>
      </c>
      <c r="B361" s="82"/>
      <c r="C361" s="83"/>
      <c r="D361" s="55"/>
      <c r="E361" s="56"/>
      <c r="F361" s="56">
        <f t="shared" si="72"/>
        <v>1801015</v>
      </c>
      <c r="G361" s="84"/>
      <c r="H361" s="84"/>
      <c r="I361" s="56"/>
      <c r="J361" s="56">
        <f>SUM(J355:J360)</f>
        <v>1801015</v>
      </c>
      <c r="K361" s="87"/>
      <c r="L361" s="87"/>
      <c r="M361" s="101"/>
      <c r="N361" s="86"/>
      <c r="O361" s="87"/>
      <c r="P361" s="87"/>
    </row>
    <row r="362" spans="1:16" ht="24.95" customHeight="1">
      <c r="A362" s="81" t="s">
        <v>45</v>
      </c>
      <c r="B362" s="95">
        <f>$S$14</f>
        <v>1</v>
      </c>
      <c r="C362" s="83"/>
      <c r="D362" s="55"/>
      <c r="E362" s="51">
        <f>F362</f>
        <v>1801015</v>
      </c>
      <c r="F362" s="56">
        <f t="shared" si="72"/>
        <v>1801015</v>
      </c>
      <c r="G362" s="82"/>
      <c r="H362" s="82"/>
      <c r="I362" s="56"/>
      <c r="J362" s="56">
        <f>TRUNC(J361*B362,0)</f>
        <v>1801015</v>
      </c>
      <c r="K362" s="87"/>
      <c r="L362" s="87"/>
      <c r="M362" s="101"/>
      <c r="N362" s="86"/>
      <c r="O362" s="87"/>
      <c r="P362" s="87"/>
    </row>
    <row r="363" spans="1:16" s="87" customFormat="1" ht="24.95" customHeight="1">
      <c r="A363" s="102" t="s">
        <v>1925</v>
      </c>
      <c r="B363" s="82"/>
      <c r="C363" s="83"/>
      <c r="D363" s="55"/>
      <c r="E363" s="82"/>
      <c r="F363" s="84"/>
      <c r="G363" s="82"/>
      <c r="H363" s="82"/>
      <c r="I363" s="82"/>
      <c r="J363" s="84"/>
      <c r="K363" s="88"/>
      <c r="M363" s="101"/>
      <c r="N363" s="86"/>
    </row>
    <row r="364" spans="1:16" s="87" customFormat="1" ht="24.95" customHeight="1">
      <c r="A364" s="81" t="s">
        <v>150</v>
      </c>
      <c r="B364" s="82"/>
      <c r="C364" s="83">
        <f>'비상대처계획(기준소요인력)'!D50</f>
        <v>2.38</v>
      </c>
      <c r="D364" s="55" t="s">
        <v>41</v>
      </c>
      <c r="E364" s="56">
        <f t="shared" ref="E364:F371" si="74">G364+I364+K364</f>
        <v>467217</v>
      </c>
      <c r="F364" s="56">
        <f t="shared" si="74"/>
        <v>1111976</v>
      </c>
      <c r="G364" s="84"/>
      <c r="H364" s="84"/>
      <c r="I364" s="56">
        <f>$I$4</f>
        <v>467217</v>
      </c>
      <c r="J364" s="56">
        <f t="shared" ref="J364:J369" si="75">INT(I364*C364)</f>
        <v>1111976</v>
      </c>
      <c r="M364" s="101"/>
      <c r="N364" s="86"/>
    </row>
    <row r="365" spans="1:16" s="87" customFormat="1" ht="24.95" customHeight="1">
      <c r="A365" s="81" t="s">
        <v>146</v>
      </c>
      <c r="B365" s="82"/>
      <c r="C365" s="83">
        <f>'비상대처계획(기준소요인력)'!E50</f>
        <v>3.88</v>
      </c>
      <c r="D365" s="55" t="s">
        <v>41</v>
      </c>
      <c r="E365" s="56">
        <f t="shared" si="74"/>
        <v>373353</v>
      </c>
      <c r="F365" s="56">
        <f t="shared" si="74"/>
        <v>1448609</v>
      </c>
      <c r="G365" s="84"/>
      <c r="H365" s="84"/>
      <c r="I365" s="56">
        <f>$I$5</f>
        <v>373353</v>
      </c>
      <c r="J365" s="56">
        <f t="shared" si="75"/>
        <v>1448609</v>
      </c>
      <c r="M365" s="101"/>
      <c r="N365" s="86"/>
    </row>
    <row r="366" spans="1:16" s="87" customFormat="1" ht="24.95" customHeight="1">
      <c r="A366" s="81" t="s">
        <v>139</v>
      </c>
      <c r="B366" s="82"/>
      <c r="C366" s="83">
        <f>'비상대처계획(기준소요인력)'!F50</f>
        <v>3.88</v>
      </c>
      <c r="D366" s="55" t="s">
        <v>41</v>
      </c>
      <c r="E366" s="56">
        <f t="shared" si="74"/>
        <v>310884</v>
      </c>
      <c r="F366" s="56">
        <f t="shared" si="74"/>
        <v>1206229</v>
      </c>
      <c r="G366" s="84"/>
      <c r="H366" s="84"/>
      <c r="I366" s="56">
        <f>$I$6</f>
        <v>310884</v>
      </c>
      <c r="J366" s="56">
        <f t="shared" si="75"/>
        <v>1206229</v>
      </c>
      <c r="M366" s="101"/>
      <c r="N366" s="86"/>
    </row>
    <row r="367" spans="1:16" s="87" customFormat="1" ht="24.95" customHeight="1">
      <c r="A367" s="81" t="s">
        <v>168</v>
      </c>
      <c r="B367" s="82"/>
      <c r="C367" s="83">
        <f>'비상대처계획(기준소요인력)'!G50</f>
        <v>3</v>
      </c>
      <c r="D367" s="55" t="s">
        <v>41</v>
      </c>
      <c r="E367" s="56">
        <f t="shared" si="74"/>
        <v>295138</v>
      </c>
      <c r="F367" s="56">
        <f t="shared" si="74"/>
        <v>885414</v>
      </c>
      <c r="G367" s="84"/>
      <c r="H367" s="84"/>
      <c r="I367" s="56">
        <f>$I$7</f>
        <v>295138</v>
      </c>
      <c r="J367" s="56">
        <f t="shared" si="75"/>
        <v>885414</v>
      </c>
      <c r="M367" s="101"/>
      <c r="N367" s="86"/>
    </row>
    <row r="368" spans="1:16" s="87" customFormat="1" ht="24.95" customHeight="1">
      <c r="A368" s="81" t="s">
        <v>165</v>
      </c>
      <c r="B368" s="82"/>
      <c r="C368" s="83">
        <f>'비상대처계획(기준소요인력)'!H50</f>
        <v>0</v>
      </c>
      <c r="D368" s="55" t="s">
        <v>41</v>
      </c>
      <c r="E368" s="56">
        <f t="shared" si="74"/>
        <v>235459</v>
      </c>
      <c r="F368" s="56">
        <f t="shared" si="74"/>
        <v>0</v>
      </c>
      <c r="G368" s="84"/>
      <c r="H368" s="84"/>
      <c r="I368" s="56">
        <f>$I$8</f>
        <v>235459</v>
      </c>
      <c r="J368" s="56">
        <f t="shared" si="75"/>
        <v>0</v>
      </c>
      <c r="M368" s="101"/>
      <c r="N368" s="86"/>
    </row>
    <row r="369" spans="1:14" s="87" customFormat="1" ht="24.95" customHeight="1">
      <c r="A369" s="81" t="s">
        <v>179</v>
      </c>
      <c r="B369" s="82"/>
      <c r="C369" s="83">
        <f>'비상대처계획(기준소요인력)'!I50</f>
        <v>0</v>
      </c>
      <c r="D369" s="55" t="s">
        <v>41</v>
      </c>
      <c r="E369" s="56">
        <f t="shared" si="74"/>
        <v>250087</v>
      </c>
      <c r="F369" s="56">
        <f t="shared" si="74"/>
        <v>0</v>
      </c>
      <c r="G369" s="84"/>
      <c r="H369" s="84"/>
      <c r="I369" s="56">
        <f>$I$9</f>
        <v>250087</v>
      </c>
      <c r="J369" s="56">
        <f t="shared" si="75"/>
        <v>0</v>
      </c>
      <c r="M369" s="101"/>
      <c r="N369" s="86"/>
    </row>
    <row r="370" spans="1:14" s="87" customFormat="1" ht="24.95" customHeight="1">
      <c r="A370" s="81" t="s">
        <v>39</v>
      </c>
      <c r="B370" s="82"/>
      <c r="C370" s="83"/>
      <c r="D370" s="55"/>
      <c r="E370" s="56"/>
      <c r="F370" s="56">
        <f t="shared" si="74"/>
        <v>4652228</v>
      </c>
      <c r="G370" s="84"/>
      <c r="H370" s="84"/>
      <c r="I370" s="56"/>
      <c r="J370" s="56">
        <f>SUM(J364:J369)</f>
        <v>4652228</v>
      </c>
      <c r="M370" s="101"/>
      <c r="N370" s="86"/>
    </row>
    <row r="371" spans="1:14" s="87" customFormat="1" ht="24.95" customHeight="1">
      <c r="A371" s="81" t="s">
        <v>45</v>
      </c>
      <c r="B371" s="95">
        <f>$S$14</f>
        <v>1</v>
      </c>
      <c r="C371" s="83"/>
      <c r="D371" s="55"/>
      <c r="E371" s="51">
        <f>F371</f>
        <v>4652228</v>
      </c>
      <c r="F371" s="56">
        <f t="shared" si="74"/>
        <v>4652228</v>
      </c>
      <c r="G371" s="82"/>
      <c r="H371" s="82"/>
      <c r="I371" s="56"/>
      <c r="J371" s="56">
        <f>TRUNC(J370*B371,0)</f>
        <v>4652228</v>
      </c>
      <c r="M371" s="101"/>
      <c r="N371" s="86"/>
    </row>
    <row r="372" spans="1:14" s="87" customFormat="1" ht="24.95" customHeight="1">
      <c r="A372" s="81"/>
      <c r="B372" s="95"/>
      <c r="C372" s="83"/>
      <c r="D372" s="55"/>
      <c r="E372" s="51"/>
      <c r="F372" s="56"/>
      <c r="G372" s="82"/>
      <c r="H372" s="82"/>
      <c r="I372" s="56"/>
      <c r="J372" s="56"/>
      <c r="M372" s="101"/>
      <c r="N372" s="86"/>
    </row>
    <row r="373" spans="1:14" s="87" customFormat="1" ht="24.95" customHeight="1">
      <c r="A373" s="81"/>
      <c r="B373" s="95"/>
      <c r="C373" s="83"/>
      <c r="D373" s="55"/>
      <c r="E373" s="51"/>
      <c r="F373" s="56"/>
      <c r="G373" s="82"/>
      <c r="H373" s="82"/>
      <c r="I373" s="56"/>
      <c r="J373" s="56"/>
      <c r="M373" s="101"/>
      <c r="N373" s="86"/>
    </row>
    <row r="374" spans="1:14" s="87" customFormat="1" ht="24.95" customHeight="1">
      <c r="A374" s="102" t="s">
        <v>1926</v>
      </c>
      <c r="B374" s="82"/>
      <c r="C374" s="83"/>
      <c r="D374" s="55"/>
      <c r="E374" s="82"/>
      <c r="F374" s="84"/>
      <c r="G374" s="82"/>
      <c r="H374" s="82"/>
      <c r="I374" s="82"/>
      <c r="J374" s="84"/>
      <c r="K374" s="84"/>
      <c r="L374" s="84"/>
      <c r="M374" s="85"/>
      <c r="N374" s="86"/>
    </row>
    <row r="375" spans="1:14" s="87" customFormat="1" ht="24.95" customHeight="1">
      <c r="A375" s="81" t="s">
        <v>150</v>
      </c>
      <c r="B375" s="82"/>
      <c r="C375" s="83">
        <f>'비상대처계획(기준소요인력)'!D51</f>
        <v>0</v>
      </c>
      <c r="D375" s="55" t="s">
        <v>41</v>
      </c>
      <c r="E375" s="56">
        <f t="shared" ref="E375:F382" si="76">G375+I375+K375</f>
        <v>467217</v>
      </c>
      <c r="F375" s="56">
        <f t="shared" si="76"/>
        <v>0</v>
      </c>
      <c r="G375" s="84"/>
      <c r="H375" s="84"/>
      <c r="I375" s="56">
        <f>$I$4</f>
        <v>467217</v>
      </c>
      <c r="J375" s="56">
        <f t="shared" ref="J375:J380" si="77">INT(I375*C375)</f>
        <v>0</v>
      </c>
      <c r="K375" s="84"/>
      <c r="L375" s="84"/>
      <c r="M375" s="85"/>
      <c r="N375" s="86"/>
    </row>
    <row r="376" spans="1:14" s="87" customFormat="1" ht="24.95" customHeight="1">
      <c r="A376" s="81" t="s">
        <v>146</v>
      </c>
      <c r="B376" s="82"/>
      <c r="C376" s="83">
        <f>'비상대처계획(기준소요인력)'!E51</f>
        <v>5.75</v>
      </c>
      <c r="D376" s="55" t="s">
        <v>41</v>
      </c>
      <c r="E376" s="56">
        <f t="shared" si="76"/>
        <v>373353</v>
      </c>
      <c r="F376" s="56">
        <f t="shared" si="76"/>
        <v>2146779</v>
      </c>
      <c r="G376" s="84"/>
      <c r="H376" s="84"/>
      <c r="I376" s="56">
        <f>$I$5</f>
        <v>373353</v>
      </c>
      <c r="J376" s="56">
        <f t="shared" si="77"/>
        <v>2146779</v>
      </c>
      <c r="K376" s="84"/>
      <c r="L376" s="84"/>
      <c r="M376" s="85"/>
      <c r="N376" s="86"/>
    </row>
    <row r="377" spans="1:14" s="87" customFormat="1" ht="24.95" customHeight="1">
      <c r="A377" s="81" t="s">
        <v>139</v>
      </c>
      <c r="B377" s="82"/>
      <c r="C377" s="83">
        <f>'비상대처계획(기준소요인력)'!F51</f>
        <v>7.25</v>
      </c>
      <c r="D377" s="55" t="s">
        <v>41</v>
      </c>
      <c r="E377" s="56">
        <f t="shared" si="76"/>
        <v>310884</v>
      </c>
      <c r="F377" s="56">
        <f t="shared" si="76"/>
        <v>2253909</v>
      </c>
      <c r="G377" s="84"/>
      <c r="H377" s="84"/>
      <c r="I377" s="56">
        <f>$I$6</f>
        <v>310884</v>
      </c>
      <c r="J377" s="56">
        <f t="shared" si="77"/>
        <v>2253909</v>
      </c>
      <c r="K377" s="84"/>
      <c r="L377" s="84"/>
      <c r="M377" s="85"/>
      <c r="N377" s="86"/>
    </row>
    <row r="378" spans="1:14" s="87" customFormat="1" ht="24.95" customHeight="1">
      <c r="A378" s="81" t="s">
        <v>168</v>
      </c>
      <c r="B378" s="82"/>
      <c r="C378" s="83">
        <f>'비상대처계획(기준소요인력)'!G51</f>
        <v>20</v>
      </c>
      <c r="D378" s="55" t="s">
        <v>41</v>
      </c>
      <c r="E378" s="56">
        <f t="shared" si="76"/>
        <v>295138</v>
      </c>
      <c r="F378" s="56">
        <f t="shared" si="76"/>
        <v>5902760</v>
      </c>
      <c r="G378" s="84"/>
      <c r="H378" s="84"/>
      <c r="I378" s="56">
        <f>$I$7</f>
        <v>295138</v>
      </c>
      <c r="J378" s="56">
        <f t="shared" si="77"/>
        <v>5902760</v>
      </c>
      <c r="K378" s="84"/>
      <c r="L378" s="84"/>
      <c r="M378" s="85"/>
      <c r="N378" s="86"/>
    </row>
    <row r="379" spans="1:14" s="87" customFormat="1" ht="24.95" customHeight="1">
      <c r="A379" s="81" t="s">
        <v>165</v>
      </c>
      <c r="B379" s="82"/>
      <c r="C379" s="83">
        <f>'비상대처계획(기준소요인력)'!H51</f>
        <v>20.25</v>
      </c>
      <c r="D379" s="55" t="s">
        <v>41</v>
      </c>
      <c r="E379" s="56">
        <f t="shared" si="76"/>
        <v>235459</v>
      </c>
      <c r="F379" s="56">
        <f t="shared" si="76"/>
        <v>4768044</v>
      </c>
      <c r="G379" s="84"/>
      <c r="H379" s="84"/>
      <c r="I379" s="56">
        <f>$I$8</f>
        <v>235459</v>
      </c>
      <c r="J379" s="56">
        <f t="shared" si="77"/>
        <v>4768044</v>
      </c>
      <c r="K379" s="84"/>
      <c r="L379" s="84"/>
      <c r="M379" s="85"/>
      <c r="N379" s="86"/>
    </row>
    <row r="380" spans="1:14" s="87" customFormat="1" ht="24.95" customHeight="1">
      <c r="A380" s="81" t="s">
        <v>179</v>
      </c>
      <c r="B380" s="82"/>
      <c r="C380" s="83">
        <f>'비상대처계획(기준소요인력)'!I51</f>
        <v>18.75</v>
      </c>
      <c r="D380" s="55" t="s">
        <v>41</v>
      </c>
      <c r="E380" s="56">
        <f t="shared" si="76"/>
        <v>250087</v>
      </c>
      <c r="F380" s="56">
        <f t="shared" si="76"/>
        <v>4689131</v>
      </c>
      <c r="G380" s="84"/>
      <c r="H380" s="84"/>
      <c r="I380" s="56">
        <f>$I$9</f>
        <v>250087</v>
      </c>
      <c r="J380" s="56">
        <f t="shared" si="77"/>
        <v>4689131</v>
      </c>
      <c r="K380" s="84"/>
      <c r="L380" s="84"/>
      <c r="M380" s="85"/>
      <c r="N380" s="86"/>
    </row>
    <row r="381" spans="1:14" s="87" customFormat="1" ht="24.95" customHeight="1">
      <c r="A381" s="81" t="s">
        <v>39</v>
      </c>
      <c r="B381" s="82"/>
      <c r="C381" s="83"/>
      <c r="D381" s="55"/>
      <c r="E381" s="56"/>
      <c r="F381" s="56">
        <f t="shared" si="76"/>
        <v>19760623</v>
      </c>
      <c r="G381" s="84"/>
      <c r="H381" s="84"/>
      <c r="I381" s="56"/>
      <c r="J381" s="56">
        <f>SUM(J375:J380)</f>
        <v>19760623</v>
      </c>
      <c r="K381" s="84"/>
      <c r="L381" s="84"/>
      <c r="M381" s="85"/>
      <c r="N381" s="86"/>
    </row>
    <row r="382" spans="1:14" s="87" customFormat="1" ht="24.95" customHeight="1">
      <c r="A382" s="81" t="s">
        <v>45</v>
      </c>
      <c r="B382" s="95">
        <f>$S$14</f>
        <v>1</v>
      </c>
      <c r="C382" s="83"/>
      <c r="D382" s="55"/>
      <c r="E382" s="51">
        <f>F382</f>
        <v>19760623</v>
      </c>
      <c r="F382" s="56">
        <f t="shared" si="76"/>
        <v>19760623</v>
      </c>
      <c r="G382" s="82"/>
      <c r="H382" s="82"/>
      <c r="I382" s="56"/>
      <c r="J382" s="56">
        <f>TRUNC(J381*B382,0)</f>
        <v>19760623</v>
      </c>
      <c r="K382" s="82"/>
      <c r="L382" s="82"/>
      <c r="M382" s="96"/>
      <c r="N382" s="86"/>
    </row>
  </sheetData>
  <mergeCells count="13">
    <mergeCell ref="G1:H1"/>
    <mergeCell ref="A1:A2"/>
    <mergeCell ref="B1:B2"/>
    <mergeCell ref="C1:C2"/>
    <mergeCell ref="D1:D2"/>
    <mergeCell ref="E1:F1"/>
    <mergeCell ref="I1:J1"/>
    <mergeCell ref="K1:L1"/>
    <mergeCell ref="M1:M2"/>
    <mergeCell ref="P1:Q1"/>
    <mergeCell ref="P2:Q2"/>
    <mergeCell ref="N1:O1"/>
    <mergeCell ref="N2:O2"/>
  </mergeCells>
  <phoneticPr fontId="181" type="noConversion"/>
  <printOptions horizontalCentered="1"/>
  <pageMargins left="0.47244094488188981" right="0.47244094488188981" top="0.78740157480314965" bottom="0.59055118110236227" header="0.39370078740157483" footer="0.39370078740157483"/>
  <pageSetup paperSize="9" scale="87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7">
    <tabColor theme="6"/>
    <pageSetUpPr fitToPage="1"/>
  </sheetPr>
  <dimension ref="A1:I71"/>
  <sheetViews>
    <sheetView view="pageBreakPreview" zoomScale="70" zoomScaleNormal="100" zoomScaleSheetLayoutView="70" workbookViewId="0">
      <selection activeCell="A4" sqref="A4"/>
    </sheetView>
  </sheetViews>
  <sheetFormatPr defaultColWidth="8.88671875" defaultRowHeight="13.5"/>
  <cols>
    <col min="1" max="1" width="23.21875" style="107" customWidth="1"/>
    <col min="2" max="2" width="22.88671875" style="107" customWidth="1"/>
    <col min="3" max="3" width="14.21875" style="107" bestFit="1" customWidth="1"/>
    <col min="4" max="4" width="9.109375" style="107" customWidth="1"/>
    <col min="5" max="9" width="6.77734375" style="107" customWidth="1"/>
    <col min="10" max="244" width="8.88671875" style="107"/>
    <col min="245" max="245" width="23.21875" style="107" customWidth="1"/>
    <col min="246" max="247" width="6.77734375" style="107" customWidth="1"/>
    <col min="248" max="248" width="9.109375" style="107" customWidth="1"/>
    <col min="249" max="256" width="6.77734375" style="107" customWidth="1"/>
    <col min="257" max="257" width="12.77734375" style="107" customWidth="1"/>
    <col min="258" max="258" width="8.88671875" style="107"/>
    <col min="259" max="259" width="9.109375" style="107" bestFit="1" customWidth="1"/>
    <col min="260" max="500" width="8.88671875" style="107"/>
    <col min="501" max="501" width="23.21875" style="107" customWidth="1"/>
    <col min="502" max="503" width="6.77734375" style="107" customWidth="1"/>
    <col min="504" max="504" width="9.109375" style="107" customWidth="1"/>
    <col min="505" max="512" width="6.77734375" style="107" customWidth="1"/>
    <col min="513" max="513" width="12.77734375" style="107" customWidth="1"/>
    <col min="514" max="514" width="8.88671875" style="107"/>
    <col min="515" max="515" width="9.109375" style="107" bestFit="1" customWidth="1"/>
    <col min="516" max="756" width="8.88671875" style="107"/>
    <col min="757" max="757" width="23.21875" style="107" customWidth="1"/>
    <col min="758" max="759" width="6.77734375" style="107" customWidth="1"/>
    <col min="760" max="760" width="9.109375" style="107" customWidth="1"/>
    <col min="761" max="768" width="6.77734375" style="107" customWidth="1"/>
    <col min="769" max="769" width="12.77734375" style="107" customWidth="1"/>
    <col min="770" max="770" width="8.88671875" style="107"/>
    <col min="771" max="771" width="9.109375" style="107" bestFit="1" customWidth="1"/>
    <col min="772" max="1012" width="8.88671875" style="107"/>
    <col min="1013" max="1013" width="23.21875" style="107" customWidth="1"/>
    <col min="1014" max="1015" width="6.77734375" style="107" customWidth="1"/>
    <col min="1016" max="1016" width="9.109375" style="107" customWidth="1"/>
    <col min="1017" max="1024" width="6.77734375" style="107" customWidth="1"/>
    <col min="1025" max="1025" width="12.77734375" style="107" customWidth="1"/>
    <col min="1026" max="1026" width="8.88671875" style="107"/>
    <col min="1027" max="1027" width="9.109375" style="107" bestFit="1" customWidth="1"/>
    <col min="1028" max="1268" width="8.88671875" style="107"/>
    <col min="1269" max="1269" width="23.21875" style="107" customWidth="1"/>
    <col min="1270" max="1271" width="6.77734375" style="107" customWidth="1"/>
    <col min="1272" max="1272" width="9.109375" style="107" customWidth="1"/>
    <col min="1273" max="1280" width="6.77734375" style="107" customWidth="1"/>
    <col min="1281" max="1281" width="12.77734375" style="107" customWidth="1"/>
    <col min="1282" max="1282" width="8.88671875" style="107"/>
    <col min="1283" max="1283" width="9.109375" style="107" bestFit="1" customWidth="1"/>
    <col min="1284" max="1524" width="8.88671875" style="107"/>
    <col min="1525" max="1525" width="23.21875" style="107" customWidth="1"/>
    <col min="1526" max="1527" width="6.77734375" style="107" customWidth="1"/>
    <col min="1528" max="1528" width="9.109375" style="107" customWidth="1"/>
    <col min="1529" max="1536" width="6.77734375" style="107" customWidth="1"/>
    <col min="1537" max="1537" width="12.77734375" style="107" customWidth="1"/>
    <col min="1538" max="1538" width="8.88671875" style="107"/>
    <col min="1539" max="1539" width="9.109375" style="107" bestFit="1" customWidth="1"/>
    <col min="1540" max="1780" width="8.88671875" style="107"/>
    <col min="1781" max="1781" width="23.21875" style="107" customWidth="1"/>
    <col min="1782" max="1783" width="6.77734375" style="107" customWidth="1"/>
    <col min="1784" max="1784" width="9.109375" style="107" customWidth="1"/>
    <col min="1785" max="1792" width="6.77734375" style="107" customWidth="1"/>
    <col min="1793" max="1793" width="12.77734375" style="107" customWidth="1"/>
    <col min="1794" max="1794" width="8.88671875" style="107"/>
    <col min="1795" max="1795" width="9.109375" style="107" bestFit="1" customWidth="1"/>
    <col min="1796" max="2036" width="8.88671875" style="107"/>
    <col min="2037" max="2037" width="23.21875" style="107" customWidth="1"/>
    <col min="2038" max="2039" width="6.77734375" style="107" customWidth="1"/>
    <col min="2040" max="2040" width="9.109375" style="107" customWidth="1"/>
    <col min="2041" max="2048" width="6.77734375" style="107" customWidth="1"/>
    <col min="2049" max="2049" width="12.77734375" style="107" customWidth="1"/>
    <col min="2050" max="2050" width="8.88671875" style="107"/>
    <col min="2051" max="2051" width="9.109375" style="107" bestFit="1" customWidth="1"/>
    <col min="2052" max="2292" width="8.88671875" style="107"/>
    <col min="2293" max="2293" width="23.21875" style="107" customWidth="1"/>
    <col min="2294" max="2295" width="6.77734375" style="107" customWidth="1"/>
    <col min="2296" max="2296" width="9.109375" style="107" customWidth="1"/>
    <col min="2297" max="2304" width="6.77734375" style="107" customWidth="1"/>
    <col min="2305" max="2305" width="12.77734375" style="107" customWidth="1"/>
    <col min="2306" max="2306" width="8.88671875" style="107"/>
    <col min="2307" max="2307" width="9.109375" style="107" bestFit="1" customWidth="1"/>
    <col min="2308" max="2548" width="8.88671875" style="107"/>
    <col min="2549" max="2549" width="23.21875" style="107" customWidth="1"/>
    <col min="2550" max="2551" width="6.77734375" style="107" customWidth="1"/>
    <col min="2552" max="2552" width="9.109375" style="107" customWidth="1"/>
    <col min="2553" max="2560" width="6.77734375" style="107" customWidth="1"/>
    <col min="2561" max="2561" width="12.77734375" style="107" customWidth="1"/>
    <col min="2562" max="2562" width="8.88671875" style="107"/>
    <col min="2563" max="2563" width="9.109375" style="107" bestFit="1" customWidth="1"/>
    <col min="2564" max="2804" width="8.88671875" style="107"/>
    <col min="2805" max="2805" width="23.21875" style="107" customWidth="1"/>
    <col min="2806" max="2807" width="6.77734375" style="107" customWidth="1"/>
    <col min="2808" max="2808" width="9.109375" style="107" customWidth="1"/>
    <col min="2809" max="2816" width="6.77734375" style="107" customWidth="1"/>
    <col min="2817" max="2817" width="12.77734375" style="107" customWidth="1"/>
    <col min="2818" max="2818" width="8.88671875" style="107"/>
    <col min="2819" max="2819" width="9.109375" style="107" bestFit="1" customWidth="1"/>
    <col min="2820" max="3060" width="8.88671875" style="107"/>
    <col min="3061" max="3061" width="23.21875" style="107" customWidth="1"/>
    <col min="3062" max="3063" width="6.77734375" style="107" customWidth="1"/>
    <col min="3064" max="3064" width="9.109375" style="107" customWidth="1"/>
    <col min="3065" max="3072" width="6.77734375" style="107" customWidth="1"/>
    <col min="3073" max="3073" width="12.77734375" style="107" customWidth="1"/>
    <col min="3074" max="3074" width="8.88671875" style="107"/>
    <col min="3075" max="3075" width="9.109375" style="107" bestFit="1" customWidth="1"/>
    <col min="3076" max="3316" width="8.88671875" style="107"/>
    <col min="3317" max="3317" width="23.21875" style="107" customWidth="1"/>
    <col min="3318" max="3319" width="6.77734375" style="107" customWidth="1"/>
    <col min="3320" max="3320" width="9.109375" style="107" customWidth="1"/>
    <col min="3321" max="3328" width="6.77734375" style="107" customWidth="1"/>
    <col min="3329" max="3329" width="12.77734375" style="107" customWidth="1"/>
    <col min="3330" max="3330" width="8.88671875" style="107"/>
    <col min="3331" max="3331" width="9.109375" style="107" bestFit="1" customWidth="1"/>
    <col min="3332" max="3572" width="8.88671875" style="107"/>
    <col min="3573" max="3573" width="23.21875" style="107" customWidth="1"/>
    <col min="3574" max="3575" width="6.77734375" style="107" customWidth="1"/>
    <col min="3576" max="3576" width="9.109375" style="107" customWidth="1"/>
    <col min="3577" max="3584" width="6.77734375" style="107" customWidth="1"/>
    <col min="3585" max="3585" width="12.77734375" style="107" customWidth="1"/>
    <col min="3586" max="3586" width="8.88671875" style="107"/>
    <col min="3587" max="3587" width="9.109375" style="107" bestFit="1" customWidth="1"/>
    <col min="3588" max="3828" width="8.88671875" style="107"/>
    <col min="3829" max="3829" width="23.21875" style="107" customWidth="1"/>
    <col min="3830" max="3831" width="6.77734375" style="107" customWidth="1"/>
    <col min="3832" max="3832" width="9.109375" style="107" customWidth="1"/>
    <col min="3833" max="3840" width="6.77734375" style="107" customWidth="1"/>
    <col min="3841" max="3841" width="12.77734375" style="107" customWidth="1"/>
    <col min="3842" max="3842" width="8.88671875" style="107"/>
    <col min="3843" max="3843" width="9.109375" style="107" bestFit="1" customWidth="1"/>
    <col min="3844" max="4084" width="8.88671875" style="107"/>
    <col min="4085" max="4085" width="23.21875" style="107" customWidth="1"/>
    <col min="4086" max="4087" width="6.77734375" style="107" customWidth="1"/>
    <col min="4088" max="4088" width="9.109375" style="107" customWidth="1"/>
    <col min="4089" max="4096" width="6.77734375" style="107" customWidth="1"/>
    <col min="4097" max="4097" width="12.77734375" style="107" customWidth="1"/>
    <col min="4098" max="4098" width="8.88671875" style="107"/>
    <col min="4099" max="4099" width="9.109375" style="107" bestFit="1" customWidth="1"/>
    <col min="4100" max="4340" width="8.88671875" style="107"/>
    <col min="4341" max="4341" width="23.21875" style="107" customWidth="1"/>
    <col min="4342" max="4343" width="6.77734375" style="107" customWidth="1"/>
    <col min="4344" max="4344" width="9.109375" style="107" customWidth="1"/>
    <col min="4345" max="4352" width="6.77734375" style="107" customWidth="1"/>
    <col min="4353" max="4353" width="12.77734375" style="107" customWidth="1"/>
    <col min="4354" max="4354" width="8.88671875" style="107"/>
    <col min="4355" max="4355" width="9.109375" style="107" bestFit="1" customWidth="1"/>
    <col min="4356" max="4596" width="8.88671875" style="107"/>
    <col min="4597" max="4597" width="23.21875" style="107" customWidth="1"/>
    <col min="4598" max="4599" width="6.77734375" style="107" customWidth="1"/>
    <col min="4600" max="4600" width="9.109375" style="107" customWidth="1"/>
    <col min="4601" max="4608" width="6.77734375" style="107" customWidth="1"/>
    <col min="4609" max="4609" width="12.77734375" style="107" customWidth="1"/>
    <col min="4610" max="4610" width="8.88671875" style="107"/>
    <col min="4611" max="4611" width="9.109375" style="107" bestFit="1" customWidth="1"/>
    <col min="4612" max="4852" width="8.88671875" style="107"/>
    <col min="4853" max="4853" width="23.21875" style="107" customWidth="1"/>
    <col min="4854" max="4855" width="6.77734375" style="107" customWidth="1"/>
    <col min="4856" max="4856" width="9.109375" style="107" customWidth="1"/>
    <col min="4857" max="4864" width="6.77734375" style="107" customWidth="1"/>
    <col min="4865" max="4865" width="12.77734375" style="107" customWidth="1"/>
    <col min="4866" max="4866" width="8.88671875" style="107"/>
    <col min="4867" max="4867" width="9.109375" style="107" bestFit="1" customWidth="1"/>
    <col min="4868" max="5108" width="8.88671875" style="107"/>
    <col min="5109" max="5109" width="23.21875" style="107" customWidth="1"/>
    <col min="5110" max="5111" width="6.77734375" style="107" customWidth="1"/>
    <col min="5112" max="5112" width="9.109375" style="107" customWidth="1"/>
    <col min="5113" max="5120" width="6.77734375" style="107" customWidth="1"/>
    <col min="5121" max="5121" width="12.77734375" style="107" customWidth="1"/>
    <col min="5122" max="5122" width="8.88671875" style="107"/>
    <col min="5123" max="5123" width="9.109375" style="107" bestFit="1" customWidth="1"/>
    <col min="5124" max="5364" width="8.88671875" style="107"/>
    <col min="5365" max="5365" width="23.21875" style="107" customWidth="1"/>
    <col min="5366" max="5367" width="6.77734375" style="107" customWidth="1"/>
    <col min="5368" max="5368" width="9.109375" style="107" customWidth="1"/>
    <col min="5369" max="5376" width="6.77734375" style="107" customWidth="1"/>
    <col min="5377" max="5377" width="12.77734375" style="107" customWidth="1"/>
    <col min="5378" max="5378" width="8.88671875" style="107"/>
    <col min="5379" max="5379" width="9.109375" style="107" bestFit="1" customWidth="1"/>
    <col min="5380" max="5620" width="8.88671875" style="107"/>
    <col min="5621" max="5621" width="23.21875" style="107" customWidth="1"/>
    <col min="5622" max="5623" width="6.77734375" style="107" customWidth="1"/>
    <col min="5624" max="5624" width="9.109375" style="107" customWidth="1"/>
    <col min="5625" max="5632" width="6.77734375" style="107" customWidth="1"/>
    <col min="5633" max="5633" width="12.77734375" style="107" customWidth="1"/>
    <col min="5634" max="5634" width="8.88671875" style="107"/>
    <col min="5635" max="5635" width="9.109375" style="107" bestFit="1" customWidth="1"/>
    <col min="5636" max="5876" width="8.88671875" style="107"/>
    <col min="5877" max="5877" width="23.21875" style="107" customWidth="1"/>
    <col min="5878" max="5879" width="6.77734375" style="107" customWidth="1"/>
    <col min="5880" max="5880" width="9.109375" style="107" customWidth="1"/>
    <col min="5881" max="5888" width="6.77734375" style="107" customWidth="1"/>
    <col min="5889" max="5889" width="12.77734375" style="107" customWidth="1"/>
    <col min="5890" max="5890" width="8.88671875" style="107"/>
    <col min="5891" max="5891" width="9.109375" style="107" bestFit="1" customWidth="1"/>
    <col min="5892" max="6132" width="8.88671875" style="107"/>
    <col min="6133" max="6133" width="23.21875" style="107" customWidth="1"/>
    <col min="6134" max="6135" width="6.77734375" style="107" customWidth="1"/>
    <col min="6136" max="6136" width="9.109375" style="107" customWidth="1"/>
    <col min="6137" max="6144" width="6.77734375" style="107" customWidth="1"/>
    <col min="6145" max="6145" width="12.77734375" style="107" customWidth="1"/>
    <col min="6146" max="6146" width="8.88671875" style="107"/>
    <col min="6147" max="6147" width="9.109375" style="107" bestFit="1" customWidth="1"/>
    <col min="6148" max="6388" width="8.88671875" style="107"/>
    <col min="6389" max="6389" width="23.21875" style="107" customWidth="1"/>
    <col min="6390" max="6391" width="6.77734375" style="107" customWidth="1"/>
    <col min="6392" max="6392" width="9.109375" style="107" customWidth="1"/>
    <col min="6393" max="6400" width="6.77734375" style="107" customWidth="1"/>
    <col min="6401" max="6401" width="12.77734375" style="107" customWidth="1"/>
    <col min="6402" max="6402" width="8.88671875" style="107"/>
    <col min="6403" max="6403" width="9.109375" style="107" bestFit="1" customWidth="1"/>
    <col min="6404" max="6644" width="8.88671875" style="107"/>
    <col min="6645" max="6645" width="23.21875" style="107" customWidth="1"/>
    <col min="6646" max="6647" width="6.77734375" style="107" customWidth="1"/>
    <col min="6648" max="6648" width="9.109375" style="107" customWidth="1"/>
    <col min="6649" max="6656" width="6.77734375" style="107" customWidth="1"/>
    <col min="6657" max="6657" width="12.77734375" style="107" customWidth="1"/>
    <col min="6658" max="6658" width="8.88671875" style="107"/>
    <col min="6659" max="6659" width="9.109375" style="107" bestFit="1" customWidth="1"/>
    <col min="6660" max="6900" width="8.88671875" style="107"/>
    <col min="6901" max="6901" width="23.21875" style="107" customWidth="1"/>
    <col min="6902" max="6903" width="6.77734375" style="107" customWidth="1"/>
    <col min="6904" max="6904" width="9.109375" style="107" customWidth="1"/>
    <col min="6905" max="6912" width="6.77734375" style="107" customWidth="1"/>
    <col min="6913" max="6913" width="12.77734375" style="107" customWidth="1"/>
    <col min="6914" max="6914" width="8.88671875" style="107"/>
    <col min="6915" max="6915" width="9.109375" style="107" bestFit="1" customWidth="1"/>
    <col min="6916" max="7156" width="8.88671875" style="107"/>
    <col min="7157" max="7157" width="23.21875" style="107" customWidth="1"/>
    <col min="7158" max="7159" width="6.77734375" style="107" customWidth="1"/>
    <col min="7160" max="7160" width="9.109375" style="107" customWidth="1"/>
    <col min="7161" max="7168" width="6.77734375" style="107" customWidth="1"/>
    <col min="7169" max="7169" width="12.77734375" style="107" customWidth="1"/>
    <col min="7170" max="7170" width="8.88671875" style="107"/>
    <col min="7171" max="7171" width="9.109375" style="107" bestFit="1" customWidth="1"/>
    <col min="7172" max="7412" width="8.88671875" style="107"/>
    <col min="7413" max="7413" width="23.21875" style="107" customWidth="1"/>
    <col min="7414" max="7415" width="6.77734375" style="107" customWidth="1"/>
    <col min="7416" max="7416" width="9.109375" style="107" customWidth="1"/>
    <col min="7417" max="7424" width="6.77734375" style="107" customWidth="1"/>
    <col min="7425" max="7425" width="12.77734375" style="107" customWidth="1"/>
    <col min="7426" max="7426" width="8.88671875" style="107"/>
    <col min="7427" max="7427" width="9.109375" style="107" bestFit="1" customWidth="1"/>
    <col min="7428" max="7668" width="8.88671875" style="107"/>
    <col min="7669" max="7669" width="23.21875" style="107" customWidth="1"/>
    <col min="7670" max="7671" width="6.77734375" style="107" customWidth="1"/>
    <col min="7672" max="7672" width="9.109375" style="107" customWidth="1"/>
    <col min="7673" max="7680" width="6.77734375" style="107" customWidth="1"/>
    <col min="7681" max="7681" width="12.77734375" style="107" customWidth="1"/>
    <col min="7682" max="7682" width="8.88671875" style="107"/>
    <col min="7683" max="7683" width="9.109375" style="107" bestFit="1" customWidth="1"/>
    <col min="7684" max="7924" width="8.88671875" style="107"/>
    <col min="7925" max="7925" width="23.21875" style="107" customWidth="1"/>
    <col min="7926" max="7927" width="6.77734375" style="107" customWidth="1"/>
    <col min="7928" max="7928" width="9.109375" style="107" customWidth="1"/>
    <col min="7929" max="7936" width="6.77734375" style="107" customWidth="1"/>
    <col min="7937" max="7937" width="12.77734375" style="107" customWidth="1"/>
    <col min="7938" max="7938" width="8.88671875" style="107"/>
    <col min="7939" max="7939" width="9.109375" style="107" bestFit="1" customWidth="1"/>
    <col min="7940" max="8180" width="8.88671875" style="107"/>
    <col min="8181" max="8181" width="23.21875" style="107" customWidth="1"/>
    <col min="8182" max="8183" width="6.77734375" style="107" customWidth="1"/>
    <col min="8184" max="8184" width="9.109375" style="107" customWidth="1"/>
    <col min="8185" max="8192" width="6.77734375" style="107" customWidth="1"/>
    <col min="8193" max="8193" width="12.77734375" style="107" customWidth="1"/>
    <col min="8194" max="8194" width="8.88671875" style="107"/>
    <col min="8195" max="8195" width="9.109375" style="107" bestFit="1" customWidth="1"/>
    <col min="8196" max="8436" width="8.88671875" style="107"/>
    <col min="8437" max="8437" width="23.21875" style="107" customWidth="1"/>
    <col min="8438" max="8439" width="6.77734375" style="107" customWidth="1"/>
    <col min="8440" max="8440" width="9.109375" style="107" customWidth="1"/>
    <col min="8441" max="8448" width="6.77734375" style="107" customWidth="1"/>
    <col min="8449" max="8449" width="12.77734375" style="107" customWidth="1"/>
    <col min="8450" max="8450" width="8.88671875" style="107"/>
    <col min="8451" max="8451" width="9.109375" style="107" bestFit="1" customWidth="1"/>
    <col min="8452" max="8692" width="8.88671875" style="107"/>
    <col min="8693" max="8693" width="23.21875" style="107" customWidth="1"/>
    <col min="8694" max="8695" width="6.77734375" style="107" customWidth="1"/>
    <col min="8696" max="8696" width="9.109375" style="107" customWidth="1"/>
    <col min="8697" max="8704" width="6.77734375" style="107" customWidth="1"/>
    <col min="8705" max="8705" width="12.77734375" style="107" customWidth="1"/>
    <col min="8706" max="8706" width="8.88671875" style="107"/>
    <col min="8707" max="8707" width="9.109375" style="107" bestFit="1" customWidth="1"/>
    <col min="8708" max="8948" width="8.88671875" style="107"/>
    <col min="8949" max="8949" width="23.21875" style="107" customWidth="1"/>
    <col min="8950" max="8951" width="6.77734375" style="107" customWidth="1"/>
    <col min="8952" max="8952" width="9.109375" style="107" customWidth="1"/>
    <col min="8953" max="8960" width="6.77734375" style="107" customWidth="1"/>
    <col min="8961" max="8961" width="12.77734375" style="107" customWidth="1"/>
    <col min="8962" max="8962" width="8.88671875" style="107"/>
    <col min="8963" max="8963" width="9.109375" style="107" bestFit="1" customWidth="1"/>
    <col min="8964" max="9204" width="8.88671875" style="107"/>
    <col min="9205" max="9205" width="23.21875" style="107" customWidth="1"/>
    <col min="9206" max="9207" width="6.77734375" style="107" customWidth="1"/>
    <col min="9208" max="9208" width="9.109375" style="107" customWidth="1"/>
    <col min="9209" max="9216" width="6.77734375" style="107" customWidth="1"/>
    <col min="9217" max="9217" width="12.77734375" style="107" customWidth="1"/>
    <col min="9218" max="9218" width="8.88671875" style="107"/>
    <col min="9219" max="9219" width="9.109375" style="107" bestFit="1" customWidth="1"/>
    <col min="9220" max="9460" width="8.88671875" style="107"/>
    <col min="9461" max="9461" width="23.21875" style="107" customWidth="1"/>
    <col min="9462" max="9463" width="6.77734375" style="107" customWidth="1"/>
    <col min="9464" max="9464" width="9.109375" style="107" customWidth="1"/>
    <col min="9465" max="9472" width="6.77734375" style="107" customWidth="1"/>
    <col min="9473" max="9473" width="12.77734375" style="107" customWidth="1"/>
    <col min="9474" max="9474" width="8.88671875" style="107"/>
    <col min="9475" max="9475" width="9.109375" style="107" bestFit="1" customWidth="1"/>
    <col min="9476" max="9716" width="8.88671875" style="107"/>
    <col min="9717" max="9717" width="23.21875" style="107" customWidth="1"/>
    <col min="9718" max="9719" width="6.77734375" style="107" customWidth="1"/>
    <col min="9720" max="9720" width="9.109375" style="107" customWidth="1"/>
    <col min="9721" max="9728" width="6.77734375" style="107" customWidth="1"/>
    <col min="9729" max="9729" width="12.77734375" style="107" customWidth="1"/>
    <col min="9730" max="9730" width="8.88671875" style="107"/>
    <col min="9731" max="9731" width="9.109375" style="107" bestFit="1" customWidth="1"/>
    <col min="9732" max="9972" width="8.88671875" style="107"/>
    <col min="9973" max="9973" width="23.21875" style="107" customWidth="1"/>
    <col min="9974" max="9975" width="6.77734375" style="107" customWidth="1"/>
    <col min="9976" max="9976" width="9.109375" style="107" customWidth="1"/>
    <col min="9977" max="9984" width="6.77734375" style="107" customWidth="1"/>
    <col min="9985" max="9985" width="12.77734375" style="107" customWidth="1"/>
    <col min="9986" max="9986" width="8.88671875" style="107"/>
    <col min="9987" max="9987" width="9.109375" style="107" bestFit="1" customWidth="1"/>
    <col min="9988" max="10228" width="8.88671875" style="107"/>
    <col min="10229" max="10229" width="23.21875" style="107" customWidth="1"/>
    <col min="10230" max="10231" width="6.77734375" style="107" customWidth="1"/>
    <col min="10232" max="10232" width="9.109375" style="107" customWidth="1"/>
    <col min="10233" max="10240" width="6.77734375" style="107" customWidth="1"/>
    <col min="10241" max="10241" width="12.77734375" style="107" customWidth="1"/>
    <col min="10242" max="10242" width="8.88671875" style="107"/>
    <col min="10243" max="10243" width="9.109375" style="107" bestFit="1" customWidth="1"/>
    <col min="10244" max="10484" width="8.88671875" style="107"/>
    <col min="10485" max="10485" width="23.21875" style="107" customWidth="1"/>
    <col min="10486" max="10487" width="6.77734375" style="107" customWidth="1"/>
    <col min="10488" max="10488" width="9.109375" style="107" customWidth="1"/>
    <col min="10489" max="10496" width="6.77734375" style="107" customWidth="1"/>
    <col min="10497" max="10497" width="12.77734375" style="107" customWidth="1"/>
    <col min="10498" max="10498" width="8.88671875" style="107"/>
    <col min="10499" max="10499" width="9.109375" style="107" bestFit="1" customWidth="1"/>
    <col min="10500" max="10740" width="8.88671875" style="107"/>
    <col min="10741" max="10741" width="23.21875" style="107" customWidth="1"/>
    <col min="10742" max="10743" width="6.77734375" style="107" customWidth="1"/>
    <col min="10744" max="10744" width="9.109375" style="107" customWidth="1"/>
    <col min="10745" max="10752" width="6.77734375" style="107" customWidth="1"/>
    <col min="10753" max="10753" width="12.77734375" style="107" customWidth="1"/>
    <col min="10754" max="10754" width="8.88671875" style="107"/>
    <col min="10755" max="10755" width="9.109375" style="107" bestFit="1" customWidth="1"/>
    <col min="10756" max="10996" width="8.88671875" style="107"/>
    <col min="10997" max="10997" width="23.21875" style="107" customWidth="1"/>
    <col min="10998" max="10999" width="6.77734375" style="107" customWidth="1"/>
    <col min="11000" max="11000" width="9.109375" style="107" customWidth="1"/>
    <col min="11001" max="11008" width="6.77734375" style="107" customWidth="1"/>
    <col min="11009" max="11009" width="12.77734375" style="107" customWidth="1"/>
    <col min="11010" max="11010" width="8.88671875" style="107"/>
    <col min="11011" max="11011" width="9.109375" style="107" bestFit="1" customWidth="1"/>
    <col min="11012" max="11252" width="8.88671875" style="107"/>
    <col min="11253" max="11253" width="23.21875" style="107" customWidth="1"/>
    <col min="11254" max="11255" width="6.77734375" style="107" customWidth="1"/>
    <col min="11256" max="11256" width="9.109375" style="107" customWidth="1"/>
    <col min="11257" max="11264" width="6.77734375" style="107" customWidth="1"/>
    <col min="11265" max="11265" width="12.77734375" style="107" customWidth="1"/>
    <col min="11266" max="11266" width="8.88671875" style="107"/>
    <col min="11267" max="11267" width="9.109375" style="107" bestFit="1" customWidth="1"/>
    <col min="11268" max="11508" width="8.88671875" style="107"/>
    <col min="11509" max="11509" width="23.21875" style="107" customWidth="1"/>
    <col min="11510" max="11511" width="6.77734375" style="107" customWidth="1"/>
    <col min="11512" max="11512" width="9.109375" style="107" customWidth="1"/>
    <col min="11513" max="11520" width="6.77734375" style="107" customWidth="1"/>
    <col min="11521" max="11521" width="12.77734375" style="107" customWidth="1"/>
    <col min="11522" max="11522" width="8.88671875" style="107"/>
    <col min="11523" max="11523" width="9.109375" style="107" bestFit="1" customWidth="1"/>
    <col min="11524" max="11764" width="8.88671875" style="107"/>
    <col min="11765" max="11765" width="23.21875" style="107" customWidth="1"/>
    <col min="11766" max="11767" width="6.77734375" style="107" customWidth="1"/>
    <col min="11768" max="11768" width="9.109375" style="107" customWidth="1"/>
    <col min="11769" max="11776" width="6.77734375" style="107" customWidth="1"/>
    <col min="11777" max="11777" width="12.77734375" style="107" customWidth="1"/>
    <col min="11778" max="11778" width="8.88671875" style="107"/>
    <col min="11779" max="11779" width="9.109375" style="107" bestFit="1" customWidth="1"/>
    <col min="11780" max="12020" width="8.88671875" style="107"/>
    <col min="12021" max="12021" width="23.21875" style="107" customWidth="1"/>
    <col min="12022" max="12023" width="6.77734375" style="107" customWidth="1"/>
    <col min="12024" max="12024" width="9.109375" style="107" customWidth="1"/>
    <col min="12025" max="12032" width="6.77734375" style="107" customWidth="1"/>
    <col min="12033" max="12033" width="12.77734375" style="107" customWidth="1"/>
    <col min="12034" max="12034" width="8.88671875" style="107"/>
    <col min="12035" max="12035" width="9.109375" style="107" bestFit="1" customWidth="1"/>
    <col min="12036" max="12276" width="8.88671875" style="107"/>
    <col min="12277" max="12277" width="23.21875" style="107" customWidth="1"/>
    <col min="12278" max="12279" width="6.77734375" style="107" customWidth="1"/>
    <col min="12280" max="12280" width="9.109375" style="107" customWidth="1"/>
    <col min="12281" max="12288" width="6.77734375" style="107" customWidth="1"/>
    <col min="12289" max="12289" width="12.77734375" style="107" customWidth="1"/>
    <col min="12290" max="12290" width="8.88671875" style="107"/>
    <col min="12291" max="12291" width="9.109375" style="107" bestFit="1" customWidth="1"/>
    <col min="12292" max="12532" width="8.88671875" style="107"/>
    <col min="12533" max="12533" width="23.21875" style="107" customWidth="1"/>
    <col min="12534" max="12535" width="6.77734375" style="107" customWidth="1"/>
    <col min="12536" max="12536" width="9.109375" style="107" customWidth="1"/>
    <col min="12537" max="12544" width="6.77734375" style="107" customWidth="1"/>
    <col min="12545" max="12545" width="12.77734375" style="107" customWidth="1"/>
    <col min="12546" max="12546" width="8.88671875" style="107"/>
    <col min="12547" max="12547" width="9.109375" style="107" bestFit="1" customWidth="1"/>
    <col min="12548" max="12788" width="8.88671875" style="107"/>
    <col min="12789" max="12789" width="23.21875" style="107" customWidth="1"/>
    <col min="12790" max="12791" width="6.77734375" style="107" customWidth="1"/>
    <col min="12792" max="12792" width="9.109375" style="107" customWidth="1"/>
    <col min="12793" max="12800" width="6.77734375" style="107" customWidth="1"/>
    <col min="12801" max="12801" width="12.77734375" style="107" customWidth="1"/>
    <col min="12802" max="12802" width="8.88671875" style="107"/>
    <col min="12803" max="12803" width="9.109375" style="107" bestFit="1" customWidth="1"/>
    <col min="12804" max="13044" width="8.88671875" style="107"/>
    <col min="13045" max="13045" width="23.21875" style="107" customWidth="1"/>
    <col min="13046" max="13047" width="6.77734375" style="107" customWidth="1"/>
    <col min="13048" max="13048" width="9.109375" style="107" customWidth="1"/>
    <col min="13049" max="13056" width="6.77734375" style="107" customWidth="1"/>
    <col min="13057" max="13057" width="12.77734375" style="107" customWidth="1"/>
    <col min="13058" max="13058" width="8.88671875" style="107"/>
    <col min="13059" max="13059" width="9.109375" style="107" bestFit="1" customWidth="1"/>
    <col min="13060" max="13300" width="8.88671875" style="107"/>
    <col min="13301" max="13301" width="23.21875" style="107" customWidth="1"/>
    <col min="13302" max="13303" width="6.77734375" style="107" customWidth="1"/>
    <col min="13304" max="13304" width="9.109375" style="107" customWidth="1"/>
    <col min="13305" max="13312" width="6.77734375" style="107" customWidth="1"/>
    <col min="13313" max="13313" width="12.77734375" style="107" customWidth="1"/>
    <col min="13314" max="13314" width="8.88671875" style="107"/>
    <col min="13315" max="13315" width="9.109375" style="107" bestFit="1" customWidth="1"/>
    <col min="13316" max="13556" width="8.88671875" style="107"/>
    <col min="13557" max="13557" width="23.21875" style="107" customWidth="1"/>
    <col min="13558" max="13559" width="6.77734375" style="107" customWidth="1"/>
    <col min="13560" max="13560" width="9.109375" style="107" customWidth="1"/>
    <col min="13561" max="13568" width="6.77734375" style="107" customWidth="1"/>
    <col min="13569" max="13569" width="12.77734375" style="107" customWidth="1"/>
    <col min="13570" max="13570" width="8.88671875" style="107"/>
    <col min="13571" max="13571" width="9.109375" style="107" bestFit="1" customWidth="1"/>
    <col min="13572" max="13812" width="8.88671875" style="107"/>
    <col min="13813" max="13813" width="23.21875" style="107" customWidth="1"/>
    <col min="13814" max="13815" width="6.77734375" style="107" customWidth="1"/>
    <col min="13816" max="13816" width="9.109375" style="107" customWidth="1"/>
    <col min="13817" max="13824" width="6.77734375" style="107" customWidth="1"/>
    <col min="13825" max="13825" width="12.77734375" style="107" customWidth="1"/>
    <col min="13826" max="13826" width="8.88671875" style="107"/>
    <col min="13827" max="13827" width="9.109375" style="107" bestFit="1" customWidth="1"/>
    <col min="13828" max="14068" width="8.88671875" style="107"/>
    <col min="14069" max="14069" width="23.21875" style="107" customWidth="1"/>
    <col min="14070" max="14071" width="6.77734375" style="107" customWidth="1"/>
    <col min="14072" max="14072" width="9.109375" style="107" customWidth="1"/>
    <col min="14073" max="14080" width="6.77734375" style="107" customWidth="1"/>
    <col min="14081" max="14081" width="12.77734375" style="107" customWidth="1"/>
    <col min="14082" max="14082" width="8.88671875" style="107"/>
    <col min="14083" max="14083" width="9.109375" style="107" bestFit="1" customWidth="1"/>
    <col min="14084" max="14324" width="8.88671875" style="107"/>
    <col min="14325" max="14325" width="23.21875" style="107" customWidth="1"/>
    <col min="14326" max="14327" width="6.77734375" style="107" customWidth="1"/>
    <col min="14328" max="14328" width="9.109375" style="107" customWidth="1"/>
    <col min="14329" max="14336" width="6.77734375" style="107" customWidth="1"/>
    <col min="14337" max="14337" width="12.77734375" style="107" customWidth="1"/>
    <col min="14338" max="14338" width="8.88671875" style="107"/>
    <col min="14339" max="14339" width="9.109375" style="107" bestFit="1" customWidth="1"/>
    <col min="14340" max="14580" width="8.88671875" style="107"/>
    <col min="14581" max="14581" width="23.21875" style="107" customWidth="1"/>
    <col min="14582" max="14583" width="6.77734375" style="107" customWidth="1"/>
    <col min="14584" max="14584" width="9.109375" style="107" customWidth="1"/>
    <col min="14585" max="14592" width="6.77734375" style="107" customWidth="1"/>
    <col min="14593" max="14593" width="12.77734375" style="107" customWidth="1"/>
    <col min="14594" max="14594" width="8.88671875" style="107"/>
    <col min="14595" max="14595" width="9.109375" style="107" bestFit="1" customWidth="1"/>
    <col min="14596" max="14836" width="8.88671875" style="107"/>
    <col min="14837" max="14837" width="23.21875" style="107" customWidth="1"/>
    <col min="14838" max="14839" width="6.77734375" style="107" customWidth="1"/>
    <col min="14840" max="14840" width="9.109375" style="107" customWidth="1"/>
    <col min="14841" max="14848" width="6.77734375" style="107" customWidth="1"/>
    <col min="14849" max="14849" width="12.77734375" style="107" customWidth="1"/>
    <col min="14850" max="14850" width="8.88671875" style="107"/>
    <col min="14851" max="14851" width="9.109375" style="107" bestFit="1" customWidth="1"/>
    <col min="14852" max="15092" width="8.88671875" style="107"/>
    <col min="15093" max="15093" width="23.21875" style="107" customWidth="1"/>
    <col min="15094" max="15095" width="6.77734375" style="107" customWidth="1"/>
    <col min="15096" max="15096" width="9.109375" style="107" customWidth="1"/>
    <col min="15097" max="15104" width="6.77734375" style="107" customWidth="1"/>
    <col min="15105" max="15105" width="12.77734375" style="107" customWidth="1"/>
    <col min="15106" max="15106" width="8.88671875" style="107"/>
    <col min="15107" max="15107" width="9.109375" style="107" bestFit="1" customWidth="1"/>
    <col min="15108" max="15348" width="8.88671875" style="107"/>
    <col min="15349" max="15349" width="23.21875" style="107" customWidth="1"/>
    <col min="15350" max="15351" width="6.77734375" style="107" customWidth="1"/>
    <col min="15352" max="15352" width="9.109375" style="107" customWidth="1"/>
    <col min="15353" max="15360" width="6.77734375" style="107" customWidth="1"/>
    <col min="15361" max="15361" width="12.77734375" style="107" customWidth="1"/>
    <col min="15362" max="15362" width="8.88671875" style="107"/>
    <col min="15363" max="15363" width="9.109375" style="107" bestFit="1" customWidth="1"/>
    <col min="15364" max="15604" width="8.88671875" style="107"/>
    <col min="15605" max="15605" width="23.21875" style="107" customWidth="1"/>
    <col min="15606" max="15607" width="6.77734375" style="107" customWidth="1"/>
    <col min="15608" max="15608" width="9.109375" style="107" customWidth="1"/>
    <col min="15609" max="15616" width="6.77734375" style="107" customWidth="1"/>
    <col min="15617" max="15617" width="12.77734375" style="107" customWidth="1"/>
    <col min="15618" max="15618" width="8.88671875" style="107"/>
    <col min="15619" max="15619" width="9.109375" style="107" bestFit="1" customWidth="1"/>
    <col min="15620" max="15860" width="8.88671875" style="107"/>
    <col min="15861" max="15861" width="23.21875" style="107" customWidth="1"/>
    <col min="15862" max="15863" width="6.77734375" style="107" customWidth="1"/>
    <col min="15864" max="15864" width="9.109375" style="107" customWidth="1"/>
    <col min="15865" max="15872" width="6.77734375" style="107" customWidth="1"/>
    <col min="15873" max="15873" width="12.77734375" style="107" customWidth="1"/>
    <col min="15874" max="15874" width="8.88671875" style="107"/>
    <col min="15875" max="15875" width="9.109375" style="107" bestFit="1" customWidth="1"/>
    <col min="15876" max="16116" width="8.88671875" style="107"/>
    <col min="16117" max="16117" width="23.21875" style="107" customWidth="1"/>
    <col min="16118" max="16119" width="6.77734375" style="107" customWidth="1"/>
    <col min="16120" max="16120" width="9.109375" style="107" customWidth="1"/>
    <col min="16121" max="16128" width="6.77734375" style="107" customWidth="1"/>
    <col min="16129" max="16129" width="12.77734375" style="107" customWidth="1"/>
    <col min="16130" max="16130" width="8.88671875" style="107"/>
    <col min="16131" max="16131" width="9.109375" style="107" bestFit="1" customWidth="1"/>
    <col min="16132" max="16384" width="8.88671875" style="107"/>
  </cols>
  <sheetData>
    <row r="1" spans="1:9" s="106" customFormat="1" ht="30" customHeight="1">
      <c r="A1" s="309" t="s">
        <v>208</v>
      </c>
      <c r="B1" s="310"/>
      <c r="C1" s="310"/>
      <c r="D1" s="310"/>
      <c r="E1" s="310"/>
      <c r="F1" s="310"/>
      <c r="G1" s="310"/>
      <c r="H1" s="310"/>
      <c r="I1" s="310"/>
    </row>
    <row r="2" spans="1:9" ht="23.1" customHeight="1">
      <c r="A2" s="47" t="s">
        <v>152</v>
      </c>
      <c r="B2" s="36"/>
      <c r="C2" s="36"/>
      <c r="D2" s="36"/>
      <c r="E2" s="36"/>
      <c r="F2" s="36"/>
      <c r="G2" s="36"/>
      <c r="H2" s="36"/>
      <c r="I2" s="36"/>
    </row>
    <row r="3" spans="1:9" ht="23.1" customHeight="1">
      <c r="A3" s="47" t="s">
        <v>1355</v>
      </c>
      <c r="B3" s="36"/>
      <c r="C3" s="36"/>
      <c r="D3" s="36"/>
      <c r="E3" s="36"/>
      <c r="F3" s="36"/>
      <c r="G3" s="36"/>
      <c r="H3" s="36"/>
      <c r="I3" s="36"/>
    </row>
    <row r="4" spans="1:9" ht="23.1" customHeight="1">
      <c r="A4" s="36" t="s">
        <v>1346</v>
      </c>
      <c r="B4" s="1724" t="e">
        <f>#REF!</f>
        <v>#REF!</v>
      </c>
      <c r="C4" s="1724"/>
      <c r="D4" s="311" t="s">
        <v>1353</v>
      </c>
      <c r="E4" s="36"/>
      <c r="F4" s="36"/>
      <c r="G4" s="36"/>
      <c r="H4" s="36"/>
      <c r="I4" s="36"/>
    </row>
    <row r="5" spans="1:9" ht="23.1" customHeight="1">
      <c r="A5" s="36" t="s">
        <v>1349</v>
      </c>
      <c r="B5" s="36" t="s">
        <v>1352</v>
      </c>
      <c r="C5" s="36"/>
      <c r="D5" s="36"/>
      <c r="E5" s="312" t="e">
        <f>IF(B4&lt;=20,(20/100)^0.55,(B4/100)^0.55)</f>
        <v>#REF!</v>
      </c>
      <c r="F5" s="36"/>
      <c r="G5" s="36"/>
      <c r="H5" s="36"/>
      <c r="I5" s="36"/>
    </row>
    <row r="6" spans="1:9" ht="23.1" customHeight="1">
      <c r="A6" s="36" t="s">
        <v>1348</v>
      </c>
      <c r="B6" s="36"/>
      <c r="C6" s="36"/>
      <c r="D6" s="36"/>
      <c r="E6" s="315"/>
      <c r="F6" s="36"/>
      <c r="G6" s="36"/>
      <c r="H6" s="36"/>
      <c r="I6" s="36"/>
    </row>
    <row r="7" spans="1:9" ht="23.1" customHeight="1">
      <c r="A7" s="36" t="s">
        <v>1347</v>
      </c>
      <c r="B7" s="1724">
        <f>'산근2-0(하천기본계획-수량)'!M15</f>
        <v>3.22</v>
      </c>
      <c r="C7" s="1724"/>
      <c r="D7" s="311" t="s">
        <v>224</v>
      </c>
      <c r="E7" s="36"/>
      <c r="F7" s="36"/>
      <c r="G7" s="36"/>
      <c r="H7" s="36"/>
      <c r="I7" s="36"/>
    </row>
    <row r="8" spans="1:9" ht="23.1" customHeight="1">
      <c r="A8" s="36" t="s">
        <v>1350</v>
      </c>
      <c r="B8" s="36" t="s">
        <v>1351</v>
      </c>
      <c r="C8" s="36"/>
      <c r="D8" s="36"/>
      <c r="E8" s="312">
        <f>(B7*5)/50</f>
        <v>0.32200000000000001</v>
      </c>
      <c r="F8" s="36"/>
      <c r="G8" s="36"/>
      <c r="H8" s="36"/>
      <c r="I8" s="36"/>
    </row>
    <row r="9" spans="1:9" ht="23.1" customHeight="1">
      <c r="A9" s="36"/>
      <c r="B9" s="36"/>
      <c r="C9" s="36"/>
      <c r="D9" s="36"/>
      <c r="E9" s="313"/>
      <c r="F9" s="36"/>
      <c r="G9" s="36"/>
      <c r="H9" s="36"/>
      <c r="I9" s="36"/>
    </row>
    <row r="10" spans="1:9" ht="23.1" customHeight="1">
      <c r="A10" s="47" t="s">
        <v>1354</v>
      </c>
      <c r="B10" s="36"/>
      <c r="C10" s="36"/>
      <c r="D10" s="36"/>
      <c r="E10" s="36"/>
      <c r="F10" s="36"/>
      <c r="G10" s="36"/>
      <c r="H10" s="36"/>
      <c r="I10" s="36"/>
    </row>
    <row r="11" spans="1:9" ht="23.1" customHeight="1">
      <c r="A11" s="36" t="s">
        <v>1356</v>
      </c>
      <c r="B11" s="1724">
        <f>B7</f>
        <v>3.22</v>
      </c>
      <c r="C11" s="1724"/>
      <c r="D11" s="311" t="s">
        <v>224</v>
      </c>
      <c r="E11" s="36"/>
      <c r="F11" s="36"/>
      <c r="G11" s="36"/>
      <c r="H11" s="36"/>
      <c r="I11" s="36"/>
    </row>
    <row r="12" spans="1:9" ht="23.1" customHeight="1">
      <c r="A12" s="36" t="s">
        <v>1357</v>
      </c>
      <c r="B12" s="36" t="s">
        <v>1358</v>
      </c>
      <c r="C12" s="36"/>
      <c r="D12" s="36"/>
      <c r="E12" s="312">
        <f>B11/10</f>
        <v>0.32200000000000001</v>
      </c>
      <c r="F12" s="36"/>
      <c r="G12" s="36"/>
      <c r="H12" s="36"/>
      <c r="I12" s="36"/>
    </row>
    <row r="13" spans="1:9" ht="23.1" customHeight="1">
      <c r="A13" s="36"/>
      <c r="B13" s="36"/>
      <c r="C13" s="36"/>
      <c r="D13" s="36"/>
      <c r="E13" s="36"/>
      <c r="F13" s="36"/>
      <c r="G13" s="36"/>
      <c r="H13" s="36"/>
      <c r="I13" s="36"/>
    </row>
    <row r="14" spans="1:9" ht="23.1" customHeight="1">
      <c r="A14" s="47" t="s">
        <v>1359</v>
      </c>
      <c r="B14" s="36"/>
      <c r="C14" s="36"/>
      <c r="D14" s="36"/>
      <c r="E14" s="36"/>
      <c r="F14" s="36"/>
      <c r="G14" s="36"/>
      <c r="H14" s="36"/>
      <c r="I14" s="36"/>
    </row>
    <row r="15" spans="1:9" ht="23.1" customHeight="1">
      <c r="A15" s="36" t="s">
        <v>1361</v>
      </c>
      <c r="B15" s="1724">
        <v>0</v>
      </c>
      <c r="C15" s="1724"/>
      <c r="D15" s="311" t="s">
        <v>213</v>
      </c>
      <c r="E15" s="36"/>
      <c r="F15" s="36"/>
      <c r="G15" s="36"/>
      <c r="H15" s="36"/>
      <c r="I15" s="36"/>
    </row>
    <row r="16" spans="1:9" ht="23.1" customHeight="1">
      <c r="A16" s="36" t="s">
        <v>1360</v>
      </c>
      <c r="B16" s="36" t="s">
        <v>1366</v>
      </c>
      <c r="C16" s="36"/>
      <c r="D16" s="36"/>
      <c r="E16" s="312">
        <f>1+0.1*(B15-1)</f>
        <v>0.9</v>
      </c>
      <c r="F16" s="36"/>
      <c r="G16" s="36"/>
      <c r="H16" s="36"/>
      <c r="I16" s="36"/>
    </row>
    <row r="17" spans="1:9" ht="23.1" customHeight="1">
      <c r="A17" s="36"/>
      <c r="B17" s="36"/>
      <c r="C17" s="36"/>
      <c r="D17" s="36"/>
      <c r="E17" s="315"/>
      <c r="F17" s="36"/>
      <c r="G17" s="36"/>
      <c r="H17" s="36"/>
      <c r="I17" s="36"/>
    </row>
    <row r="18" spans="1:9" ht="24.95" customHeight="1">
      <c r="A18" s="47" t="s">
        <v>1362</v>
      </c>
      <c r="B18" s="36"/>
      <c r="C18" s="36"/>
      <c r="D18" s="36"/>
      <c r="E18" s="36"/>
      <c r="F18" s="36"/>
      <c r="G18" s="36"/>
      <c r="H18" s="36"/>
      <c r="I18" s="36"/>
    </row>
    <row r="19" spans="1:9" ht="24.95" customHeight="1">
      <c r="A19" s="36" t="s">
        <v>1363</v>
      </c>
      <c r="B19" s="1724">
        <v>1</v>
      </c>
      <c r="C19" s="1724"/>
      <c r="D19" s="311" t="s">
        <v>213</v>
      </c>
      <c r="E19" s="36"/>
      <c r="F19" s="36"/>
      <c r="G19" s="36"/>
      <c r="H19" s="36"/>
      <c r="I19" s="36"/>
    </row>
    <row r="20" spans="1:9" ht="24.95" customHeight="1">
      <c r="A20" s="36" t="s">
        <v>1364</v>
      </c>
      <c r="B20" s="36" t="s">
        <v>1365</v>
      </c>
      <c r="C20" s="36"/>
      <c r="D20" s="36"/>
      <c r="E20" s="312">
        <f>1+0.2*(B19-1)</f>
        <v>1</v>
      </c>
      <c r="F20" s="36"/>
      <c r="G20" s="36"/>
      <c r="H20" s="36"/>
      <c r="I20" s="36"/>
    </row>
    <row r="21" spans="1:9" ht="24.95" customHeight="1">
      <c r="A21" s="36"/>
      <c r="B21" s="36"/>
      <c r="C21" s="36"/>
      <c r="D21" s="36"/>
      <c r="E21" s="315"/>
      <c r="F21" s="36"/>
      <c r="G21" s="36"/>
      <c r="H21" s="36"/>
      <c r="I21" s="36"/>
    </row>
    <row r="22" spans="1:9" ht="22.15" customHeight="1">
      <c r="A22" s="47" t="s">
        <v>87</v>
      </c>
      <c r="B22" s="36"/>
      <c r="C22" s="36"/>
      <c r="D22" s="36"/>
      <c r="E22" s="36"/>
      <c r="F22" s="36"/>
      <c r="G22" s="36"/>
      <c r="H22" s="36"/>
      <c r="I22" s="77"/>
    </row>
    <row r="23" spans="1:9" ht="15" customHeight="1">
      <c r="A23" s="1720" t="s">
        <v>178</v>
      </c>
      <c r="B23" s="1720"/>
      <c r="C23" s="1720" t="s">
        <v>49</v>
      </c>
      <c r="D23" s="1720" t="s">
        <v>183</v>
      </c>
      <c r="E23" s="1720"/>
      <c r="F23" s="1720"/>
      <c r="G23" s="1720"/>
      <c r="H23" s="1720"/>
      <c r="I23" s="1720"/>
    </row>
    <row r="24" spans="1:9" ht="15" customHeight="1">
      <c r="A24" s="1720"/>
      <c r="B24" s="1720"/>
      <c r="C24" s="1720"/>
      <c r="D24" s="169" t="s">
        <v>240</v>
      </c>
      <c r="E24" s="307" t="s">
        <v>58</v>
      </c>
      <c r="F24" s="307" t="s">
        <v>52</v>
      </c>
      <c r="G24" s="307" t="s">
        <v>63</v>
      </c>
      <c r="H24" s="307" t="s">
        <v>51</v>
      </c>
      <c r="I24" s="307" t="s">
        <v>50</v>
      </c>
    </row>
    <row r="25" spans="1:9" ht="18" customHeight="1">
      <c r="A25" s="1723" t="str">
        <f>'비상대처계획(적용수량)'!A5</f>
        <v xml:space="preserve"> 가. 작업계획</v>
      </c>
      <c r="B25" s="1723"/>
      <c r="C25" s="183" t="str">
        <f>'비상대처계획(적용수량)'!B5</f>
        <v>10㎞</v>
      </c>
      <c r="D25" s="184">
        <v>1</v>
      </c>
      <c r="E25" s="185"/>
      <c r="F25" s="185"/>
      <c r="G25" s="185">
        <f>E12</f>
        <v>0.32200000000000001</v>
      </c>
      <c r="H25" s="185"/>
      <c r="I25" s="185"/>
    </row>
    <row r="26" spans="1:9" ht="18" customHeight="1">
      <c r="A26" s="1723" t="str">
        <f>'비상대처계획(적용수량)'!A6</f>
        <v xml:space="preserve"> 나. 사업개요</v>
      </c>
      <c r="B26" s="1723"/>
      <c r="C26" s="183"/>
      <c r="D26" s="184"/>
      <c r="E26" s="185"/>
      <c r="F26" s="185"/>
      <c r="G26" s="185"/>
      <c r="H26" s="185"/>
      <c r="I26" s="185"/>
    </row>
    <row r="27" spans="1:9" ht="18" customHeight="1">
      <c r="A27" s="1719" t="str">
        <f>'비상대처계획(적용수량)'!A7</f>
        <v xml:space="preserve">  1) EAP 기본정보 및 댐저수지 일반정보</v>
      </c>
      <c r="B27" s="1719"/>
      <c r="C27" s="307" t="str">
        <f>'비상대처계획(적용수량)'!B7</f>
        <v>1개소</v>
      </c>
      <c r="D27" s="170">
        <v>1</v>
      </c>
      <c r="E27" s="112"/>
      <c r="F27" s="112"/>
      <c r="G27" s="112"/>
      <c r="H27" s="112"/>
      <c r="I27" s="112"/>
    </row>
    <row r="28" spans="1:9" ht="18" customHeight="1">
      <c r="A28" s="1719" t="str">
        <f>'비상대처계획(적용수량)'!A8</f>
        <v xml:space="preserve">  2) EAP 배포기관</v>
      </c>
      <c r="B28" s="1719"/>
      <c r="C28" s="307" t="str">
        <f>'비상대처계획(적용수량)'!B8</f>
        <v>1개소</v>
      </c>
      <c r="D28" s="170">
        <v>1</v>
      </c>
      <c r="E28" s="112"/>
      <c r="F28" s="112"/>
      <c r="G28" s="112"/>
      <c r="H28" s="112"/>
      <c r="I28" s="112"/>
    </row>
    <row r="29" spans="1:9" ht="18" customHeight="1">
      <c r="A29" s="1719" t="str">
        <f>'비상대처계획(적용수량)'!A9</f>
        <v xml:space="preserve">  3) EAP 작성, 보완 및 갱신</v>
      </c>
      <c r="B29" s="1719"/>
      <c r="C29" s="307" t="str">
        <f>'비상대처계획(적용수량)'!B9</f>
        <v>1개소</v>
      </c>
      <c r="D29" s="170">
        <v>1</v>
      </c>
      <c r="E29" s="112"/>
      <c r="F29" s="112"/>
      <c r="G29" s="112"/>
      <c r="H29" s="112"/>
      <c r="I29" s="112"/>
    </row>
    <row r="30" spans="1:9" ht="18" customHeight="1">
      <c r="A30" s="1723" t="str">
        <f>'비상대처계획(적용수량)'!A10</f>
        <v xml:space="preserve"> 다. 하류부 영향 평가</v>
      </c>
      <c r="B30" s="1723"/>
      <c r="C30" s="183"/>
      <c r="D30" s="184"/>
      <c r="E30" s="185"/>
      <c r="F30" s="185"/>
      <c r="G30" s="185"/>
      <c r="H30" s="185"/>
      <c r="I30" s="185"/>
    </row>
    <row r="31" spans="1:9" ht="18" customHeight="1">
      <c r="A31" s="1719" t="str">
        <f>'비상대처계획(적용수량)'!A11</f>
        <v xml:space="preserve">  1) 하류부 하천 및 유역개요</v>
      </c>
      <c r="B31" s="1719"/>
      <c r="C31" s="307" t="str">
        <f>'비상대처계획(적용수량)'!B11</f>
        <v>100km2</v>
      </c>
      <c r="D31" s="170">
        <f>IF('일위대가5(비상대처계획)'!$R$2=0,0,1)</f>
        <v>0</v>
      </c>
      <c r="E31" s="112" t="e">
        <f>E5</f>
        <v>#REF!</v>
      </c>
      <c r="F31" s="112"/>
      <c r="G31" s="112"/>
      <c r="H31" s="112"/>
      <c r="I31" s="112"/>
    </row>
    <row r="32" spans="1:9" ht="18" customHeight="1">
      <c r="A32" s="1719" t="str">
        <f>'비상대처계획(적용수량)'!A12</f>
        <v xml:space="preserve">  2) 댐 붕괴 위험성의 평가</v>
      </c>
      <c r="B32" s="1719"/>
      <c r="C32" s="307"/>
      <c r="D32" s="170"/>
      <c r="E32" s="112"/>
      <c r="F32" s="112"/>
      <c r="G32" s="112"/>
      <c r="H32" s="112"/>
      <c r="I32" s="112"/>
    </row>
    <row r="33" spans="1:9" ht="18" customHeight="1">
      <c r="A33" s="1719" t="str">
        <f>'비상대처계획(적용수량)'!A13</f>
        <v xml:space="preserve">   ① 관련자료 조사검토</v>
      </c>
      <c r="B33" s="1719"/>
      <c r="C33" s="307" t="str">
        <f>'비상대처계획(적용수량)'!B13</f>
        <v>1개소</v>
      </c>
      <c r="D33" s="170">
        <f>IF('일위대가5(비상대처계획)'!$R$2=0,0,1)</f>
        <v>0</v>
      </c>
      <c r="E33" s="112"/>
      <c r="F33" s="112"/>
      <c r="G33" s="112"/>
      <c r="H33" s="112"/>
      <c r="I33" s="112"/>
    </row>
    <row r="34" spans="1:9" ht="18" customHeight="1">
      <c r="A34" s="1719" t="str">
        <f>'비상대처계획(적용수량)'!A14</f>
        <v xml:space="preserve">   ② 수문학적 안전성 평가</v>
      </c>
      <c r="B34" s="1719"/>
      <c r="C34" s="307" t="str">
        <f>'비상대처계획(적용수량)'!B14</f>
        <v>1개소</v>
      </c>
      <c r="D34" s="170">
        <f>IF('일위대가5(비상대처계획)'!$R$2=0,0,1)</f>
        <v>0</v>
      </c>
      <c r="E34" s="112"/>
      <c r="F34" s="112"/>
      <c r="G34" s="112"/>
      <c r="H34" s="112"/>
      <c r="I34" s="112"/>
    </row>
    <row r="35" spans="1:9" ht="18" customHeight="1">
      <c r="A35" s="1719" t="str">
        <f>'비상대처계획(적용수량)'!A15</f>
        <v xml:space="preserve">   ③ 내진 안전성 평가</v>
      </c>
      <c r="B35" s="1719"/>
      <c r="C35" s="307" t="str">
        <f>'비상대처계획(적용수량)'!B15</f>
        <v>1개소</v>
      </c>
      <c r="D35" s="170">
        <f>IF('일위대가5(비상대처계획)'!$R$2=0,0,1)</f>
        <v>0</v>
      </c>
      <c r="E35" s="112"/>
      <c r="F35" s="112"/>
      <c r="G35" s="112"/>
      <c r="H35" s="112"/>
      <c r="I35" s="112"/>
    </row>
    <row r="36" spans="1:9" ht="18" customHeight="1">
      <c r="A36" s="1719" t="str">
        <f>'비상대처계획(적용수량)'!A16</f>
        <v xml:space="preserve">  3) 댐 붕괴 홍수류 해석</v>
      </c>
      <c r="B36" s="1719"/>
      <c r="C36" s="307"/>
      <c r="D36" s="170"/>
      <c r="E36" s="112"/>
      <c r="F36" s="112"/>
      <c r="G36" s="112"/>
      <c r="H36" s="112"/>
      <c r="I36" s="112"/>
    </row>
    <row r="37" spans="1:9" ht="18" customHeight="1">
      <c r="A37" s="1719" t="str">
        <f>'비상대처계획(적용수량)'!A17</f>
        <v xml:space="preserve">   ① 기초자료 조사</v>
      </c>
      <c r="B37" s="1719"/>
      <c r="C37" s="307" t="str">
        <f>'비상대처계획(적용수량)'!B17</f>
        <v>100km2</v>
      </c>
      <c r="D37" s="170">
        <f>IF('일위대가5(비상대처계획)'!$R$2=0,0,1)</f>
        <v>0</v>
      </c>
      <c r="E37" s="112" t="e">
        <f>E5</f>
        <v>#REF!</v>
      </c>
      <c r="F37" s="112"/>
      <c r="G37" s="112"/>
      <c r="H37" s="112"/>
      <c r="I37" s="112"/>
    </row>
    <row r="38" spans="1:9" ht="18" customHeight="1">
      <c r="A38" s="1719" t="str">
        <f>'비상대처계획(적용수량)'!A18</f>
        <v xml:space="preserve">   ② 최근의 국·내외 댐 붕괴 사례 조사</v>
      </c>
      <c r="B38" s="1719"/>
      <c r="C38" s="307" t="str">
        <f>'비상대처계획(적용수량)'!B18</f>
        <v>1식</v>
      </c>
      <c r="D38" s="170">
        <f>IF('일위대가5(비상대처계획)'!$R$2=0,0,1)</f>
        <v>0</v>
      </c>
      <c r="E38" s="112"/>
      <c r="F38" s="112"/>
      <c r="G38" s="112"/>
      <c r="H38" s="112"/>
      <c r="I38" s="112"/>
    </row>
    <row r="39" spans="1:9" ht="18" customHeight="1">
      <c r="A39" s="1719" t="str">
        <f>'비상대처계획(적용수량)'!A19</f>
        <v xml:space="preserve">   ③ 댐 및 저수지 붕괴 시나리오 구성</v>
      </c>
      <c r="B39" s="1719"/>
      <c r="C39" s="307" t="str">
        <f>'비상대처계획(적용수량)'!B19</f>
        <v>10㎞</v>
      </c>
      <c r="D39" s="170">
        <f>IF('일위대가5(비상대처계획)'!$R$2=0,0,1)</f>
        <v>0</v>
      </c>
      <c r="E39" s="112"/>
      <c r="F39" s="112"/>
      <c r="G39" s="112">
        <f>E12</f>
        <v>0.32200000000000001</v>
      </c>
      <c r="H39" s="112"/>
      <c r="I39" s="112"/>
    </row>
    <row r="40" spans="1:9" ht="18" customHeight="1">
      <c r="A40" s="1719" t="str">
        <f>'비상대처계획(적용수량)'!A20</f>
        <v xml:space="preserve">   ④ 시나리오에 따른 홍수량 산정(댐 유역)</v>
      </c>
      <c r="B40" s="1719"/>
      <c r="C40" s="307" t="str">
        <f>'비상대처계획(적용수량)'!B20</f>
        <v>100km2</v>
      </c>
      <c r="D40" s="170">
        <f>IF('일위대가5(비상대처계획)'!$R$2=0,0,1)</f>
        <v>0</v>
      </c>
      <c r="E40" s="112" t="e">
        <f>E5</f>
        <v>#REF!</v>
      </c>
      <c r="F40" s="112"/>
      <c r="G40" s="112"/>
      <c r="H40" s="112"/>
      <c r="I40" s="112"/>
    </row>
    <row r="41" spans="1:9" ht="18" customHeight="1">
      <c r="A41" s="1719" t="str">
        <f>'비상대처계획(적용수량)'!A21</f>
        <v xml:space="preserve">   ⑤ 시나리오에 따른 홍수량 산정(댐 하류유역)</v>
      </c>
      <c r="B41" s="1719"/>
      <c r="C41" s="307" t="str">
        <f>'비상대처계획(적용수량)'!B21</f>
        <v>100km2</v>
      </c>
      <c r="D41" s="170">
        <f>IF('일위대가5(비상대처계획)'!$R$2=0,0,1)</f>
        <v>0</v>
      </c>
      <c r="E41" s="112" t="e">
        <f>E5</f>
        <v>#REF!</v>
      </c>
      <c r="F41" s="112"/>
      <c r="G41" s="112"/>
      <c r="H41" s="112"/>
      <c r="I41" s="112"/>
    </row>
    <row r="42" spans="1:9" ht="18" customHeight="1">
      <c r="A42" s="1719" t="str">
        <f>'비상대처계획(적용수량)'!A22</f>
        <v xml:space="preserve">   ⑥ 댐 하류부 지형분석</v>
      </c>
      <c r="B42" s="1719"/>
      <c r="C42" s="307" t="str">
        <f>'비상대처계획(적용수량)'!B22</f>
        <v>50km2</v>
      </c>
      <c r="D42" s="170">
        <f>IF('일위대가5(비상대처계획)'!$R$2=0,0,1)</f>
        <v>0</v>
      </c>
      <c r="E42" s="112"/>
      <c r="F42" s="112">
        <f>E8</f>
        <v>0.32200000000000001</v>
      </c>
      <c r="G42" s="112"/>
      <c r="H42" s="112"/>
      <c r="I42" s="112"/>
    </row>
    <row r="43" spans="1:9" ht="18" customHeight="1">
      <c r="A43" s="1719" t="str">
        <f>'비상대처계획(적용수량)'!A23</f>
        <v xml:space="preserve">   ⑦ 댐 붕괴 모의 수행(1차원 해석)</v>
      </c>
      <c r="B43" s="1719"/>
      <c r="C43" s="307" t="str">
        <f>'비상대처계획(적용수량)'!B23</f>
        <v>10㎞</v>
      </c>
      <c r="D43" s="170">
        <f>IF('일위대가5(비상대처계획)'!$R$2=0,0,1)</f>
        <v>0</v>
      </c>
      <c r="E43" s="112"/>
      <c r="F43" s="112"/>
      <c r="G43" s="112">
        <f>E12</f>
        <v>0.32200000000000001</v>
      </c>
      <c r="H43" s="112"/>
      <c r="I43" s="112"/>
    </row>
    <row r="44" spans="1:9" ht="18" customHeight="1">
      <c r="A44" s="1719" t="str">
        <f>'비상대처계획(적용수량)'!A24</f>
        <v xml:space="preserve">   ⑧ 댐 붕괴 모의 수행(2차원 해석)</v>
      </c>
      <c r="B44" s="1719"/>
      <c r="C44" s="307" t="str">
        <f>'비상대처계획(적용수량)'!B24</f>
        <v>10㎞</v>
      </c>
      <c r="D44" s="170">
        <f>IF('일위대가5(비상대처계획)'!$R$2=0,0,1)</f>
        <v>0</v>
      </c>
      <c r="E44" s="112"/>
      <c r="F44" s="112"/>
      <c r="G44" s="112">
        <f>E12</f>
        <v>0.32200000000000001</v>
      </c>
      <c r="H44" s="112"/>
      <c r="I44" s="112"/>
    </row>
    <row r="45" spans="1:9" ht="18" customHeight="1">
      <c r="A45" s="1719" t="str">
        <f>'비상대처계획(적용수량)'!A25</f>
        <v xml:space="preserve">   ⑨ 홍수범람도 작성</v>
      </c>
      <c r="B45" s="1719"/>
      <c r="C45" s="307" t="str">
        <f>'비상대처계획(적용수량)'!B25</f>
        <v>50km2</v>
      </c>
      <c r="D45" s="170">
        <f>IF('일위대가5(비상대처계획)'!$R$2=0,0,1)</f>
        <v>0</v>
      </c>
      <c r="E45" s="112"/>
      <c r="F45" s="112">
        <f>E8</f>
        <v>0.32200000000000001</v>
      </c>
      <c r="G45" s="112"/>
      <c r="H45" s="112"/>
      <c r="I45" s="112"/>
    </row>
    <row r="46" spans="1:9" ht="18" customHeight="1">
      <c r="A46" s="1719" t="str">
        <f>'비상대처계획(적용수량)'!A26</f>
        <v xml:space="preserve">   ⑩ 주요지점별 홍수해석 결과 분석</v>
      </c>
      <c r="B46" s="1719"/>
      <c r="C46" s="307" t="str">
        <f>'비상대처계획(적용수량)'!B26</f>
        <v>10㎞</v>
      </c>
      <c r="D46" s="170">
        <f>IF('일위대가5(비상대처계획)'!$R$2=0,0,1)</f>
        <v>0</v>
      </c>
      <c r="E46" s="112"/>
      <c r="F46" s="112"/>
      <c r="G46" s="112">
        <f>E12</f>
        <v>0.32200000000000001</v>
      </c>
      <c r="H46" s="112"/>
      <c r="I46" s="112"/>
    </row>
    <row r="47" spans="1:9" ht="18" customHeight="1">
      <c r="A47" s="1723" t="str">
        <f>'비상대처계획(적용수량)'!A27</f>
        <v xml:space="preserve"> 라. 비상상황 관리</v>
      </c>
      <c r="B47" s="1723"/>
      <c r="C47" s="183"/>
      <c r="D47" s="184"/>
      <c r="E47" s="185"/>
      <c r="F47" s="185"/>
      <c r="G47" s="185"/>
      <c r="H47" s="185"/>
      <c r="I47" s="185"/>
    </row>
    <row r="48" spans="1:9" ht="18" customHeight="1">
      <c r="A48" s="1719" t="str">
        <f>'비상대처계획(적용수량)'!A28</f>
        <v xml:space="preserve">  1) 비상상황시 정보취득 및 보고방법</v>
      </c>
      <c r="B48" s="1719"/>
      <c r="C48" s="307" t="str">
        <f>'비상대처계획(적용수량)'!B28</f>
        <v>1개소</v>
      </c>
      <c r="D48" s="170">
        <v>1</v>
      </c>
      <c r="E48" s="112"/>
      <c r="F48" s="112"/>
      <c r="G48" s="112"/>
      <c r="H48" s="112">
        <f>$E$16</f>
        <v>0.9</v>
      </c>
      <c r="I48" s="112">
        <f>$E$20</f>
        <v>1</v>
      </c>
    </row>
    <row r="49" spans="1:9" ht="18" customHeight="1">
      <c r="A49" s="1719" t="str">
        <f>'비상대처계획(적용수량)'!A29</f>
        <v xml:space="preserve">  2) 비상대응기관의 책임과 의무</v>
      </c>
      <c r="B49" s="1719"/>
      <c r="C49" s="307" t="str">
        <f>'비상대처계획(적용수량)'!B29</f>
        <v>1개소</v>
      </c>
      <c r="D49" s="170">
        <v>1</v>
      </c>
      <c r="E49" s="112"/>
      <c r="F49" s="112"/>
      <c r="G49" s="112"/>
      <c r="H49" s="112">
        <f t="shared" ref="H49:H64" si="0">$E$16</f>
        <v>0.9</v>
      </c>
      <c r="I49" s="112">
        <f t="shared" ref="I49:I67" si="1">$E$20</f>
        <v>1</v>
      </c>
    </row>
    <row r="50" spans="1:9" ht="18" customHeight="1">
      <c r="A50" s="1719" t="str">
        <f>'비상대처계획(적용수량)'!A30</f>
        <v xml:space="preserve">  3) 비상발령절차 및 상황관리체계 </v>
      </c>
      <c r="B50" s="1719"/>
      <c r="C50" s="307" t="str">
        <f>'비상대처계획(적용수량)'!B30</f>
        <v>1개소</v>
      </c>
      <c r="D50" s="170">
        <v>1</v>
      </c>
      <c r="E50" s="112"/>
      <c r="F50" s="112"/>
      <c r="G50" s="112"/>
      <c r="H50" s="112">
        <f t="shared" si="0"/>
        <v>0.9</v>
      </c>
      <c r="I50" s="112">
        <f t="shared" si="1"/>
        <v>1</v>
      </c>
    </row>
    <row r="51" spans="1:9" ht="18" customHeight="1">
      <c r="A51" s="1719" t="str">
        <f>'비상대처계획(적용수량)'!A31</f>
        <v xml:space="preserve">  4) 유관기관 협조체계</v>
      </c>
      <c r="B51" s="1719"/>
      <c r="C51" s="307" t="str">
        <f>'비상대처계획(적용수량)'!B31</f>
        <v>1개소</v>
      </c>
      <c r="D51" s="170" t="e">
        <f>#REF!</f>
        <v>#REF!</v>
      </c>
      <c r="E51" s="112"/>
      <c r="F51" s="112"/>
      <c r="G51" s="112"/>
      <c r="H51" s="112">
        <f t="shared" si="0"/>
        <v>0.9</v>
      </c>
      <c r="I51" s="112">
        <f t="shared" si="1"/>
        <v>1</v>
      </c>
    </row>
    <row r="52" spans="1:9" ht="18" customHeight="1">
      <c r="A52" s="1723" t="str">
        <f>'비상대처계획(적용수량)'!A32</f>
        <v xml:space="preserve"> 마. 응급조치 계획</v>
      </c>
      <c r="B52" s="1723"/>
      <c r="C52" s="183"/>
      <c r="D52" s="184"/>
      <c r="E52" s="185"/>
      <c r="F52" s="185"/>
      <c r="G52" s="185"/>
      <c r="H52" s="185"/>
      <c r="I52" s="185"/>
    </row>
    <row r="53" spans="1:9" s="168" customFormat="1" ht="18" customHeight="1">
      <c r="A53" s="1719" t="str">
        <f>'비상대처계획(적용수량)'!A33</f>
        <v xml:space="preserve">  1) 현장조사(대피장소, 대피경로 등)</v>
      </c>
      <c r="B53" s="1719"/>
      <c r="C53" s="307" t="str">
        <f>'비상대처계획(적용수량)'!B33</f>
        <v>100km2</v>
      </c>
      <c r="D53" s="215">
        <v>1</v>
      </c>
      <c r="E53" s="216"/>
      <c r="F53" s="216"/>
      <c r="G53" s="216"/>
      <c r="H53" s="112">
        <f t="shared" si="0"/>
        <v>0.9</v>
      </c>
      <c r="I53" s="112">
        <f t="shared" si="1"/>
        <v>1</v>
      </c>
    </row>
    <row r="54" spans="1:9" s="168" customFormat="1" ht="18" customHeight="1">
      <c r="A54" s="1719" t="str">
        <f>'비상대처계획(적용수량)'!A34</f>
        <v xml:space="preserve">  2) 주민대피</v>
      </c>
      <c r="B54" s="1719"/>
      <c r="C54" s="307" t="str">
        <f>'비상대처계획(적용수량)'!B34</f>
        <v>1개소</v>
      </c>
      <c r="D54" s="215">
        <v>1</v>
      </c>
      <c r="E54" s="216"/>
      <c r="F54" s="216"/>
      <c r="G54" s="216"/>
      <c r="H54" s="112">
        <f t="shared" si="0"/>
        <v>0.9</v>
      </c>
      <c r="I54" s="112">
        <f t="shared" si="1"/>
        <v>1</v>
      </c>
    </row>
    <row r="55" spans="1:9" s="168" customFormat="1" ht="18" customHeight="1">
      <c r="A55" s="1719" t="str">
        <f>'비상대처계획(적용수량)'!A35</f>
        <v xml:space="preserve">  3) 대체도로, 긴급통신, 비상급수</v>
      </c>
      <c r="B55" s="1719"/>
      <c r="C55" s="307" t="str">
        <f>'비상대처계획(적용수량)'!B35</f>
        <v>1개소</v>
      </c>
      <c r="D55" s="215">
        <v>1</v>
      </c>
      <c r="E55" s="216"/>
      <c r="F55" s="216"/>
      <c r="G55" s="216"/>
      <c r="H55" s="112">
        <f t="shared" si="0"/>
        <v>0.9</v>
      </c>
      <c r="I55" s="112">
        <f t="shared" si="1"/>
        <v>1</v>
      </c>
    </row>
    <row r="56" spans="1:9" s="168" customFormat="1" ht="18" customHeight="1">
      <c r="A56" s="1719" t="str">
        <f>'비상대처계획(적용수량)'!A36</f>
        <v xml:space="preserve">  4) 긴급 구조·구급</v>
      </c>
      <c r="B56" s="1719"/>
      <c r="C56" s="307" t="str">
        <f>'비상대처계획(적용수량)'!B36</f>
        <v>1개소</v>
      </c>
      <c r="D56" s="215">
        <v>1</v>
      </c>
      <c r="E56" s="216"/>
      <c r="F56" s="216"/>
      <c r="G56" s="216"/>
      <c r="H56" s="112">
        <f t="shared" si="0"/>
        <v>0.9</v>
      </c>
      <c r="I56" s="112">
        <f t="shared" si="1"/>
        <v>1</v>
      </c>
    </row>
    <row r="57" spans="1:9" s="168" customFormat="1" ht="18" customHeight="1">
      <c r="A57" s="1719" t="str">
        <f>'비상대처계획(적용수량)'!A37</f>
        <v xml:space="preserve">  5) 유발재난 및 2차피해 방지</v>
      </c>
      <c r="B57" s="1719"/>
      <c r="C57" s="307" t="str">
        <f>'비상대처계획(적용수량)'!B37</f>
        <v>1개소</v>
      </c>
      <c r="D57" s="215">
        <v>1</v>
      </c>
      <c r="E57" s="216"/>
      <c r="F57" s="216"/>
      <c r="G57" s="216"/>
      <c r="H57" s="112">
        <f t="shared" si="0"/>
        <v>0.9</v>
      </c>
      <c r="I57" s="112">
        <f t="shared" si="1"/>
        <v>1</v>
      </c>
    </row>
    <row r="58" spans="1:9" ht="18" customHeight="1">
      <c r="A58" s="1719" t="str">
        <f>'비상대처계획(적용수량)'!A38</f>
        <v xml:space="preserve">  6) 시설물 응급복구</v>
      </c>
      <c r="B58" s="1719"/>
      <c r="C58" s="307" t="str">
        <f>'비상대처계획(적용수량)'!B38</f>
        <v>1개소</v>
      </c>
      <c r="D58" s="170">
        <v>1</v>
      </c>
      <c r="E58" s="112"/>
      <c r="F58" s="112"/>
      <c r="G58" s="112"/>
      <c r="H58" s="112">
        <f t="shared" si="0"/>
        <v>0.9</v>
      </c>
      <c r="I58" s="112">
        <f t="shared" si="1"/>
        <v>1</v>
      </c>
    </row>
    <row r="59" spans="1:9" ht="18" customHeight="1">
      <c r="A59" s="1723" t="str">
        <f>'비상대처계획(적용수량)'!A39</f>
        <v xml:space="preserve"> 마. 재해구호 및 지역안정 계획</v>
      </c>
      <c r="B59" s="1723"/>
      <c r="C59" s="183"/>
      <c r="D59" s="184"/>
      <c r="E59" s="185"/>
      <c r="F59" s="185"/>
      <c r="G59" s="185"/>
      <c r="H59" s="185"/>
      <c r="I59" s="185"/>
    </row>
    <row r="60" spans="1:9" ht="18" customHeight="1">
      <c r="A60" s="1719" t="str">
        <f>'비상대처계획(적용수량)'!A40</f>
        <v xml:space="preserve">  1) 이재민수용관리</v>
      </c>
      <c r="B60" s="1719"/>
      <c r="C60" s="307" t="str">
        <f>'비상대처계획(적용수량)'!B40</f>
        <v>1개소</v>
      </c>
      <c r="D60" s="170">
        <v>1</v>
      </c>
      <c r="E60" s="112"/>
      <c r="F60" s="112"/>
      <c r="G60" s="112"/>
      <c r="H60" s="112">
        <f t="shared" si="0"/>
        <v>0.9</v>
      </c>
      <c r="I60" s="112">
        <f t="shared" si="1"/>
        <v>1</v>
      </c>
    </row>
    <row r="61" spans="1:9" ht="18" customHeight="1">
      <c r="A61" s="1719" t="str">
        <f>'비상대처계획(적용수량)'!A41</f>
        <v xml:space="preserve">  2) 구호물자 접수·배분 및 생필품 공급</v>
      </c>
      <c r="B61" s="1719"/>
      <c r="C61" s="307" t="str">
        <f>'비상대처계획(적용수량)'!B41</f>
        <v>1개소</v>
      </c>
      <c r="D61" s="170">
        <v>1</v>
      </c>
      <c r="E61" s="112"/>
      <c r="F61" s="112"/>
      <c r="G61" s="112"/>
      <c r="H61" s="112">
        <f t="shared" si="0"/>
        <v>0.9</v>
      </c>
      <c r="I61" s="112">
        <f t="shared" si="1"/>
        <v>1</v>
      </c>
    </row>
    <row r="62" spans="1:9" s="168" customFormat="1" ht="18" customHeight="1">
      <c r="A62" s="1719" t="str">
        <f>'비상대처계획(적용수량)'!A42</f>
        <v xml:space="preserve">  3) 의료·청소·방역 활동</v>
      </c>
      <c r="B62" s="1719"/>
      <c r="C62" s="307" t="str">
        <f>'비상대처계획(적용수량)'!B42</f>
        <v>1개소</v>
      </c>
      <c r="D62" s="215">
        <v>1</v>
      </c>
      <c r="E62" s="216"/>
      <c r="F62" s="216"/>
      <c r="G62" s="216"/>
      <c r="H62" s="112">
        <f t="shared" si="0"/>
        <v>0.9</v>
      </c>
      <c r="I62" s="112">
        <f t="shared" si="1"/>
        <v>1</v>
      </c>
    </row>
    <row r="63" spans="1:9" s="168" customFormat="1" ht="18" customHeight="1">
      <c r="A63" s="1719" t="str">
        <f>'비상대처계획(적용수량)'!A43</f>
        <v xml:space="preserve">  4) 사회질서 유지 등 지역안정</v>
      </c>
      <c r="B63" s="1719"/>
      <c r="C63" s="307" t="str">
        <f>'비상대처계획(적용수량)'!B43</f>
        <v>1개소</v>
      </c>
      <c r="D63" s="215">
        <v>1</v>
      </c>
      <c r="E63" s="216"/>
      <c r="F63" s="216"/>
      <c r="G63" s="216"/>
      <c r="H63" s="112">
        <f t="shared" si="0"/>
        <v>0.9</v>
      </c>
      <c r="I63" s="112">
        <f t="shared" si="1"/>
        <v>1</v>
      </c>
    </row>
    <row r="64" spans="1:9" s="168" customFormat="1" ht="18" customHeight="1">
      <c r="A64" s="1719" t="str">
        <f>'비상대처계획(적용수량)'!A44</f>
        <v xml:space="preserve">  5) 자원봉사활동</v>
      </c>
      <c r="B64" s="1719"/>
      <c r="C64" s="307" t="str">
        <f>'비상대처계획(적용수량)'!B44</f>
        <v>1개소</v>
      </c>
      <c r="D64" s="215">
        <v>1</v>
      </c>
      <c r="E64" s="216"/>
      <c r="F64" s="216"/>
      <c r="G64" s="216"/>
      <c r="H64" s="112">
        <f t="shared" si="0"/>
        <v>0.9</v>
      </c>
      <c r="I64" s="112">
        <f t="shared" si="1"/>
        <v>1</v>
      </c>
    </row>
    <row r="65" spans="1:9" s="168" customFormat="1" ht="18" customHeight="1">
      <c r="A65" s="1723" t="str">
        <f>'비상대처계획(적용수량)'!A45</f>
        <v xml:space="preserve"> 사. EAP 실습 및 훈련</v>
      </c>
      <c r="B65" s="1723"/>
      <c r="C65" s="183"/>
      <c r="D65" s="218"/>
      <c r="E65" s="219"/>
      <c r="F65" s="219"/>
      <c r="G65" s="219"/>
      <c r="H65" s="219"/>
      <c r="I65" s="219"/>
    </row>
    <row r="66" spans="1:9" s="168" customFormat="1" ht="18" customHeight="1">
      <c r="A66" s="1719" t="str">
        <f>'비상대처계획(적용수량)'!A46</f>
        <v xml:space="preserve">  1) 훈련계획</v>
      </c>
      <c r="B66" s="1719"/>
      <c r="C66" s="307" t="str">
        <f>'비상대처계획(적용수량)'!B46</f>
        <v>1개소</v>
      </c>
      <c r="D66" s="215">
        <v>1</v>
      </c>
      <c r="E66" s="216"/>
      <c r="F66" s="216"/>
      <c r="G66" s="216"/>
      <c r="H66" s="112"/>
      <c r="I66" s="112">
        <f t="shared" si="1"/>
        <v>1</v>
      </c>
    </row>
    <row r="67" spans="1:9" s="168" customFormat="1" ht="18" customHeight="1">
      <c r="A67" s="1719" t="str">
        <f>'비상대처계획(적용수량)'!A47</f>
        <v xml:space="preserve">  2) 훈련 메시지 작성</v>
      </c>
      <c r="B67" s="1719"/>
      <c r="C67" s="307" t="str">
        <f>'비상대처계획(적용수량)'!B47</f>
        <v>1개소</v>
      </c>
      <c r="D67" s="215">
        <v>1</v>
      </c>
      <c r="E67" s="216"/>
      <c r="F67" s="216"/>
      <c r="G67" s="216"/>
      <c r="H67" s="112"/>
      <c r="I67" s="112">
        <f t="shared" si="1"/>
        <v>1</v>
      </c>
    </row>
    <row r="68" spans="1:9" s="168" customFormat="1" ht="18" customHeight="1">
      <c r="A68" s="1723" t="str">
        <f>'비상대처계획(적용수량)'!A48</f>
        <v xml:space="preserve"> 아. 결론 및 보고서 작성</v>
      </c>
      <c r="B68" s="1723"/>
      <c r="C68" s="183"/>
      <c r="D68" s="218"/>
      <c r="E68" s="219"/>
      <c r="F68" s="219"/>
      <c r="G68" s="219"/>
      <c r="H68" s="219"/>
      <c r="I68" s="219"/>
    </row>
    <row r="69" spans="1:9" s="168" customFormat="1" ht="18" customHeight="1">
      <c r="A69" s="1719" t="str">
        <f>'비상대처계획(적용수량)'!A49</f>
        <v xml:space="preserve">  1) EAP 보고서 작성</v>
      </c>
      <c r="B69" s="1719"/>
      <c r="C69" s="307" t="str">
        <f>'비상대처계획(적용수량)'!B49</f>
        <v>10㎞</v>
      </c>
      <c r="D69" s="215">
        <v>1</v>
      </c>
      <c r="E69" s="216"/>
      <c r="F69" s="216"/>
      <c r="G69" s="216">
        <f>$E$12</f>
        <v>0.32200000000000001</v>
      </c>
      <c r="H69" s="216"/>
      <c r="I69" s="216"/>
    </row>
    <row r="70" spans="1:9" s="168" customFormat="1" ht="18" customHeight="1">
      <c r="A70" s="1719" t="str">
        <f>'비상대처계획(적용수량)'!A50</f>
        <v xml:space="preserve">  2) 하류부 영향평가 및 비상대처계획 수립</v>
      </c>
      <c r="B70" s="1719"/>
      <c r="C70" s="307" t="str">
        <f>'비상대처계획(적용수량)'!B50</f>
        <v>10㎞</v>
      </c>
      <c r="D70" s="215">
        <v>1</v>
      </c>
      <c r="E70" s="216"/>
      <c r="F70" s="216"/>
      <c r="G70" s="216">
        <f t="shared" ref="G70:G71" si="2">$E$12</f>
        <v>0.32200000000000001</v>
      </c>
      <c r="H70" s="216"/>
      <c r="I70" s="216"/>
    </row>
    <row r="71" spans="1:9" s="168" customFormat="1" ht="18" customHeight="1">
      <c r="A71" s="1719" t="str">
        <f>'비상대처계획(적용수량)'!A51</f>
        <v xml:space="preserve">  3) 비상대처계획도 작성</v>
      </c>
      <c r="B71" s="1719"/>
      <c r="C71" s="307" t="str">
        <f>'비상대처계획(적용수량)'!B51</f>
        <v>10㎞</v>
      </c>
      <c r="D71" s="215">
        <v>1</v>
      </c>
      <c r="E71" s="216"/>
      <c r="F71" s="216"/>
      <c r="G71" s="216">
        <f t="shared" si="2"/>
        <v>0.32200000000000001</v>
      </c>
      <c r="H71" s="216"/>
      <c r="I71" s="216"/>
    </row>
  </sheetData>
  <mergeCells count="55">
    <mergeCell ref="A68:B68"/>
    <mergeCell ref="A69:B69"/>
    <mergeCell ref="A70:B70"/>
    <mergeCell ref="A71:B71"/>
    <mergeCell ref="A62:B62"/>
    <mergeCell ref="A63:B63"/>
    <mergeCell ref="A64:B64"/>
    <mergeCell ref="A65:B65"/>
    <mergeCell ref="A66:B66"/>
    <mergeCell ref="A67:B67"/>
    <mergeCell ref="A61:B61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D23:I23"/>
    <mergeCell ref="A25:B25"/>
    <mergeCell ref="B19:C19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B15:C15"/>
    <mergeCell ref="B4:C4"/>
    <mergeCell ref="B7:C7"/>
    <mergeCell ref="B11:C11"/>
    <mergeCell ref="A23:B24"/>
    <mergeCell ref="C23:C24"/>
  </mergeCells>
  <phoneticPr fontId="181" type="noConversion"/>
  <printOptions horizontalCentered="1"/>
  <pageMargins left="0.47236111760139465" right="0.47236111760139465" top="0.78722220659255981" bottom="0.59041666984558105" header="0.39347222447395325" footer="0.39347222447395325"/>
  <pageSetup paperSize="9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8">
    <tabColor theme="6"/>
    <pageSetUpPr fitToPage="1"/>
  </sheetPr>
  <dimension ref="A1:V51"/>
  <sheetViews>
    <sheetView view="pageBreakPreview" zoomScale="70" zoomScaleNormal="100" zoomScaleSheetLayoutView="70" workbookViewId="0">
      <pane xSplit="4" ySplit="3" topLeftCell="E4" activePane="bottomRight" state="frozen"/>
      <selection activeCell="A4" sqref="A4"/>
      <selection pane="topRight" activeCell="A4" sqref="A4"/>
      <selection pane="bottomLeft" activeCell="A4" sqref="A4"/>
      <selection pane="bottomRight" activeCell="A4" sqref="A4"/>
    </sheetView>
  </sheetViews>
  <sheetFormatPr defaultColWidth="8.77734375" defaultRowHeight="30" customHeight="1"/>
  <cols>
    <col min="1" max="1" width="55.44140625" style="36" bestFit="1" customWidth="1"/>
    <col min="2" max="2" width="14.21875" style="77" bestFit="1" customWidth="1"/>
    <col min="3" max="3" width="22.6640625" style="151" bestFit="1" customWidth="1"/>
    <col min="4" max="4" width="9.109375" style="125" customWidth="1"/>
    <col min="5" max="5" width="9.21875" style="125" bestFit="1" customWidth="1"/>
    <col min="6" max="10" width="6.77734375" style="125" customWidth="1"/>
    <col min="11" max="11" width="12.21875" style="125" customWidth="1"/>
    <col min="12" max="256" width="8.77734375" style="36"/>
    <col min="257" max="257" width="30.77734375" style="36" customWidth="1"/>
    <col min="258" max="258" width="9.77734375" style="36" customWidth="1"/>
    <col min="259" max="259" width="15.77734375" style="36" customWidth="1"/>
    <col min="260" max="265" width="13.77734375" style="36" customWidth="1"/>
    <col min="266" max="266" width="20.77734375" style="36" customWidth="1"/>
    <col min="267" max="267" width="5.77734375" style="36" customWidth="1"/>
    <col min="268" max="512" width="8.77734375" style="36"/>
    <col min="513" max="513" width="30.77734375" style="36" customWidth="1"/>
    <col min="514" max="514" width="9.77734375" style="36" customWidth="1"/>
    <col min="515" max="515" width="15.77734375" style="36" customWidth="1"/>
    <col min="516" max="521" width="13.77734375" style="36" customWidth="1"/>
    <col min="522" max="522" width="20.77734375" style="36" customWidth="1"/>
    <col min="523" max="523" width="5.77734375" style="36" customWidth="1"/>
    <col min="524" max="768" width="8.77734375" style="36"/>
    <col min="769" max="769" width="30.77734375" style="36" customWidth="1"/>
    <col min="770" max="770" width="9.77734375" style="36" customWidth="1"/>
    <col min="771" max="771" width="15.77734375" style="36" customWidth="1"/>
    <col min="772" max="777" width="13.77734375" style="36" customWidth="1"/>
    <col min="778" max="778" width="20.77734375" style="36" customWidth="1"/>
    <col min="779" max="779" width="5.77734375" style="36" customWidth="1"/>
    <col min="780" max="1024" width="8.77734375" style="36"/>
    <col min="1025" max="1025" width="30.77734375" style="36" customWidth="1"/>
    <col min="1026" max="1026" width="9.77734375" style="36" customWidth="1"/>
    <col min="1027" max="1027" width="15.77734375" style="36" customWidth="1"/>
    <col min="1028" max="1033" width="13.77734375" style="36" customWidth="1"/>
    <col min="1034" max="1034" width="20.77734375" style="36" customWidth="1"/>
    <col min="1035" max="1035" width="5.77734375" style="36" customWidth="1"/>
    <col min="1036" max="1280" width="8.77734375" style="36"/>
    <col min="1281" max="1281" width="30.77734375" style="36" customWidth="1"/>
    <col min="1282" max="1282" width="9.77734375" style="36" customWidth="1"/>
    <col min="1283" max="1283" width="15.77734375" style="36" customWidth="1"/>
    <col min="1284" max="1289" width="13.77734375" style="36" customWidth="1"/>
    <col min="1290" max="1290" width="20.77734375" style="36" customWidth="1"/>
    <col min="1291" max="1291" width="5.77734375" style="36" customWidth="1"/>
    <col min="1292" max="1536" width="8.77734375" style="36"/>
    <col min="1537" max="1537" width="30.77734375" style="36" customWidth="1"/>
    <col min="1538" max="1538" width="9.77734375" style="36" customWidth="1"/>
    <col min="1539" max="1539" width="15.77734375" style="36" customWidth="1"/>
    <col min="1540" max="1545" width="13.77734375" style="36" customWidth="1"/>
    <col min="1546" max="1546" width="20.77734375" style="36" customWidth="1"/>
    <col min="1547" max="1547" width="5.77734375" style="36" customWidth="1"/>
    <col min="1548" max="1792" width="8.77734375" style="36"/>
    <col min="1793" max="1793" width="30.77734375" style="36" customWidth="1"/>
    <col min="1794" max="1794" width="9.77734375" style="36" customWidth="1"/>
    <col min="1795" max="1795" width="15.77734375" style="36" customWidth="1"/>
    <col min="1796" max="1801" width="13.77734375" style="36" customWidth="1"/>
    <col min="1802" max="1802" width="20.77734375" style="36" customWidth="1"/>
    <col min="1803" max="1803" width="5.77734375" style="36" customWidth="1"/>
    <col min="1804" max="2048" width="8.77734375" style="36"/>
    <col min="2049" max="2049" width="30.77734375" style="36" customWidth="1"/>
    <col min="2050" max="2050" width="9.77734375" style="36" customWidth="1"/>
    <col min="2051" max="2051" width="15.77734375" style="36" customWidth="1"/>
    <col min="2052" max="2057" width="13.77734375" style="36" customWidth="1"/>
    <col min="2058" max="2058" width="20.77734375" style="36" customWidth="1"/>
    <col min="2059" max="2059" width="5.77734375" style="36" customWidth="1"/>
    <col min="2060" max="2304" width="8.77734375" style="36"/>
    <col min="2305" max="2305" width="30.77734375" style="36" customWidth="1"/>
    <col min="2306" max="2306" width="9.77734375" style="36" customWidth="1"/>
    <col min="2307" max="2307" width="15.77734375" style="36" customWidth="1"/>
    <col min="2308" max="2313" width="13.77734375" style="36" customWidth="1"/>
    <col min="2314" max="2314" width="20.77734375" style="36" customWidth="1"/>
    <col min="2315" max="2315" width="5.77734375" style="36" customWidth="1"/>
    <col min="2316" max="2560" width="8.77734375" style="36"/>
    <col min="2561" max="2561" width="30.77734375" style="36" customWidth="1"/>
    <col min="2562" max="2562" width="9.77734375" style="36" customWidth="1"/>
    <col min="2563" max="2563" width="15.77734375" style="36" customWidth="1"/>
    <col min="2564" max="2569" width="13.77734375" style="36" customWidth="1"/>
    <col min="2570" max="2570" width="20.77734375" style="36" customWidth="1"/>
    <col min="2571" max="2571" width="5.77734375" style="36" customWidth="1"/>
    <col min="2572" max="2816" width="8.77734375" style="36"/>
    <col min="2817" max="2817" width="30.77734375" style="36" customWidth="1"/>
    <col min="2818" max="2818" width="9.77734375" style="36" customWidth="1"/>
    <col min="2819" max="2819" width="15.77734375" style="36" customWidth="1"/>
    <col min="2820" max="2825" width="13.77734375" style="36" customWidth="1"/>
    <col min="2826" max="2826" width="20.77734375" style="36" customWidth="1"/>
    <col min="2827" max="2827" width="5.77734375" style="36" customWidth="1"/>
    <col min="2828" max="3072" width="8.77734375" style="36"/>
    <col min="3073" max="3073" width="30.77734375" style="36" customWidth="1"/>
    <col min="3074" max="3074" width="9.77734375" style="36" customWidth="1"/>
    <col min="3075" max="3075" width="15.77734375" style="36" customWidth="1"/>
    <col min="3076" max="3081" width="13.77734375" style="36" customWidth="1"/>
    <col min="3082" max="3082" width="20.77734375" style="36" customWidth="1"/>
    <col min="3083" max="3083" width="5.77734375" style="36" customWidth="1"/>
    <col min="3084" max="3328" width="8.77734375" style="36"/>
    <col min="3329" max="3329" width="30.77734375" style="36" customWidth="1"/>
    <col min="3330" max="3330" width="9.77734375" style="36" customWidth="1"/>
    <col min="3331" max="3331" width="15.77734375" style="36" customWidth="1"/>
    <col min="3332" max="3337" width="13.77734375" style="36" customWidth="1"/>
    <col min="3338" max="3338" width="20.77734375" style="36" customWidth="1"/>
    <col min="3339" max="3339" width="5.77734375" style="36" customWidth="1"/>
    <col min="3340" max="3584" width="8.77734375" style="36"/>
    <col min="3585" max="3585" width="30.77734375" style="36" customWidth="1"/>
    <col min="3586" max="3586" width="9.77734375" style="36" customWidth="1"/>
    <col min="3587" max="3587" width="15.77734375" style="36" customWidth="1"/>
    <col min="3588" max="3593" width="13.77734375" style="36" customWidth="1"/>
    <col min="3594" max="3594" width="20.77734375" style="36" customWidth="1"/>
    <col min="3595" max="3595" width="5.77734375" style="36" customWidth="1"/>
    <col min="3596" max="3840" width="8.77734375" style="36"/>
    <col min="3841" max="3841" width="30.77734375" style="36" customWidth="1"/>
    <col min="3842" max="3842" width="9.77734375" style="36" customWidth="1"/>
    <col min="3843" max="3843" width="15.77734375" style="36" customWidth="1"/>
    <col min="3844" max="3849" width="13.77734375" style="36" customWidth="1"/>
    <col min="3850" max="3850" width="20.77734375" style="36" customWidth="1"/>
    <col min="3851" max="3851" width="5.77734375" style="36" customWidth="1"/>
    <col min="3852" max="4096" width="8.77734375" style="36"/>
    <col min="4097" max="4097" width="30.77734375" style="36" customWidth="1"/>
    <col min="4098" max="4098" width="9.77734375" style="36" customWidth="1"/>
    <col min="4099" max="4099" width="15.77734375" style="36" customWidth="1"/>
    <col min="4100" max="4105" width="13.77734375" style="36" customWidth="1"/>
    <col min="4106" max="4106" width="20.77734375" style="36" customWidth="1"/>
    <col min="4107" max="4107" width="5.77734375" style="36" customWidth="1"/>
    <col min="4108" max="4352" width="8.77734375" style="36"/>
    <col min="4353" max="4353" width="30.77734375" style="36" customWidth="1"/>
    <col min="4354" max="4354" width="9.77734375" style="36" customWidth="1"/>
    <col min="4355" max="4355" width="15.77734375" style="36" customWidth="1"/>
    <col min="4356" max="4361" width="13.77734375" style="36" customWidth="1"/>
    <col min="4362" max="4362" width="20.77734375" style="36" customWidth="1"/>
    <col min="4363" max="4363" width="5.77734375" style="36" customWidth="1"/>
    <col min="4364" max="4608" width="8.77734375" style="36"/>
    <col min="4609" max="4609" width="30.77734375" style="36" customWidth="1"/>
    <col min="4610" max="4610" width="9.77734375" style="36" customWidth="1"/>
    <col min="4611" max="4611" width="15.77734375" style="36" customWidth="1"/>
    <col min="4612" max="4617" width="13.77734375" style="36" customWidth="1"/>
    <col min="4618" max="4618" width="20.77734375" style="36" customWidth="1"/>
    <col min="4619" max="4619" width="5.77734375" style="36" customWidth="1"/>
    <col min="4620" max="4864" width="8.77734375" style="36"/>
    <col min="4865" max="4865" width="30.77734375" style="36" customWidth="1"/>
    <col min="4866" max="4866" width="9.77734375" style="36" customWidth="1"/>
    <col min="4867" max="4867" width="15.77734375" style="36" customWidth="1"/>
    <col min="4868" max="4873" width="13.77734375" style="36" customWidth="1"/>
    <col min="4874" max="4874" width="20.77734375" style="36" customWidth="1"/>
    <col min="4875" max="4875" width="5.77734375" style="36" customWidth="1"/>
    <col min="4876" max="5120" width="8.77734375" style="36"/>
    <col min="5121" max="5121" width="30.77734375" style="36" customWidth="1"/>
    <col min="5122" max="5122" width="9.77734375" style="36" customWidth="1"/>
    <col min="5123" max="5123" width="15.77734375" style="36" customWidth="1"/>
    <col min="5124" max="5129" width="13.77734375" style="36" customWidth="1"/>
    <col min="5130" max="5130" width="20.77734375" style="36" customWidth="1"/>
    <col min="5131" max="5131" width="5.77734375" style="36" customWidth="1"/>
    <col min="5132" max="5376" width="8.77734375" style="36"/>
    <col min="5377" max="5377" width="30.77734375" style="36" customWidth="1"/>
    <col min="5378" max="5378" width="9.77734375" style="36" customWidth="1"/>
    <col min="5379" max="5379" width="15.77734375" style="36" customWidth="1"/>
    <col min="5380" max="5385" width="13.77734375" style="36" customWidth="1"/>
    <col min="5386" max="5386" width="20.77734375" style="36" customWidth="1"/>
    <col min="5387" max="5387" width="5.77734375" style="36" customWidth="1"/>
    <col min="5388" max="5632" width="8.77734375" style="36"/>
    <col min="5633" max="5633" width="30.77734375" style="36" customWidth="1"/>
    <col min="5634" max="5634" width="9.77734375" style="36" customWidth="1"/>
    <col min="5635" max="5635" width="15.77734375" style="36" customWidth="1"/>
    <col min="5636" max="5641" width="13.77734375" style="36" customWidth="1"/>
    <col min="5642" max="5642" width="20.77734375" style="36" customWidth="1"/>
    <col min="5643" max="5643" width="5.77734375" style="36" customWidth="1"/>
    <col min="5644" max="5888" width="8.77734375" style="36"/>
    <col min="5889" max="5889" width="30.77734375" style="36" customWidth="1"/>
    <col min="5890" max="5890" width="9.77734375" style="36" customWidth="1"/>
    <col min="5891" max="5891" width="15.77734375" style="36" customWidth="1"/>
    <col min="5892" max="5897" width="13.77734375" style="36" customWidth="1"/>
    <col min="5898" max="5898" width="20.77734375" style="36" customWidth="1"/>
    <col min="5899" max="5899" width="5.77734375" style="36" customWidth="1"/>
    <col min="5900" max="6144" width="8.77734375" style="36"/>
    <col min="6145" max="6145" width="30.77734375" style="36" customWidth="1"/>
    <col min="6146" max="6146" width="9.77734375" style="36" customWidth="1"/>
    <col min="6147" max="6147" width="15.77734375" style="36" customWidth="1"/>
    <col min="6148" max="6153" width="13.77734375" style="36" customWidth="1"/>
    <col min="6154" max="6154" width="20.77734375" style="36" customWidth="1"/>
    <col min="6155" max="6155" width="5.77734375" style="36" customWidth="1"/>
    <col min="6156" max="6400" width="8.77734375" style="36"/>
    <col min="6401" max="6401" width="30.77734375" style="36" customWidth="1"/>
    <col min="6402" max="6402" width="9.77734375" style="36" customWidth="1"/>
    <col min="6403" max="6403" width="15.77734375" style="36" customWidth="1"/>
    <col min="6404" max="6409" width="13.77734375" style="36" customWidth="1"/>
    <col min="6410" max="6410" width="20.77734375" style="36" customWidth="1"/>
    <col min="6411" max="6411" width="5.77734375" style="36" customWidth="1"/>
    <col min="6412" max="6656" width="8.77734375" style="36"/>
    <col min="6657" max="6657" width="30.77734375" style="36" customWidth="1"/>
    <col min="6658" max="6658" width="9.77734375" style="36" customWidth="1"/>
    <col min="6659" max="6659" width="15.77734375" style="36" customWidth="1"/>
    <col min="6660" max="6665" width="13.77734375" style="36" customWidth="1"/>
    <col min="6666" max="6666" width="20.77734375" style="36" customWidth="1"/>
    <col min="6667" max="6667" width="5.77734375" style="36" customWidth="1"/>
    <col min="6668" max="6912" width="8.77734375" style="36"/>
    <col min="6913" max="6913" width="30.77734375" style="36" customWidth="1"/>
    <col min="6914" max="6914" width="9.77734375" style="36" customWidth="1"/>
    <col min="6915" max="6915" width="15.77734375" style="36" customWidth="1"/>
    <col min="6916" max="6921" width="13.77734375" style="36" customWidth="1"/>
    <col min="6922" max="6922" width="20.77734375" style="36" customWidth="1"/>
    <col min="6923" max="6923" width="5.77734375" style="36" customWidth="1"/>
    <col min="6924" max="7168" width="8.77734375" style="36"/>
    <col min="7169" max="7169" width="30.77734375" style="36" customWidth="1"/>
    <col min="7170" max="7170" width="9.77734375" style="36" customWidth="1"/>
    <col min="7171" max="7171" width="15.77734375" style="36" customWidth="1"/>
    <col min="7172" max="7177" width="13.77734375" style="36" customWidth="1"/>
    <col min="7178" max="7178" width="20.77734375" style="36" customWidth="1"/>
    <col min="7179" max="7179" width="5.77734375" style="36" customWidth="1"/>
    <col min="7180" max="7424" width="8.77734375" style="36"/>
    <col min="7425" max="7425" width="30.77734375" style="36" customWidth="1"/>
    <col min="7426" max="7426" width="9.77734375" style="36" customWidth="1"/>
    <col min="7427" max="7427" width="15.77734375" style="36" customWidth="1"/>
    <col min="7428" max="7433" width="13.77734375" style="36" customWidth="1"/>
    <col min="7434" max="7434" width="20.77734375" style="36" customWidth="1"/>
    <col min="7435" max="7435" width="5.77734375" style="36" customWidth="1"/>
    <col min="7436" max="7680" width="8.77734375" style="36"/>
    <col min="7681" max="7681" width="30.77734375" style="36" customWidth="1"/>
    <col min="7682" max="7682" width="9.77734375" style="36" customWidth="1"/>
    <col min="7683" max="7683" width="15.77734375" style="36" customWidth="1"/>
    <col min="7684" max="7689" width="13.77734375" style="36" customWidth="1"/>
    <col min="7690" max="7690" width="20.77734375" style="36" customWidth="1"/>
    <col min="7691" max="7691" width="5.77734375" style="36" customWidth="1"/>
    <col min="7692" max="7936" width="8.77734375" style="36"/>
    <col min="7937" max="7937" width="30.77734375" style="36" customWidth="1"/>
    <col min="7938" max="7938" width="9.77734375" style="36" customWidth="1"/>
    <col min="7939" max="7939" width="15.77734375" style="36" customWidth="1"/>
    <col min="7940" max="7945" width="13.77734375" style="36" customWidth="1"/>
    <col min="7946" max="7946" width="20.77734375" style="36" customWidth="1"/>
    <col min="7947" max="7947" width="5.77734375" style="36" customWidth="1"/>
    <col min="7948" max="8192" width="8.77734375" style="36"/>
    <col min="8193" max="8193" width="30.77734375" style="36" customWidth="1"/>
    <col min="8194" max="8194" width="9.77734375" style="36" customWidth="1"/>
    <col min="8195" max="8195" width="15.77734375" style="36" customWidth="1"/>
    <col min="8196" max="8201" width="13.77734375" style="36" customWidth="1"/>
    <col min="8202" max="8202" width="20.77734375" style="36" customWidth="1"/>
    <col min="8203" max="8203" width="5.77734375" style="36" customWidth="1"/>
    <col min="8204" max="8448" width="8.77734375" style="36"/>
    <col min="8449" max="8449" width="30.77734375" style="36" customWidth="1"/>
    <col min="8450" max="8450" width="9.77734375" style="36" customWidth="1"/>
    <col min="8451" max="8451" width="15.77734375" style="36" customWidth="1"/>
    <col min="8452" max="8457" width="13.77734375" style="36" customWidth="1"/>
    <col min="8458" max="8458" width="20.77734375" style="36" customWidth="1"/>
    <col min="8459" max="8459" width="5.77734375" style="36" customWidth="1"/>
    <col min="8460" max="8704" width="8.77734375" style="36"/>
    <col min="8705" max="8705" width="30.77734375" style="36" customWidth="1"/>
    <col min="8706" max="8706" width="9.77734375" style="36" customWidth="1"/>
    <col min="8707" max="8707" width="15.77734375" style="36" customWidth="1"/>
    <col min="8708" max="8713" width="13.77734375" style="36" customWidth="1"/>
    <col min="8714" max="8714" width="20.77734375" style="36" customWidth="1"/>
    <col min="8715" max="8715" width="5.77734375" style="36" customWidth="1"/>
    <col min="8716" max="8960" width="8.77734375" style="36"/>
    <col min="8961" max="8961" width="30.77734375" style="36" customWidth="1"/>
    <col min="8962" max="8962" width="9.77734375" style="36" customWidth="1"/>
    <col min="8963" max="8963" width="15.77734375" style="36" customWidth="1"/>
    <col min="8964" max="8969" width="13.77734375" style="36" customWidth="1"/>
    <col min="8970" max="8970" width="20.77734375" style="36" customWidth="1"/>
    <col min="8971" max="8971" width="5.77734375" style="36" customWidth="1"/>
    <col min="8972" max="9216" width="8.77734375" style="36"/>
    <col min="9217" max="9217" width="30.77734375" style="36" customWidth="1"/>
    <col min="9218" max="9218" width="9.77734375" style="36" customWidth="1"/>
    <col min="9219" max="9219" width="15.77734375" style="36" customWidth="1"/>
    <col min="9220" max="9225" width="13.77734375" style="36" customWidth="1"/>
    <col min="9226" max="9226" width="20.77734375" style="36" customWidth="1"/>
    <col min="9227" max="9227" width="5.77734375" style="36" customWidth="1"/>
    <col min="9228" max="9472" width="8.77734375" style="36"/>
    <col min="9473" max="9473" width="30.77734375" style="36" customWidth="1"/>
    <col min="9474" max="9474" width="9.77734375" style="36" customWidth="1"/>
    <col min="9475" max="9475" width="15.77734375" style="36" customWidth="1"/>
    <col min="9476" max="9481" width="13.77734375" style="36" customWidth="1"/>
    <col min="9482" max="9482" width="20.77734375" style="36" customWidth="1"/>
    <col min="9483" max="9483" width="5.77734375" style="36" customWidth="1"/>
    <col min="9484" max="9728" width="8.77734375" style="36"/>
    <col min="9729" max="9729" width="30.77734375" style="36" customWidth="1"/>
    <col min="9730" max="9730" width="9.77734375" style="36" customWidth="1"/>
    <col min="9731" max="9731" width="15.77734375" style="36" customWidth="1"/>
    <col min="9732" max="9737" width="13.77734375" style="36" customWidth="1"/>
    <col min="9738" max="9738" width="20.77734375" style="36" customWidth="1"/>
    <col min="9739" max="9739" width="5.77734375" style="36" customWidth="1"/>
    <col min="9740" max="9984" width="8.77734375" style="36"/>
    <col min="9985" max="9985" width="30.77734375" style="36" customWidth="1"/>
    <col min="9986" max="9986" width="9.77734375" style="36" customWidth="1"/>
    <col min="9987" max="9987" width="15.77734375" style="36" customWidth="1"/>
    <col min="9988" max="9993" width="13.77734375" style="36" customWidth="1"/>
    <col min="9994" max="9994" width="20.77734375" style="36" customWidth="1"/>
    <col min="9995" max="9995" width="5.77734375" style="36" customWidth="1"/>
    <col min="9996" max="10240" width="8.77734375" style="36"/>
    <col min="10241" max="10241" width="30.77734375" style="36" customWidth="1"/>
    <col min="10242" max="10242" width="9.77734375" style="36" customWidth="1"/>
    <col min="10243" max="10243" width="15.77734375" style="36" customWidth="1"/>
    <col min="10244" max="10249" width="13.77734375" style="36" customWidth="1"/>
    <col min="10250" max="10250" width="20.77734375" style="36" customWidth="1"/>
    <col min="10251" max="10251" width="5.77734375" style="36" customWidth="1"/>
    <col min="10252" max="10496" width="8.77734375" style="36"/>
    <col min="10497" max="10497" width="30.77734375" style="36" customWidth="1"/>
    <col min="10498" max="10498" width="9.77734375" style="36" customWidth="1"/>
    <col min="10499" max="10499" width="15.77734375" style="36" customWidth="1"/>
    <col min="10500" max="10505" width="13.77734375" style="36" customWidth="1"/>
    <col min="10506" max="10506" width="20.77734375" style="36" customWidth="1"/>
    <col min="10507" max="10507" width="5.77734375" style="36" customWidth="1"/>
    <col min="10508" max="10752" width="8.77734375" style="36"/>
    <col min="10753" max="10753" width="30.77734375" style="36" customWidth="1"/>
    <col min="10754" max="10754" width="9.77734375" style="36" customWidth="1"/>
    <col min="10755" max="10755" width="15.77734375" style="36" customWidth="1"/>
    <col min="10756" max="10761" width="13.77734375" style="36" customWidth="1"/>
    <col min="10762" max="10762" width="20.77734375" style="36" customWidth="1"/>
    <col min="10763" max="10763" width="5.77734375" style="36" customWidth="1"/>
    <col min="10764" max="11008" width="8.77734375" style="36"/>
    <col min="11009" max="11009" width="30.77734375" style="36" customWidth="1"/>
    <col min="11010" max="11010" width="9.77734375" style="36" customWidth="1"/>
    <col min="11011" max="11011" width="15.77734375" style="36" customWidth="1"/>
    <col min="11012" max="11017" width="13.77734375" style="36" customWidth="1"/>
    <col min="11018" max="11018" width="20.77734375" style="36" customWidth="1"/>
    <col min="11019" max="11019" width="5.77734375" style="36" customWidth="1"/>
    <col min="11020" max="11264" width="8.77734375" style="36"/>
    <col min="11265" max="11265" width="30.77734375" style="36" customWidth="1"/>
    <col min="11266" max="11266" width="9.77734375" style="36" customWidth="1"/>
    <col min="11267" max="11267" width="15.77734375" style="36" customWidth="1"/>
    <col min="11268" max="11273" width="13.77734375" style="36" customWidth="1"/>
    <col min="11274" max="11274" width="20.77734375" style="36" customWidth="1"/>
    <col min="11275" max="11275" width="5.77734375" style="36" customWidth="1"/>
    <col min="11276" max="11520" width="8.77734375" style="36"/>
    <col min="11521" max="11521" width="30.77734375" style="36" customWidth="1"/>
    <col min="11522" max="11522" width="9.77734375" style="36" customWidth="1"/>
    <col min="11523" max="11523" width="15.77734375" style="36" customWidth="1"/>
    <col min="11524" max="11529" width="13.77734375" style="36" customWidth="1"/>
    <col min="11530" max="11530" width="20.77734375" style="36" customWidth="1"/>
    <col min="11531" max="11531" width="5.77734375" style="36" customWidth="1"/>
    <col min="11532" max="11776" width="8.77734375" style="36"/>
    <col min="11777" max="11777" width="30.77734375" style="36" customWidth="1"/>
    <col min="11778" max="11778" width="9.77734375" style="36" customWidth="1"/>
    <col min="11779" max="11779" width="15.77734375" style="36" customWidth="1"/>
    <col min="11780" max="11785" width="13.77734375" style="36" customWidth="1"/>
    <col min="11786" max="11786" width="20.77734375" style="36" customWidth="1"/>
    <col min="11787" max="11787" width="5.77734375" style="36" customWidth="1"/>
    <col min="11788" max="12032" width="8.77734375" style="36"/>
    <col min="12033" max="12033" width="30.77734375" style="36" customWidth="1"/>
    <col min="12034" max="12034" width="9.77734375" style="36" customWidth="1"/>
    <col min="12035" max="12035" width="15.77734375" style="36" customWidth="1"/>
    <col min="12036" max="12041" width="13.77734375" style="36" customWidth="1"/>
    <col min="12042" max="12042" width="20.77734375" style="36" customWidth="1"/>
    <col min="12043" max="12043" width="5.77734375" style="36" customWidth="1"/>
    <col min="12044" max="12288" width="8.77734375" style="36"/>
    <col min="12289" max="12289" width="30.77734375" style="36" customWidth="1"/>
    <col min="12290" max="12290" width="9.77734375" style="36" customWidth="1"/>
    <col min="12291" max="12291" width="15.77734375" style="36" customWidth="1"/>
    <col min="12292" max="12297" width="13.77734375" style="36" customWidth="1"/>
    <col min="12298" max="12298" width="20.77734375" style="36" customWidth="1"/>
    <col min="12299" max="12299" width="5.77734375" style="36" customWidth="1"/>
    <col min="12300" max="12544" width="8.77734375" style="36"/>
    <col min="12545" max="12545" width="30.77734375" style="36" customWidth="1"/>
    <col min="12546" max="12546" width="9.77734375" style="36" customWidth="1"/>
    <col min="12547" max="12547" width="15.77734375" style="36" customWidth="1"/>
    <col min="12548" max="12553" width="13.77734375" style="36" customWidth="1"/>
    <col min="12554" max="12554" width="20.77734375" style="36" customWidth="1"/>
    <col min="12555" max="12555" width="5.77734375" style="36" customWidth="1"/>
    <col min="12556" max="12800" width="8.77734375" style="36"/>
    <col min="12801" max="12801" width="30.77734375" style="36" customWidth="1"/>
    <col min="12802" max="12802" width="9.77734375" style="36" customWidth="1"/>
    <col min="12803" max="12803" width="15.77734375" style="36" customWidth="1"/>
    <col min="12804" max="12809" width="13.77734375" style="36" customWidth="1"/>
    <col min="12810" max="12810" width="20.77734375" style="36" customWidth="1"/>
    <col min="12811" max="12811" width="5.77734375" style="36" customWidth="1"/>
    <col min="12812" max="13056" width="8.77734375" style="36"/>
    <col min="13057" max="13057" width="30.77734375" style="36" customWidth="1"/>
    <col min="13058" max="13058" width="9.77734375" style="36" customWidth="1"/>
    <col min="13059" max="13059" width="15.77734375" style="36" customWidth="1"/>
    <col min="13060" max="13065" width="13.77734375" style="36" customWidth="1"/>
    <col min="13066" max="13066" width="20.77734375" style="36" customWidth="1"/>
    <col min="13067" max="13067" width="5.77734375" style="36" customWidth="1"/>
    <col min="13068" max="13312" width="8.77734375" style="36"/>
    <col min="13313" max="13313" width="30.77734375" style="36" customWidth="1"/>
    <col min="13314" max="13314" width="9.77734375" style="36" customWidth="1"/>
    <col min="13315" max="13315" width="15.77734375" style="36" customWidth="1"/>
    <col min="13316" max="13321" width="13.77734375" style="36" customWidth="1"/>
    <col min="13322" max="13322" width="20.77734375" style="36" customWidth="1"/>
    <col min="13323" max="13323" width="5.77734375" style="36" customWidth="1"/>
    <col min="13324" max="13568" width="8.77734375" style="36"/>
    <col min="13569" max="13569" width="30.77734375" style="36" customWidth="1"/>
    <col min="13570" max="13570" width="9.77734375" style="36" customWidth="1"/>
    <col min="13571" max="13571" width="15.77734375" style="36" customWidth="1"/>
    <col min="13572" max="13577" width="13.77734375" style="36" customWidth="1"/>
    <col min="13578" max="13578" width="20.77734375" style="36" customWidth="1"/>
    <col min="13579" max="13579" width="5.77734375" style="36" customWidth="1"/>
    <col min="13580" max="13824" width="8.77734375" style="36"/>
    <col min="13825" max="13825" width="30.77734375" style="36" customWidth="1"/>
    <col min="13826" max="13826" width="9.77734375" style="36" customWidth="1"/>
    <col min="13827" max="13827" width="15.77734375" style="36" customWidth="1"/>
    <col min="13828" max="13833" width="13.77734375" style="36" customWidth="1"/>
    <col min="13834" max="13834" width="20.77734375" style="36" customWidth="1"/>
    <col min="13835" max="13835" width="5.77734375" style="36" customWidth="1"/>
    <col min="13836" max="14080" width="8.77734375" style="36"/>
    <col min="14081" max="14081" width="30.77734375" style="36" customWidth="1"/>
    <col min="14082" max="14082" width="9.77734375" style="36" customWidth="1"/>
    <col min="14083" max="14083" width="15.77734375" style="36" customWidth="1"/>
    <col min="14084" max="14089" width="13.77734375" style="36" customWidth="1"/>
    <col min="14090" max="14090" width="20.77734375" style="36" customWidth="1"/>
    <col min="14091" max="14091" width="5.77734375" style="36" customWidth="1"/>
    <col min="14092" max="14336" width="8.77734375" style="36"/>
    <col min="14337" max="14337" width="30.77734375" style="36" customWidth="1"/>
    <col min="14338" max="14338" width="9.77734375" style="36" customWidth="1"/>
    <col min="14339" max="14339" width="15.77734375" style="36" customWidth="1"/>
    <col min="14340" max="14345" width="13.77734375" style="36" customWidth="1"/>
    <col min="14346" max="14346" width="20.77734375" style="36" customWidth="1"/>
    <col min="14347" max="14347" width="5.77734375" style="36" customWidth="1"/>
    <col min="14348" max="14592" width="8.77734375" style="36"/>
    <col min="14593" max="14593" width="30.77734375" style="36" customWidth="1"/>
    <col min="14594" max="14594" width="9.77734375" style="36" customWidth="1"/>
    <col min="14595" max="14595" width="15.77734375" style="36" customWidth="1"/>
    <col min="14596" max="14601" width="13.77734375" style="36" customWidth="1"/>
    <col min="14602" max="14602" width="20.77734375" style="36" customWidth="1"/>
    <col min="14603" max="14603" width="5.77734375" style="36" customWidth="1"/>
    <col min="14604" max="14848" width="8.77734375" style="36"/>
    <col min="14849" max="14849" width="30.77734375" style="36" customWidth="1"/>
    <col min="14850" max="14850" width="9.77734375" style="36" customWidth="1"/>
    <col min="14851" max="14851" width="15.77734375" style="36" customWidth="1"/>
    <col min="14852" max="14857" width="13.77734375" style="36" customWidth="1"/>
    <col min="14858" max="14858" width="20.77734375" style="36" customWidth="1"/>
    <col min="14859" max="14859" width="5.77734375" style="36" customWidth="1"/>
    <col min="14860" max="15104" width="8.77734375" style="36"/>
    <col min="15105" max="15105" width="30.77734375" style="36" customWidth="1"/>
    <col min="15106" max="15106" width="9.77734375" style="36" customWidth="1"/>
    <col min="15107" max="15107" width="15.77734375" style="36" customWidth="1"/>
    <col min="15108" max="15113" width="13.77734375" style="36" customWidth="1"/>
    <col min="15114" max="15114" width="20.77734375" style="36" customWidth="1"/>
    <col min="15115" max="15115" width="5.77734375" style="36" customWidth="1"/>
    <col min="15116" max="15360" width="8.77734375" style="36"/>
    <col min="15361" max="15361" width="30.77734375" style="36" customWidth="1"/>
    <col min="15362" max="15362" width="9.77734375" style="36" customWidth="1"/>
    <col min="15363" max="15363" width="15.77734375" style="36" customWidth="1"/>
    <col min="15364" max="15369" width="13.77734375" style="36" customWidth="1"/>
    <col min="15370" max="15370" width="20.77734375" style="36" customWidth="1"/>
    <col min="15371" max="15371" width="5.77734375" style="36" customWidth="1"/>
    <col min="15372" max="15616" width="8.77734375" style="36"/>
    <col min="15617" max="15617" width="30.77734375" style="36" customWidth="1"/>
    <col min="15618" max="15618" width="9.77734375" style="36" customWidth="1"/>
    <col min="15619" max="15619" width="15.77734375" style="36" customWidth="1"/>
    <col min="15620" max="15625" width="13.77734375" style="36" customWidth="1"/>
    <col min="15626" max="15626" width="20.77734375" style="36" customWidth="1"/>
    <col min="15627" max="15627" width="5.77734375" style="36" customWidth="1"/>
    <col min="15628" max="15872" width="8.77734375" style="36"/>
    <col min="15873" max="15873" width="30.77734375" style="36" customWidth="1"/>
    <col min="15874" max="15874" width="9.77734375" style="36" customWidth="1"/>
    <col min="15875" max="15875" width="15.77734375" style="36" customWidth="1"/>
    <col min="15876" max="15881" width="13.77734375" style="36" customWidth="1"/>
    <col min="15882" max="15882" width="20.77734375" style="36" customWidth="1"/>
    <col min="15883" max="15883" width="5.77734375" style="36" customWidth="1"/>
    <col min="15884" max="16128" width="8.77734375" style="36"/>
    <col min="16129" max="16129" width="30.77734375" style="36" customWidth="1"/>
    <col min="16130" max="16130" width="9.77734375" style="36" customWidth="1"/>
    <col min="16131" max="16131" width="15.77734375" style="36" customWidth="1"/>
    <col min="16132" max="16137" width="13.77734375" style="36" customWidth="1"/>
    <col min="16138" max="16138" width="20.77734375" style="36" customWidth="1"/>
    <col min="16139" max="16139" width="5.77734375" style="36" customWidth="1"/>
    <col min="16140" max="16362" width="8.77734375" style="36"/>
    <col min="16363" max="16384" width="8.88671875" style="36" customWidth="1"/>
  </cols>
  <sheetData>
    <row r="1" spans="1:22" ht="30" customHeight="1">
      <c r="A1" s="113" t="s">
        <v>1287</v>
      </c>
      <c r="B1" s="144"/>
      <c r="C1" s="115"/>
      <c r="D1" s="114"/>
      <c r="E1" s="114"/>
      <c r="F1" s="114"/>
      <c r="G1" s="114"/>
      <c r="H1" s="114"/>
      <c r="I1" s="114"/>
      <c r="J1" s="114"/>
      <c r="K1" s="114"/>
    </row>
    <row r="2" spans="1:22" s="116" customFormat="1" ht="30" customHeight="1">
      <c r="A2" s="1732" t="s">
        <v>93</v>
      </c>
      <c r="B2" s="1734" t="s">
        <v>184</v>
      </c>
      <c r="C2" s="1736" t="s">
        <v>172</v>
      </c>
      <c r="D2" s="1738" t="s">
        <v>181</v>
      </c>
      <c r="E2" s="1739" t="s">
        <v>181</v>
      </c>
      <c r="F2" s="1740"/>
      <c r="G2" s="1740"/>
      <c r="H2" s="1740"/>
      <c r="I2" s="1740"/>
      <c r="J2" s="1740"/>
      <c r="K2" s="153"/>
      <c r="M2" s="1716" t="s">
        <v>6</v>
      </c>
      <c r="N2" s="1716"/>
      <c r="O2" s="69">
        <v>100</v>
      </c>
      <c r="P2" s="70" t="s">
        <v>124</v>
      </c>
      <c r="Q2" s="71"/>
    </row>
    <row r="3" spans="1:22" s="116" customFormat="1" ht="30" customHeight="1">
      <c r="A3" s="1733"/>
      <c r="B3" s="1735"/>
      <c r="C3" s="1737"/>
      <c r="D3" s="1737"/>
      <c r="E3" s="180" t="str">
        <f>'보정계수 산출'!D73</f>
        <v>해당유무</v>
      </c>
      <c r="F3" s="181" t="str">
        <f>'보정계수 산출'!E73</f>
        <v>α1</v>
      </c>
      <c r="G3" s="181" t="str">
        <f>'보정계수 산출'!F73</f>
        <v>α2</v>
      </c>
      <c r="H3" s="181" t="str">
        <f>'보정계수 산출'!G73</f>
        <v>α3</v>
      </c>
      <c r="I3" s="181" t="str">
        <f>'보정계수 산출'!H73</f>
        <v>α4</v>
      </c>
      <c r="J3" s="181" t="str">
        <f>'보정계수 산출'!I73</f>
        <v>α5</v>
      </c>
      <c r="K3" s="182" t="s">
        <v>45</v>
      </c>
      <c r="M3" s="1716"/>
      <c r="N3" s="1716"/>
      <c r="O3" s="117">
        <f>O2/100</f>
        <v>1</v>
      </c>
      <c r="P3" s="77"/>
      <c r="Q3" s="77"/>
    </row>
    <row r="4" spans="1:22" s="116" customFormat="1" ht="30" customHeight="1">
      <c r="A4" s="1447" t="str">
        <f>'비상대처계획(기준소요인력)'!A4</f>
        <v>댐·저수지 비상대처계획 수립
직접인건비</v>
      </c>
      <c r="B4" s="175"/>
      <c r="C4" s="176"/>
      <c r="D4" s="177"/>
      <c r="E4" s="178"/>
      <c r="F4" s="178"/>
      <c r="G4" s="178"/>
      <c r="H4" s="178"/>
      <c r="I4" s="178"/>
      <c r="J4" s="178"/>
      <c r="K4" s="179"/>
      <c r="M4" s="36"/>
      <c r="N4" s="36"/>
      <c r="O4" s="36"/>
      <c r="P4" s="36"/>
      <c r="Q4" s="36"/>
    </row>
    <row r="5" spans="1:22" s="135" customFormat="1" ht="20.100000000000001" customHeight="1">
      <c r="A5" s="1447" t="str">
        <f>'비상대처계획(기준소요인력)'!A5</f>
        <v xml:space="preserve"> 가. 작업계획</v>
      </c>
      <c r="B5" s="175" t="str">
        <f>'비상대처계획(기준소요인력)'!B5</f>
        <v>10㎞</v>
      </c>
      <c r="C5" s="175" t="str">
        <f>'비상대처계획(기준소요인력)'!C5</f>
        <v>계획연장당</v>
      </c>
      <c r="D5" s="1448" t="s">
        <v>1367</v>
      </c>
      <c r="E5" s="173">
        <f>IF('비상대처계획(보정계수 산출)'!D25=0,"",'비상대처계획(보정계수 산출)'!D25)</f>
        <v>1</v>
      </c>
      <c r="F5" s="173" t="str">
        <f>IF('비상대처계획(보정계수 산출)'!E25=0,"",'비상대처계획(보정계수 산출)'!E25)</f>
        <v/>
      </c>
      <c r="G5" s="173" t="str">
        <f>IF('비상대처계획(보정계수 산출)'!F25=0,"",'비상대처계획(보정계수 산출)'!F25)</f>
        <v/>
      </c>
      <c r="H5" s="173">
        <f>IF('비상대처계획(보정계수 산출)'!G25=0,"",'비상대처계획(보정계수 산출)'!G25)</f>
        <v>0.32200000000000001</v>
      </c>
      <c r="I5" s="173" t="str">
        <f>IF('비상대처계획(보정계수 산출)'!H25=0,"",'비상대처계획(보정계수 산출)'!H25)</f>
        <v/>
      </c>
      <c r="J5" s="173" t="str">
        <f>IF('비상대처계획(보정계수 산출)'!I25=0,"",'비상대처계획(보정계수 산출)'!I25)</f>
        <v/>
      </c>
      <c r="K5" s="124">
        <f>IF(PRODUCT(E5:J5)=0,0, PRODUCT(E5:J5))</f>
        <v>0.32200000000000001</v>
      </c>
      <c r="M5" s="47"/>
      <c r="N5" s="47"/>
      <c r="O5" s="145"/>
      <c r="P5" s="47"/>
      <c r="Q5" s="47"/>
    </row>
    <row r="6" spans="1:22" s="116" customFormat="1" ht="20.100000000000001" customHeight="1">
      <c r="A6" s="1447" t="str">
        <f>'비상대처계획(기준소요인력)'!A6</f>
        <v xml:space="preserve"> 나. 사업개요</v>
      </c>
      <c r="B6" s="175"/>
      <c r="C6" s="175"/>
      <c r="D6" s="155"/>
      <c r="E6" s="173" t="str">
        <f>IF('비상대처계획(보정계수 산출)'!D26=0,"",'비상대처계획(보정계수 산출)'!D26)</f>
        <v/>
      </c>
      <c r="F6" s="173" t="str">
        <f>IF('비상대처계획(보정계수 산출)'!E26=0,"",'비상대처계획(보정계수 산출)'!E26)</f>
        <v/>
      </c>
      <c r="G6" s="173" t="str">
        <f>IF('비상대처계획(보정계수 산출)'!F26=0,"",'비상대처계획(보정계수 산출)'!F26)</f>
        <v/>
      </c>
      <c r="H6" s="173" t="str">
        <f>IF('비상대처계획(보정계수 산출)'!G26=0,"",'비상대처계획(보정계수 산출)'!G26)</f>
        <v/>
      </c>
      <c r="I6" s="173" t="str">
        <f>IF('비상대처계획(보정계수 산출)'!H26=0,"",'비상대처계획(보정계수 산출)'!H26)</f>
        <v/>
      </c>
      <c r="J6" s="173" t="str">
        <f>IF('비상대처계획(보정계수 산출)'!I26=0,"",'비상대처계획(보정계수 산출)'!I26)</f>
        <v/>
      </c>
      <c r="K6" s="124"/>
    </row>
    <row r="7" spans="1:22" s="135" customFormat="1" ht="20.100000000000001" customHeight="1">
      <c r="A7" s="1447" t="str">
        <f>'비상대처계획(기준소요인력)'!A7</f>
        <v xml:space="preserve">  1) EAP 기본정보 및 댐저수지 일반정보</v>
      </c>
      <c r="B7" s="175" t="str">
        <f>'비상대처계획(기준소요인력)'!B7</f>
        <v>1개소</v>
      </c>
      <c r="C7" s="175" t="str">
        <f>'비상대처계획(기준소요인력)'!C7</f>
        <v>지구개소당</v>
      </c>
      <c r="D7" s="119"/>
      <c r="E7" s="173">
        <f>IF('비상대처계획(보정계수 산출)'!D27=0,"",'비상대처계획(보정계수 산출)'!D27)</f>
        <v>1</v>
      </c>
      <c r="F7" s="173" t="str">
        <f>IF('비상대처계획(보정계수 산출)'!E27=0,"",'비상대처계획(보정계수 산출)'!E27)</f>
        <v/>
      </c>
      <c r="G7" s="173" t="str">
        <f>IF('비상대처계획(보정계수 산출)'!F27=0,"",'비상대처계획(보정계수 산출)'!F27)</f>
        <v/>
      </c>
      <c r="H7" s="173" t="str">
        <f>IF('비상대처계획(보정계수 산출)'!G27=0,"",'비상대처계획(보정계수 산출)'!G27)</f>
        <v/>
      </c>
      <c r="I7" s="173" t="str">
        <f>IF('비상대처계획(보정계수 산출)'!H27=0,"",'비상대처계획(보정계수 산출)'!H27)</f>
        <v/>
      </c>
      <c r="J7" s="173" t="str">
        <f>IF('비상대처계획(보정계수 산출)'!I27=0,"",'비상대처계획(보정계수 산출)'!I27)</f>
        <v/>
      </c>
      <c r="K7" s="124">
        <f>IF(PRODUCT(E7:J7)=0,0, PRODUCT(E7:J7))</f>
        <v>1</v>
      </c>
    </row>
    <row r="8" spans="1:22" s="116" customFormat="1" ht="20.100000000000001" customHeight="1">
      <c r="A8" s="1447" t="str">
        <f>'비상대처계획(기준소요인력)'!A8</f>
        <v xml:space="preserve">  2) EAP 배포기관</v>
      </c>
      <c r="B8" s="175" t="str">
        <f>'비상대처계획(기준소요인력)'!B8</f>
        <v>1개소</v>
      </c>
      <c r="C8" s="175" t="str">
        <f>'비상대처계획(기준소요인력)'!C8</f>
        <v>지구개소당</v>
      </c>
      <c r="D8" s="155"/>
      <c r="E8" s="173">
        <f>IF('비상대처계획(보정계수 산출)'!D28=0,"",'비상대처계획(보정계수 산출)'!D28)</f>
        <v>1</v>
      </c>
      <c r="F8" s="173" t="str">
        <f>IF('비상대처계획(보정계수 산출)'!E28=0,"",'비상대처계획(보정계수 산출)'!E28)</f>
        <v/>
      </c>
      <c r="G8" s="173" t="str">
        <f>IF('비상대처계획(보정계수 산출)'!F28=0,"",'비상대처계획(보정계수 산출)'!F28)</f>
        <v/>
      </c>
      <c r="H8" s="173" t="str">
        <f>IF('비상대처계획(보정계수 산출)'!G28=0,"",'비상대처계획(보정계수 산출)'!G28)</f>
        <v/>
      </c>
      <c r="I8" s="173" t="str">
        <f>IF('비상대처계획(보정계수 산출)'!H28=0,"",'비상대처계획(보정계수 산출)'!H28)</f>
        <v/>
      </c>
      <c r="J8" s="173" t="str">
        <f>IF('비상대처계획(보정계수 산출)'!I28=0,"",'비상대처계획(보정계수 산출)'!I28)</f>
        <v/>
      </c>
      <c r="K8" s="124">
        <f>IF(PRODUCT(E8:J8)=0,0, PRODUCT(E8:J8))</f>
        <v>1</v>
      </c>
      <c r="O8" s="122"/>
      <c r="P8" s="122"/>
      <c r="Q8" s="123"/>
      <c r="R8" s="123"/>
      <c r="S8" s="123"/>
      <c r="T8" s="123"/>
      <c r="U8" s="123"/>
      <c r="V8" s="123"/>
    </row>
    <row r="9" spans="1:22" s="135" customFormat="1" ht="20.100000000000001" customHeight="1">
      <c r="A9" s="1447" t="str">
        <f>'비상대처계획(기준소요인력)'!A9</f>
        <v xml:space="preserve">  3) EAP 작성, 보완 및 갱신</v>
      </c>
      <c r="B9" s="175" t="str">
        <f>'비상대처계획(기준소요인력)'!B9</f>
        <v>1개소</v>
      </c>
      <c r="C9" s="175" t="str">
        <f>'비상대처계획(기준소요인력)'!C9</f>
        <v>지구개소당</v>
      </c>
      <c r="D9" s="119"/>
      <c r="E9" s="173">
        <f>IF('비상대처계획(보정계수 산출)'!D29=0,"",'비상대처계획(보정계수 산출)'!D29)</f>
        <v>1</v>
      </c>
      <c r="F9" s="173" t="str">
        <f>IF('비상대처계획(보정계수 산출)'!E29=0,"",'비상대처계획(보정계수 산출)'!E29)</f>
        <v/>
      </c>
      <c r="G9" s="173" t="str">
        <f>IF('비상대처계획(보정계수 산출)'!F29=0,"",'비상대처계획(보정계수 산출)'!F29)</f>
        <v/>
      </c>
      <c r="H9" s="173" t="str">
        <f>IF('비상대처계획(보정계수 산출)'!G29=0,"",'비상대처계획(보정계수 산출)'!G29)</f>
        <v/>
      </c>
      <c r="I9" s="173" t="str">
        <f>IF('비상대처계획(보정계수 산출)'!H29=0,"",'비상대처계획(보정계수 산출)'!H29)</f>
        <v/>
      </c>
      <c r="J9" s="173" t="str">
        <f>IF('비상대처계획(보정계수 산출)'!I29=0,"",'비상대처계획(보정계수 산출)'!I29)</f>
        <v/>
      </c>
      <c r="K9" s="124">
        <f>IF(PRODUCT(E9:J9)=0,0, PRODUCT(E9:J9))</f>
        <v>1</v>
      </c>
    </row>
    <row r="10" spans="1:22" s="116" customFormat="1" ht="20.100000000000001" customHeight="1">
      <c r="A10" s="1447" t="str">
        <f>'비상대처계획(기준소요인력)'!A10</f>
        <v xml:space="preserve"> 다. 하류부 영향 평가</v>
      </c>
      <c r="B10" s="175"/>
      <c r="C10" s="175"/>
      <c r="D10" s="155"/>
      <c r="E10" s="173" t="str">
        <f>IF('비상대처계획(보정계수 산출)'!D30=0,"",'비상대처계획(보정계수 산출)'!D30)</f>
        <v/>
      </c>
      <c r="F10" s="173" t="str">
        <f>IF('비상대처계획(보정계수 산출)'!E30=0,"",'비상대처계획(보정계수 산출)'!E30)</f>
        <v/>
      </c>
      <c r="G10" s="173" t="str">
        <f>IF('비상대처계획(보정계수 산출)'!F30=0,"",'비상대처계획(보정계수 산출)'!F30)</f>
        <v/>
      </c>
      <c r="H10" s="173" t="str">
        <f>IF('비상대처계획(보정계수 산출)'!G30=0,"",'비상대처계획(보정계수 산출)'!G30)</f>
        <v/>
      </c>
      <c r="I10" s="173" t="str">
        <f>IF('비상대처계획(보정계수 산출)'!H30=0,"",'비상대처계획(보정계수 산출)'!H30)</f>
        <v/>
      </c>
      <c r="J10" s="173" t="str">
        <f>IF('비상대처계획(보정계수 산출)'!I30=0,"",'비상대처계획(보정계수 산출)'!I30)</f>
        <v/>
      </c>
      <c r="K10" s="124"/>
    </row>
    <row r="11" spans="1:22" s="116" customFormat="1" ht="20.100000000000001" customHeight="1">
      <c r="A11" s="1447" t="str">
        <f>'비상대처계획(기준소요인력)'!A11</f>
        <v xml:space="preserve">  1) 하류부 하천 및 유역개요</v>
      </c>
      <c r="B11" s="175" t="str">
        <f>'비상대처계획(기준소요인력)'!B11</f>
        <v>100km2</v>
      </c>
      <c r="C11" s="175" t="str">
        <f>'비상대처계획(기준소요인력)'!C11</f>
        <v>유역면적당</v>
      </c>
      <c r="D11" s="161" t="s">
        <v>252</v>
      </c>
      <c r="E11" s="173">
        <f>'비상대처계획(보정계수 산출)'!D31</f>
        <v>0</v>
      </c>
      <c r="F11" s="173" t="e">
        <f>IF('비상대처계획(보정계수 산출)'!E31=0,"",'비상대처계획(보정계수 산출)'!E31)</f>
        <v>#REF!</v>
      </c>
      <c r="G11" s="173" t="str">
        <f>IF('비상대처계획(보정계수 산출)'!F31=0,"",'비상대처계획(보정계수 산출)'!F31)</f>
        <v/>
      </c>
      <c r="H11" s="173" t="str">
        <f>IF('비상대처계획(보정계수 산출)'!G31=0,"",'비상대처계획(보정계수 산출)'!G31)</f>
        <v/>
      </c>
      <c r="I11" s="173" t="str">
        <f>IF('비상대처계획(보정계수 산출)'!H31=0,"",'비상대처계획(보정계수 산출)'!H31)</f>
        <v/>
      </c>
      <c r="J11" s="173" t="str">
        <f>IF('비상대처계획(보정계수 산출)'!I31=0,"",'비상대처계획(보정계수 산출)'!I31)</f>
        <v/>
      </c>
      <c r="K11" s="124" t="e">
        <f>IF(PRODUCT(E11:J11)=0,0, PRODUCT(E11:J11))</f>
        <v>#REF!</v>
      </c>
    </row>
    <row r="12" spans="1:22" s="135" customFormat="1" ht="20.100000000000001" customHeight="1">
      <c r="A12" s="1447" t="str">
        <f>'비상대처계획(기준소요인력)'!A12</f>
        <v xml:space="preserve">  2) 댐 붕괴 위험성의 평가</v>
      </c>
      <c r="B12" s="175"/>
      <c r="C12" s="175"/>
      <c r="D12" s="119"/>
      <c r="E12" s="173" t="str">
        <f>IF('비상대처계획(보정계수 산출)'!D32=0,"",'비상대처계획(보정계수 산출)'!D32)</f>
        <v/>
      </c>
      <c r="F12" s="173" t="str">
        <f>IF('비상대처계획(보정계수 산출)'!E32=0,"",'비상대처계획(보정계수 산출)'!E32)</f>
        <v/>
      </c>
      <c r="G12" s="173" t="str">
        <f>IF('비상대처계획(보정계수 산출)'!F32=0,"",'비상대처계획(보정계수 산출)'!F32)</f>
        <v/>
      </c>
      <c r="H12" s="173" t="str">
        <f>IF('비상대처계획(보정계수 산출)'!G32=0,"",'비상대처계획(보정계수 산출)'!G32)</f>
        <v/>
      </c>
      <c r="I12" s="173" t="str">
        <f>IF('비상대처계획(보정계수 산출)'!H32=0,"",'비상대처계획(보정계수 산출)'!H32)</f>
        <v/>
      </c>
      <c r="J12" s="173" t="str">
        <f>IF('비상대처계획(보정계수 산출)'!I32=0,"",'비상대처계획(보정계수 산출)'!I32)</f>
        <v/>
      </c>
      <c r="K12" s="120"/>
    </row>
    <row r="13" spans="1:22" s="116" customFormat="1" ht="20.100000000000001" customHeight="1">
      <c r="A13" s="1447" t="str">
        <f>'비상대처계획(기준소요인력)'!A13</f>
        <v xml:space="preserve">   ① 관련자료 조사검토</v>
      </c>
      <c r="B13" s="175" t="str">
        <f>'비상대처계획(기준소요인력)'!B13</f>
        <v>1개소</v>
      </c>
      <c r="C13" s="175" t="str">
        <f>'비상대처계획(기준소요인력)'!C13</f>
        <v>지구개소당</v>
      </c>
      <c r="D13" s="155"/>
      <c r="E13" s="173">
        <f>'비상대처계획(보정계수 산출)'!D33</f>
        <v>0</v>
      </c>
      <c r="F13" s="173" t="str">
        <f>IF('비상대처계획(보정계수 산출)'!E33=0,"",'비상대처계획(보정계수 산출)'!E33)</f>
        <v/>
      </c>
      <c r="G13" s="173" t="str">
        <f>IF('비상대처계획(보정계수 산출)'!F33=0,"",'비상대처계획(보정계수 산출)'!F33)</f>
        <v/>
      </c>
      <c r="H13" s="173" t="str">
        <f>IF('비상대처계획(보정계수 산출)'!G33=0,"",'비상대처계획(보정계수 산출)'!G33)</f>
        <v/>
      </c>
      <c r="I13" s="173" t="str">
        <f>IF('비상대처계획(보정계수 산출)'!H33=0,"",'비상대처계획(보정계수 산출)'!H33)</f>
        <v/>
      </c>
      <c r="J13" s="173" t="str">
        <f>IF('비상대처계획(보정계수 산출)'!I33=0,"",'비상대처계획(보정계수 산출)'!I33)</f>
        <v/>
      </c>
      <c r="K13" s="124">
        <f>IF(PRODUCT(E13:J13)=0,0, PRODUCT(E13:J13))</f>
        <v>0</v>
      </c>
    </row>
    <row r="14" spans="1:22" s="116" customFormat="1" ht="20.100000000000001" customHeight="1">
      <c r="A14" s="1447" t="str">
        <f>'비상대처계획(기준소요인력)'!A14</f>
        <v xml:space="preserve">   ② 수문학적 안전성 평가</v>
      </c>
      <c r="B14" s="175" t="str">
        <f>'비상대처계획(기준소요인력)'!B14</f>
        <v>1개소</v>
      </c>
      <c r="C14" s="175" t="str">
        <f>'비상대처계획(기준소요인력)'!C14</f>
        <v>지구개소당</v>
      </c>
      <c r="D14" s="121"/>
      <c r="E14" s="173">
        <f>'비상대처계획(보정계수 산출)'!D34</f>
        <v>0</v>
      </c>
      <c r="F14" s="173" t="str">
        <f>IF('비상대처계획(보정계수 산출)'!E34=0,"",'비상대처계획(보정계수 산출)'!E34)</f>
        <v/>
      </c>
      <c r="G14" s="173" t="str">
        <f>IF('비상대처계획(보정계수 산출)'!F34=0,"",'비상대처계획(보정계수 산출)'!F34)</f>
        <v/>
      </c>
      <c r="H14" s="173" t="str">
        <f>IF('비상대처계획(보정계수 산출)'!G34=0,"",'비상대처계획(보정계수 산출)'!G34)</f>
        <v/>
      </c>
      <c r="I14" s="173" t="str">
        <f>IF('비상대처계획(보정계수 산출)'!H34=0,"",'비상대처계획(보정계수 산출)'!H34)</f>
        <v/>
      </c>
      <c r="J14" s="173" t="str">
        <f>IF('비상대처계획(보정계수 산출)'!I34=0,"",'비상대처계획(보정계수 산출)'!I34)</f>
        <v/>
      </c>
      <c r="K14" s="124">
        <f>IF(PRODUCT(E14:J14)=0,0, PRODUCT(E14:J14))</f>
        <v>0</v>
      </c>
    </row>
    <row r="15" spans="1:22" s="116" customFormat="1" ht="20.100000000000001" customHeight="1">
      <c r="A15" s="1447" t="str">
        <f>'비상대처계획(기준소요인력)'!A15</f>
        <v xml:space="preserve">   ③ 내진 안전성 평가</v>
      </c>
      <c r="B15" s="175" t="str">
        <f>'비상대처계획(기준소요인력)'!B15</f>
        <v>1개소</v>
      </c>
      <c r="C15" s="175" t="str">
        <f>'비상대처계획(기준소요인력)'!C15</f>
        <v>지구개소당</v>
      </c>
      <c r="D15" s="237"/>
      <c r="E15" s="173">
        <f>'비상대처계획(보정계수 산출)'!D35</f>
        <v>0</v>
      </c>
      <c r="F15" s="173" t="str">
        <f>IF('비상대처계획(보정계수 산출)'!E35=0,"",'비상대처계획(보정계수 산출)'!E35)</f>
        <v/>
      </c>
      <c r="G15" s="173" t="str">
        <f>IF('비상대처계획(보정계수 산출)'!F35=0,"",'비상대처계획(보정계수 산출)'!F35)</f>
        <v/>
      </c>
      <c r="H15" s="173" t="str">
        <f>IF('비상대처계획(보정계수 산출)'!G35=0,"",'비상대처계획(보정계수 산출)'!G35)</f>
        <v/>
      </c>
      <c r="I15" s="173" t="str">
        <f>IF('비상대처계획(보정계수 산출)'!H35=0,"",'비상대처계획(보정계수 산출)'!H35)</f>
        <v/>
      </c>
      <c r="J15" s="173" t="str">
        <f>IF('비상대처계획(보정계수 산출)'!I35=0,"",'비상대처계획(보정계수 산출)'!I35)</f>
        <v/>
      </c>
      <c r="K15" s="124">
        <f t="shared" ref="K15:K22" si="0">IF(PRODUCT(E15:J15)=0,0, PRODUCT(E15:J15))</f>
        <v>0</v>
      </c>
    </row>
    <row r="16" spans="1:22" s="116" customFormat="1" ht="20.100000000000001" customHeight="1">
      <c r="A16" s="1447" t="str">
        <f>'비상대처계획(기준소요인력)'!A16</f>
        <v xml:space="preserve">  3) 댐 붕괴 홍수류 해석</v>
      </c>
      <c r="B16" s="175"/>
      <c r="C16" s="175"/>
      <c r="D16" s="161"/>
      <c r="E16" s="173" t="str">
        <f>IF('비상대처계획(보정계수 산출)'!D36=0,"",'비상대처계획(보정계수 산출)'!D36)</f>
        <v/>
      </c>
      <c r="F16" s="173" t="str">
        <f>IF('비상대처계획(보정계수 산출)'!E36=0,"",'비상대처계획(보정계수 산출)'!E36)</f>
        <v/>
      </c>
      <c r="G16" s="173" t="str">
        <f>IF('비상대처계획(보정계수 산출)'!F36=0,"",'비상대처계획(보정계수 산출)'!F36)</f>
        <v/>
      </c>
      <c r="H16" s="173" t="str">
        <f>IF('비상대처계획(보정계수 산출)'!G36=0,"",'비상대처계획(보정계수 산출)'!G36)</f>
        <v/>
      </c>
      <c r="I16" s="173" t="str">
        <f>IF('비상대처계획(보정계수 산출)'!H36=0,"",'비상대처계획(보정계수 산출)'!H36)</f>
        <v/>
      </c>
      <c r="J16" s="173" t="str">
        <f>IF('비상대처계획(보정계수 산출)'!I36=0,"",'비상대처계획(보정계수 산출)'!I36)</f>
        <v/>
      </c>
      <c r="K16" s="124"/>
      <c r="O16" s="122"/>
      <c r="P16" s="122"/>
      <c r="Q16" s="123"/>
      <c r="R16" s="123"/>
      <c r="S16" s="123"/>
      <c r="T16" s="123"/>
      <c r="U16" s="123"/>
      <c r="V16" s="123"/>
    </row>
    <row r="17" spans="1:11" s="116" customFormat="1" ht="20.100000000000001" customHeight="1">
      <c r="A17" s="1447" t="str">
        <f>'비상대처계획(기준소요인력)'!A17</f>
        <v xml:space="preserve">   ① 기초자료 조사</v>
      </c>
      <c r="B17" s="175" t="str">
        <f>'비상대처계획(기준소요인력)'!B17</f>
        <v>100km2</v>
      </c>
      <c r="C17" s="175" t="str">
        <f>'비상대처계획(기준소요인력)'!C17</f>
        <v>유역면적당</v>
      </c>
      <c r="D17" s="161" t="s">
        <v>252</v>
      </c>
      <c r="E17" s="173">
        <f>'비상대처계획(보정계수 산출)'!D37</f>
        <v>0</v>
      </c>
      <c r="F17" s="173" t="e">
        <f>IF('비상대처계획(보정계수 산출)'!E37=0,"",'비상대처계획(보정계수 산출)'!E37)</f>
        <v>#REF!</v>
      </c>
      <c r="G17" s="173" t="str">
        <f>IF('비상대처계획(보정계수 산출)'!F37=0,"",'비상대처계획(보정계수 산출)'!F37)</f>
        <v/>
      </c>
      <c r="H17" s="173" t="str">
        <f>IF('비상대처계획(보정계수 산출)'!G37=0,"",'비상대처계획(보정계수 산출)'!G37)</f>
        <v/>
      </c>
      <c r="I17" s="173" t="str">
        <f>IF('비상대처계획(보정계수 산출)'!H37=0,"",'비상대처계획(보정계수 산출)'!H37)</f>
        <v/>
      </c>
      <c r="J17" s="173" t="str">
        <f>IF('비상대처계획(보정계수 산출)'!I37=0,"",'비상대처계획(보정계수 산출)'!I37)</f>
        <v/>
      </c>
      <c r="K17" s="124" t="e">
        <f t="shared" si="0"/>
        <v>#REF!</v>
      </c>
    </row>
    <row r="18" spans="1:11" s="116" customFormat="1" ht="20.100000000000001" customHeight="1">
      <c r="A18" s="1447" t="str">
        <f>'비상대처계획(기준소요인력)'!A18</f>
        <v xml:space="preserve">   ② 최근의 국·내외 댐 붕괴 사례 조사</v>
      </c>
      <c r="B18" s="175" t="str">
        <f>'비상대처계획(기준소요인력)'!B18</f>
        <v>1식</v>
      </c>
      <c r="C18" s="175" t="str">
        <f>'비상대처계획(기준소요인력)'!C18</f>
        <v>비상대처계획당</v>
      </c>
      <c r="D18" s="161"/>
      <c r="E18" s="173">
        <f>'비상대처계획(보정계수 산출)'!D38</f>
        <v>0</v>
      </c>
      <c r="F18" s="173" t="str">
        <f>IF('비상대처계획(보정계수 산출)'!E38=0,"",'비상대처계획(보정계수 산출)'!E38)</f>
        <v/>
      </c>
      <c r="G18" s="173" t="str">
        <f>IF('비상대처계획(보정계수 산출)'!F38=0,"",'비상대처계획(보정계수 산출)'!F38)</f>
        <v/>
      </c>
      <c r="H18" s="173" t="str">
        <f>IF('비상대처계획(보정계수 산출)'!G38=0,"",'비상대처계획(보정계수 산출)'!G38)</f>
        <v/>
      </c>
      <c r="I18" s="173" t="str">
        <f>IF('비상대처계획(보정계수 산출)'!H38=0,"",'비상대처계획(보정계수 산출)'!H38)</f>
        <v/>
      </c>
      <c r="J18" s="173" t="str">
        <f>IF('비상대처계획(보정계수 산출)'!I38=0,"",'비상대처계획(보정계수 산출)'!I38)</f>
        <v/>
      </c>
      <c r="K18" s="124">
        <f t="shared" si="0"/>
        <v>0</v>
      </c>
    </row>
    <row r="19" spans="1:11" s="116" customFormat="1" ht="20.100000000000001" customHeight="1">
      <c r="A19" s="1447" t="str">
        <f>'비상대처계획(기준소요인력)'!A19</f>
        <v xml:space="preserve">   ③ 댐 및 저수지 붕괴 시나리오 구성</v>
      </c>
      <c r="B19" s="175" t="str">
        <f>'비상대처계획(기준소요인력)'!B19</f>
        <v>10㎞</v>
      </c>
      <c r="C19" s="175" t="str">
        <f>'비상대처계획(기준소요인력)'!C19</f>
        <v>계획연장당</v>
      </c>
      <c r="D19" s="1448" t="s">
        <v>1367</v>
      </c>
      <c r="E19" s="173">
        <f>'비상대처계획(보정계수 산출)'!D39</f>
        <v>0</v>
      </c>
      <c r="F19" s="173" t="str">
        <f>IF('비상대처계획(보정계수 산출)'!E39=0,"",'비상대처계획(보정계수 산출)'!E39)</f>
        <v/>
      </c>
      <c r="G19" s="173" t="str">
        <f>IF('비상대처계획(보정계수 산출)'!F39=0,"",'비상대처계획(보정계수 산출)'!F39)</f>
        <v/>
      </c>
      <c r="H19" s="173">
        <f>IF('비상대처계획(보정계수 산출)'!G39=0,"",'비상대처계획(보정계수 산출)'!G39)</f>
        <v>0.32200000000000001</v>
      </c>
      <c r="I19" s="173" t="str">
        <f>IF('비상대처계획(보정계수 산출)'!H39=0,"",'비상대처계획(보정계수 산출)'!H39)</f>
        <v/>
      </c>
      <c r="J19" s="173" t="str">
        <f>IF('비상대처계획(보정계수 산출)'!I39=0,"",'비상대처계획(보정계수 산출)'!I39)</f>
        <v/>
      </c>
      <c r="K19" s="124">
        <f t="shared" si="0"/>
        <v>0</v>
      </c>
    </row>
    <row r="20" spans="1:11" s="116" customFormat="1" ht="20.100000000000001" customHeight="1">
      <c r="A20" s="1447" t="str">
        <f>'비상대처계획(기준소요인력)'!A20</f>
        <v xml:space="preserve">   ④ 시나리오에 따른 홍수량 산정(댐 유역)</v>
      </c>
      <c r="B20" s="175" t="str">
        <f>'비상대처계획(기준소요인력)'!B20</f>
        <v>100km2</v>
      </c>
      <c r="C20" s="175" t="str">
        <f>'비상대처계획(기준소요인력)'!C20</f>
        <v>유역면적당</v>
      </c>
      <c r="D20" s="161" t="s">
        <v>252</v>
      </c>
      <c r="E20" s="173">
        <f>'비상대처계획(보정계수 산출)'!D40</f>
        <v>0</v>
      </c>
      <c r="F20" s="173" t="e">
        <f>IF('비상대처계획(보정계수 산출)'!E40=0,"",'비상대처계획(보정계수 산출)'!E40)</f>
        <v>#REF!</v>
      </c>
      <c r="G20" s="173" t="str">
        <f>IF('비상대처계획(보정계수 산출)'!F40=0,"",'비상대처계획(보정계수 산출)'!F40)</f>
        <v/>
      </c>
      <c r="H20" s="173" t="str">
        <f>IF('비상대처계획(보정계수 산출)'!G40=0,"",'비상대처계획(보정계수 산출)'!G40)</f>
        <v/>
      </c>
      <c r="I20" s="173" t="str">
        <f>IF('비상대처계획(보정계수 산출)'!H40=0,"",'비상대처계획(보정계수 산출)'!H40)</f>
        <v/>
      </c>
      <c r="J20" s="173" t="str">
        <f>IF('비상대처계획(보정계수 산출)'!I40=0,"",'비상대처계획(보정계수 산출)'!I40)</f>
        <v/>
      </c>
      <c r="K20" s="124" t="e">
        <f t="shared" si="0"/>
        <v>#REF!</v>
      </c>
    </row>
    <row r="21" spans="1:11" s="135" customFormat="1" ht="20.100000000000001" customHeight="1">
      <c r="A21" s="1447" t="str">
        <f>'비상대처계획(기준소요인력)'!A21</f>
        <v xml:space="preserve">   ⑤ 시나리오에 따른 홍수량 산정(댐 하류유역)</v>
      </c>
      <c r="B21" s="175" t="str">
        <f>'비상대처계획(기준소요인력)'!B21</f>
        <v>100km2</v>
      </c>
      <c r="C21" s="175" t="str">
        <f>'비상대처계획(기준소요인력)'!C21</f>
        <v>유역면적당</v>
      </c>
      <c r="D21" s="161" t="s">
        <v>252</v>
      </c>
      <c r="E21" s="173">
        <f>'비상대처계획(보정계수 산출)'!D41</f>
        <v>0</v>
      </c>
      <c r="F21" s="173" t="e">
        <f>IF('비상대처계획(보정계수 산출)'!E41=0,"",'비상대처계획(보정계수 산출)'!E41)</f>
        <v>#REF!</v>
      </c>
      <c r="G21" s="173" t="str">
        <f>IF('비상대처계획(보정계수 산출)'!F41=0,"",'비상대처계획(보정계수 산출)'!F41)</f>
        <v/>
      </c>
      <c r="H21" s="173" t="str">
        <f>IF('비상대처계획(보정계수 산출)'!G41=0,"",'비상대처계획(보정계수 산출)'!G41)</f>
        <v/>
      </c>
      <c r="I21" s="173" t="str">
        <f>IF('비상대처계획(보정계수 산출)'!H41=0,"",'비상대처계획(보정계수 산출)'!H41)</f>
        <v/>
      </c>
      <c r="J21" s="173" t="str">
        <f>IF('비상대처계획(보정계수 산출)'!I41=0,"",'비상대처계획(보정계수 산출)'!I41)</f>
        <v/>
      </c>
      <c r="K21" s="124" t="e">
        <f t="shared" si="0"/>
        <v>#REF!</v>
      </c>
    </row>
    <row r="22" spans="1:11" s="116" customFormat="1" ht="20.100000000000001" customHeight="1">
      <c r="A22" s="1447" t="str">
        <f>'비상대처계획(기준소요인력)'!A22</f>
        <v xml:space="preserve">   ⑥ 댐 하류부 지형분석</v>
      </c>
      <c r="B22" s="175" t="str">
        <f>'비상대처계획(기준소요인력)'!B22</f>
        <v>50km2</v>
      </c>
      <c r="C22" s="175" t="str">
        <f>'비상대처계획(기준소요인력)'!C22</f>
        <v>범람예상면적당</v>
      </c>
      <c r="D22" s="161" t="s">
        <v>251</v>
      </c>
      <c r="E22" s="173">
        <f>'비상대처계획(보정계수 산출)'!D42</f>
        <v>0</v>
      </c>
      <c r="F22" s="173" t="str">
        <f>IF('비상대처계획(보정계수 산출)'!E42=0,"",'비상대처계획(보정계수 산출)'!E42)</f>
        <v/>
      </c>
      <c r="G22" s="173">
        <f>IF('비상대처계획(보정계수 산출)'!F42=0,"",'비상대처계획(보정계수 산출)'!F42)</f>
        <v>0.32200000000000001</v>
      </c>
      <c r="H22" s="173" t="str">
        <f>IF('비상대처계획(보정계수 산출)'!G42=0,"",'비상대처계획(보정계수 산출)'!G42)</f>
        <v/>
      </c>
      <c r="I22" s="173" t="str">
        <f>IF('비상대처계획(보정계수 산출)'!H42=0,"",'비상대처계획(보정계수 산출)'!H42)</f>
        <v/>
      </c>
      <c r="J22" s="173" t="str">
        <f>IF('비상대처계획(보정계수 산출)'!I42=0,"",'비상대처계획(보정계수 산출)'!I42)</f>
        <v/>
      </c>
      <c r="K22" s="124">
        <f t="shared" si="0"/>
        <v>0</v>
      </c>
    </row>
    <row r="23" spans="1:11" s="116" customFormat="1" ht="20.100000000000001" customHeight="1">
      <c r="A23" s="1447" t="str">
        <f>'비상대처계획(기준소요인력)'!A23</f>
        <v xml:space="preserve">   ⑦ 댐 붕괴 모의 수행(1차원 해석)</v>
      </c>
      <c r="B23" s="175" t="str">
        <f>'비상대처계획(기준소요인력)'!B23</f>
        <v>10㎞</v>
      </c>
      <c r="C23" s="175" t="str">
        <f>'비상대처계획(기준소요인력)'!C23</f>
        <v>계획연장당</v>
      </c>
      <c r="D23" s="1448" t="s">
        <v>1367</v>
      </c>
      <c r="E23" s="173">
        <f>'비상대처계획(보정계수 산출)'!D43</f>
        <v>0</v>
      </c>
      <c r="F23" s="173" t="str">
        <f>IF('비상대처계획(보정계수 산출)'!E43=0,"",'비상대처계획(보정계수 산출)'!E43)</f>
        <v/>
      </c>
      <c r="G23" s="173" t="str">
        <f>IF('비상대처계획(보정계수 산출)'!F43=0,"",'비상대처계획(보정계수 산출)'!F43)</f>
        <v/>
      </c>
      <c r="H23" s="173">
        <f>IF('비상대처계획(보정계수 산출)'!G43=0,"",'비상대처계획(보정계수 산출)'!G43)</f>
        <v>0.32200000000000001</v>
      </c>
      <c r="I23" s="173" t="str">
        <f>IF('비상대처계획(보정계수 산출)'!H43=0,"",'비상대처계획(보정계수 산출)'!H43)</f>
        <v/>
      </c>
      <c r="J23" s="173" t="str">
        <f>IF('비상대처계획(보정계수 산출)'!I43=0,"",'비상대처계획(보정계수 산출)'!I43)</f>
        <v/>
      </c>
      <c r="K23" s="124">
        <f t="shared" ref="K23:K31" si="1">IF(PRODUCT(E23:J23)=0,0, PRODUCT(E23:J23))</f>
        <v>0</v>
      </c>
    </row>
    <row r="24" spans="1:11" s="116" customFormat="1" ht="20.100000000000001" customHeight="1">
      <c r="A24" s="1447" t="str">
        <f>'비상대처계획(기준소요인력)'!A24</f>
        <v xml:space="preserve">   ⑧ 댐 붕괴 모의 수행(2차원 해석)</v>
      </c>
      <c r="B24" s="175" t="str">
        <f>'비상대처계획(기준소요인력)'!B24</f>
        <v>10㎞</v>
      </c>
      <c r="C24" s="175" t="str">
        <f>'비상대처계획(기준소요인력)'!C24</f>
        <v>계획연장당</v>
      </c>
      <c r="D24" s="1448" t="s">
        <v>1367</v>
      </c>
      <c r="E24" s="173">
        <f>'비상대처계획(보정계수 산출)'!D44</f>
        <v>0</v>
      </c>
      <c r="F24" s="173" t="str">
        <f>IF('비상대처계획(보정계수 산출)'!E44=0,"",'비상대처계획(보정계수 산출)'!E44)</f>
        <v/>
      </c>
      <c r="G24" s="173" t="str">
        <f>IF('비상대처계획(보정계수 산출)'!F44=0,"",'비상대처계획(보정계수 산출)'!F44)</f>
        <v/>
      </c>
      <c r="H24" s="173">
        <f>IF('비상대처계획(보정계수 산출)'!G44=0,"",'비상대처계획(보정계수 산출)'!G44)</f>
        <v>0.32200000000000001</v>
      </c>
      <c r="I24" s="173" t="str">
        <f>IF('비상대처계획(보정계수 산출)'!H44=0,"",'비상대처계획(보정계수 산출)'!H44)</f>
        <v/>
      </c>
      <c r="J24" s="173" t="str">
        <f>IF('비상대처계획(보정계수 산출)'!I44=0,"",'비상대처계획(보정계수 산출)'!I44)</f>
        <v/>
      </c>
      <c r="K24" s="124">
        <f t="shared" si="1"/>
        <v>0</v>
      </c>
    </row>
    <row r="25" spans="1:11" s="116" customFormat="1" ht="20.100000000000001" customHeight="1">
      <c r="A25" s="1447" t="str">
        <f>'비상대처계획(기준소요인력)'!A25</f>
        <v xml:space="preserve">   ⑨ 홍수범람도 작성</v>
      </c>
      <c r="B25" s="175" t="str">
        <f>'비상대처계획(기준소요인력)'!B25</f>
        <v>50km2</v>
      </c>
      <c r="C25" s="175" t="str">
        <f>'비상대처계획(기준소요인력)'!C25</f>
        <v>범람예상면적당</v>
      </c>
      <c r="D25" s="161" t="s">
        <v>251</v>
      </c>
      <c r="E25" s="173">
        <f>'비상대처계획(보정계수 산출)'!D45</f>
        <v>0</v>
      </c>
      <c r="F25" s="173" t="str">
        <f>IF('비상대처계획(보정계수 산출)'!E45=0,"",'비상대처계획(보정계수 산출)'!E45)</f>
        <v/>
      </c>
      <c r="G25" s="173">
        <f>IF('비상대처계획(보정계수 산출)'!F45=0,"",'비상대처계획(보정계수 산출)'!F45)</f>
        <v>0.32200000000000001</v>
      </c>
      <c r="H25" s="173" t="str">
        <f>IF('비상대처계획(보정계수 산출)'!G45=0,"",'비상대처계획(보정계수 산출)'!G45)</f>
        <v/>
      </c>
      <c r="I25" s="173" t="str">
        <f>IF('비상대처계획(보정계수 산출)'!H45=0,"",'비상대처계획(보정계수 산출)'!H45)</f>
        <v/>
      </c>
      <c r="J25" s="173" t="str">
        <f>IF('비상대처계획(보정계수 산출)'!I45=0,"",'비상대처계획(보정계수 산출)'!I45)</f>
        <v/>
      </c>
      <c r="K25" s="124">
        <f t="shared" si="1"/>
        <v>0</v>
      </c>
    </row>
    <row r="26" spans="1:11" s="116" customFormat="1" ht="20.100000000000001" customHeight="1">
      <c r="A26" s="1447" t="str">
        <f>'비상대처계획(기준소요인력)'!A26</f>
        <v xml:space="preserve">   ⑩ 주요지점별 홍수해석 결과 분석</v>
      </c>
      <c r="B26" s="175" t="str">
        <f>'비상대처계획(기준소요인력)'!B26</f>
        <v>10㎞</v>
      </c>
      <c r="C26" s="175" t="str">
        <f>'비상대처계획(기준소요인력)'!C26</f>
        <v>계획연장당</v>
      </c>
      <c r="D26" s="1448" t="s">
        <v>1367</v>
      </c>
      <c r="E26" s="173">
        <f>'비상대처계획(보정계수 산출)'!D46</f>
        <v>0</v>
      </c>
      <c r="F26" s="173" t="str">
        <f>IF('비상대처계획(보정계수 산출)'!E46=0,"",'비상대처계획(보정계수 산출)'!E46)</f>
        <v/>
      </c>
      <c r="G26" s="173" t="str">
        <f>IF('비상대처계획(보정계수 산출)'!F46=0,"",'비상대처계획(보정계수 산출)'!F46)</f>
        <v/>
      </c>
      <c r="H26" s="173">
        <f>IF('비상대처계획(보정계수 산출)'!G46=0,"",'비상대처계획(보정계수 산출)'!G46)</f>
        <v>0.32200000000000001</v>
      </c>
      <c r="I26" s="173" t="str">
        <f>IF('비상대처계획(보정계수 산출)'!H46=0,"",'비상대처계획(보정계수 산출)'!H46)</f>
        <v/>
      </c>
      <c r="J26" s="173" t="str">
        <f>IF('비상대처계획(보정계수 산출)'!I46=0,"",'비상대처계획(보정계수 산출)'!I46)</f>
        <v/>
      </c>
      <c r="K26" s="124">
        <f t="shared" si="1"/>
        <v>0</v>
      </c>
    </row>
    <row r="27" spans="1:11" s="116" customFormat="1" ht="20.100000000000001" customHeight="1">
      <c r="A27" s="1447" t="str">
        <f>'비상대처계획(기준소요인력)'!A27</f>
        <v xml:space="preserve"> 라. 비상상황 관리</v>
      </c>
      <c r="B27" s="175"/>
      <c r="C27" s="175"/>
      <c r="D27" s="155"/>
      <c r="E27" s="173" t="str">
        <f>IF('비상대처계획(보정계수 산출)'!D47=0,"",'비상대처계획(보정계수 산출)'!D47)</f>
        <v/>
      </c>
      <c r="F27" s="173" t="str">
        <f>IF('비상대처계획(보정계수 산출)'!E47=0,"",'비상대처계획(보정계수 산출)'!E47)</f>
        <v/>
      </c>
      <c r="G27" s="173" t="str">
        <f>IF('비상대처계획(보정계수 산출)'!F47=0,"",'비상대처계획(보정계수 산출)'!F47)</f>
        <v/>
      </c>
      <c r="H27" s="173" t="str">
        <f>IF('비상대처계획(보정계수 산출)'!G47=0,"",'비상대처계획(보정계수 산출)'!G47)</f>
        <v/>
      </c>
      <c r="I27" s="173" t="str">
        <f>IF('비상대처계획(보정계수 산출)'!H47=0,"",'비상대처계획(보정계수 산출)'!H47)</f>
        <v/>
      </c>
      <c r="J27" s="173" t="str">
        <f>IF('비상대처계획(보정계수 산출)'!I47=0,"",'비상대처계획(보정계수 산출)'!I47)</f>
        <v/>
      </c>
      <c r="K27" s="124"/>
    </row>
    <row r="28" spans="1:11" s="116" customFormat="1" ht="20.100000000000001" customHeight="1">
      <c r="A28" s="1447" t="str">
        <f>'비상대처계획(기준소요인력)'!A28</f>
        <v xml:space="preserve">  1) 비상상황시 정보취득 및 보고방법</v>
      </c>
      <c r="B28" s="175" t="str">
        <f>'비상대처계획(기준소요인력)'!B28</f>
        <v>1개소</v>
      </c>
      <c r="C28" s="175" t="str">
        <f>'비상대처계획(기준소요인력)'!C28</f>
        <v>지구개소당</v>
      </c>
      <c r="D28" s="155" t="s">
        <v>1368</v>
      </c>
      <c r="E28" s="173">
        <f>IF('비상대처계획(보정계수 산출)'!D48=0,"",'비상대처계획(보정계수 산출)'!D48)</f>
        <v>1</v>
      </c>
      <c r="F28" s="173" t="str">
        <f>IF('비상대처계획(보정계수 산출)'!E48=0,"",'비상대처계획(보정계수 산출)'!E48)</f>
        <v/>
      </c>
      <c r="G28" s="173" t="str">
        <f>IF('비상대처계획(보정계수 산출)'!F48=0,"",'비상대처계획(보정계수 산출)'!F48)</f>
        <v/>
      </c>
      <c r="H28" s="173" t="str">
        <f>IF('비상대처계획(보정계수 산출)'!G48=0,"",'비상대처계획(보정계수 산출)'!G48)</f>
        <v/>
      </c>
      <c r="I28" s="173">
        <f>IF('비상대처계획(보정계수 산출)'!H48=0,"",'비상대처계획(보정계수 산출)'!H48)</f>
        <v>0.9</v>
      </c>
      <c r="J28" s="173">
        <f>IF('비상대처계획(보정계수 산출)'!I48=0,"",'비상대처계획(보정계수 산출)'!I48)</f>
        <v>1</v>
      </c>
      <c r="K28" s="124">
        <f t="shared" si="1"/>
        <v>0.9</v>
      </c>
    </row>
    <row r="29" spans="1:11" s="116" customFormat="1" ht="20.100000000000001" customHeight="1">
      <c r="A29" s="1447" t="str">
        <f>'비상대처계획(기준소요인력)'!A29</f>
        <v xml:space="preserve">  2) 비상대응기관의 책임과 의무</v>
      </c>
      <c r="B29" s="175" t="str">
        <f>'비상대처계획(기준소요인력)'!B29</f>
        <v>1개소</v>
      </c>
      <c r="C29" s="175" t="str">
        <f>'비상대처계획(기준소요인력)'!C29</f>
        <v>지구개소당</v>
      </c>
      <c r="D29" s="155" t="s">
        <v>1368</v>
      </c>
      <c r="E29" s="173">
        <f>IF('비상대처계획(보정계수 산출)'!D49=0,"",'비상대처계획(보정계수 산출)'!D49)</f>
        <v>1</v>
      </c>
      <c r="F29" s="173" t="str">
        <f>IF('비상대처계획(보정계수 산출)'!E49=0,"",'비상대처계획(보정계수 산출)'!E49)</f>
        <v/>
      </c>
      <c r="G29" s="173" t="str">
        <f>IF('비상대처계획(보정계수 산출)'!F49=0,"",'비상대처계획(보정계수 산출)'!F49)</f>
        <v/>
      </c>
      <c r="H29" s="173" t="str">
        <f>IF('비상대처계획(보정계수 산출)'!G49=0,"",'비상대처계획(보정계수 산출)'!G49)</f>
        <v/>
      </c>
      <c r="I29" s="173">
        <f>IF('비상대처계획(보정계수 산출)'!H49=0,"",'비상대처계획(보정계수 산출)'!H49)</f>
        <v>0.9</v>
      </c>
      <c r="J29" s="173">
        <f>IF('비상대처계획(보정계수 산출)'!I49=0,"",'비상대처계획(보정계수 산출)'!I49)</f>
        <v>1</v>
      </c>
      <c r="K29" s="124">
        <f t="shared" si="1"/>
        <v>0.9</v>
      </c>
    </row>
    <row r="30" spans="1:11" s="116" customFormat="1" ht="20.100000000000001" customHeight="1">
      <c r="A30" s="1447" t="str">
        <f>'비상대처계획(기준소요인력)'!A30</f>
        <v xml:space="preserve">  3) 비상발령절차 및 상황관리체계 </v>
      </c>
      <c r="B30" s="175" t="str">
        <f>'비상대처계획(기준소요인력)'!B30</f>
        <v>1개소</v>
      </c>
      <c r="C30" s="175" t="str">
        <f>'비상대처계획(기준소요인력)'!C30</f>
        <v>지구개소당</v>
      </c>
      <c r="D30" s="155" t="s">
        <v>1368</v>
      </c>
      <c r="E30" s="173">
        <f>IF('비상대처계획(보정계수 산출)'!D50=0,"",'비상대처계획(보정계수 산출)'!D50)</f>
        <v>1</v>
      </c>
      <c r="F30" s="173" t="str">
        <f>IF('비상대처계획(보정계수 산출)'!E50=0,"",'비상대처계획(보정계수 산출)'!E50)</f>
        <v/>
      </c>
      <c r="G30" s="173" t="str">
        <f>IF('비상대처계획(보정계수 산출)'!F50=0,"",'비상대처계획(보정계수 산출)'!F50)</f>
        <v/>
      </c>
      <c r="H30" s="173" t="str">
        <f>IF('비상대처계획(보정계수 산출)'!G50=0,"",'비상대처계획(보정계수 산출)'!G50)</f>
        <v/>
      </c>
      <c r="I30" s="173">
        <f>IF('비상대처계획(보정계수 산출)'!H50=0,"",'비상대처계획(보정계수 산출)'!H50)</f>
        <v>0.9</v>
      </c>
      <c r="J30" s="173">
        <f>IF('비상대처계획(보정계수 산출)'!I50=0,"",'비상대처계획(보정계수 산출)'!I50)</f>
        <v>1</v>
      </c>
      <c r="K30" s="124">
        <f t="shared" si="1"/>
        <v>0.9</v>
      </c>
    </row>
    <row r="31" spans="1:11" s="116" customFormat="1" ht="20.100000000000001" customHeight="1">
      <c r="A31" s="1447" t="str">
        <f>'비상대처계획(기준소요인력)'!A31</f>
        <v xml:space="preserve">  4) 유관기관 협조체계</v>
      </c>
      <c r="B31" s="175" t="str">
        <f>'비상대처계획(기준소요인력)'!B31</f>
        <v>1개소</v>
      </c>
      <c r="C31" s="175" t="str">
        <f>'비상대처계획(기준소요인력)'!C31</f>
        <v>지구개소당</v>
      </c>
      <c r="D31" s="155" t="s">
        <v>1368</v>
      </c>
      <c r="E31" s="173" t="e">
        <f>IF('비상대처계획(보정계수 산출)'!D51=0,"",'비상대처계획(보정계수 산출)'!D51)</f>
        <v>#REF!</v>
      </c>
      <c r="F31" s="173" t="str">
        <f>IF('비상대처계획(보정계수 산출)'!E51=0,"",'비상대처계획(보정계수 산출)'!E51)</f>
        <v/>
      </c>
      <c r="G31" s="173" t="str">
        <f>IF('비상대처계획(보정계수 산출)'!F51=0,"",'비상대처계획(보정계수 산출)'!F51)</f>
        <v/>
      </c>
      <c r="H31" s="173" t="str">
        <f>IF('비상대처계획(보정계수 산출)'!G51=0,"",'비상대처계획(보정계수 산출)'!G51)</f>
        <v/>
      </c>
      <c r="I31" s="173">
        <f>IF('비상대처계획(보정계수 산출)'!H51=0,"",'비상대처계획(보정계수 산출)'!H51)</f>
        <v>0.9</v>
      </c>
      <c r="J31" s="173">
        <f>IF('비상대처계획(보정계수 산출)'!I51=0,"",'비상대처계획(보정계수 산출)'!I51)</f>
        <v>1</v>
      </c>
      <c r="K31" s="124" t="e">
        <f t="shared" si="1"/>
        <v>#REF!</v>
      </c>
    </row>
    <row r="32" spans="1:11" ht="20.100000000000001" customHeight="1">
      <c r="A32" s="1447" t="str">
        <f>'비상대처계획(기준소요인력)'!A32</f>
        <v xml:space="preserve"> 마. 응급조치 계획</v>
      </c>
      <c r="B32" s="175"/>
      <c r="C32" s="175"/>
      <c r="D32" s="142"/>
      <c r="E32" s="173" t="str">
        <f>IF('비상대처계획(보정계수 산출)'!D52=0,"",'비상대처계획(보정계수 산출)'!D52)</f>
        <v/>
      </c>
      <c r="F32" s="173" t="str">
        <f>IF('비상대처계획(보정계수 산출)'!E52=0,"",'비상대처계획(보정계수 산출)'!E52)</f>
        <v/>
      </c>
      <c r="G32" s="173" t="str">
        <f>IF('비상대처계획(보정계수 산출)'!F52=0,"",'비상대처계획(보정계수 산출)'!F52)</f>
        <v/>
      </c>
      <c r="H32" s="173" t="str">
        <f>IF('비상대처계획(보정계수 산출)'!G52=0,"",'비상대처계획(보정계수 산출)'!G52)</f>
        <v/>
      </c>
      <c r="I32" s="173" t="str">
        <f>IF('비상대처계획(보정계수 산출)'!H52=0,"",'비상대처계획(보정계수 산출)'!H52)</f>
        <v/>
      </c>
      <c r="J32" s="173" t="str">
        <f>IF('비상대처계획(보정계수 산출)'!I52=0,"",'비상대처계획(보정계수 산출)'!I52)</f>
        <v/>
      </c>
      <c r="K32" s="124"/>
    </row>
    <row r="33" spans="1:11" ht="20.100000000000001" customHeight="1">
      <c r="A33" s="1447" t="str">
        <f>'비상대처계획(기준소요인력)'!A33</f>
        <v xml:space="preserve">  1) 현장조사(대피장소, 대피경로 등)</v>
      </c>
      <c r="B33" s="175" t="str">
        <f>'비상대처계획(기준소요인력)'!B33</f>
        <v>100km2</v>
      </c>
      <c r="C33" s="175" t="str">
        <f>'비상대처계획(기준소요인력)'!C33</f>
        <v>유역면적당</v>
      </c>
      <c r="D33" s="155" t="s">
        <v>1368</v>
      </c>
      <c r="E33" s="173">
        <f>IF('비상대처계획(보정계수 산출)'!D53=0,"",'비상대처계획(보정계수 산출)'!D53)</f>
        <v>1</v>
      </c>
      <c r="F33" s="173" t="str">
        <f>IF('비상대처계획(보정계수 산출)'!E53=0,"",'비상대처계획(보정계수 산출)'!E53)</f>
        <v/>
      </c>
      <c r="G33" s="173" t="str">
        <f>IF('비상대처계획(보정계수 산출)'!F53=0,"",'비상대처계획(보정계수 산출)'!F53)</f>
        <v/>
      </c>
      <c r="H33" s="173" t="str">
        <f>IF('비상대처계획(보정계수 산출)'!G53=0,"",'비상대처계획(보정계수 산출)'!G53)</f>
        <v/>
      </c>
      <c r="I33" s="173">
        <f>IF('비상대처계획(보정계수 산출)'!H53=0,"",'비상대처계획(보정계수 산출)'!H53)</f>
        <v>0.9</v>
      </c>
      <c r="J33" s="173">
        <f>IF('비상대처계획(보정계수 산출)'!I53=0,"",'비상대처계획(보정계수 산출)'!I53)</f>
        <v>1</v>
      </c>
      <c r="K33" s="124">
        <f t="shared" ref="K33:K44" si="2">IF(PRODUCT(E33:J33)=0,0, PRODUCT(E33:J33))</f>
        <v>0.9</v>
      </c>
    </row>
    <row r="34" spans="1:11" ht="20.100000000000001" customHeight="1">
      <c r="A34" s="1447" t="str">
        <f>'비상대처계획(기준소요인력)'!A34</f>
        <v xml:space="preserve">  2) 주민대피</v>
      </c>
      <c r="B34" s="175" t="str">
        <f>'비상대처계획(기준소요인력)'!B34</f>
        <v>1개소</v>
      </c>
      <c r="C34" s="175" t="str">
        <f>'비상대처계획(기준소요인력)'!C34</f>
        <v>지구개소당</v>
      </c>
      <c r="D34" s="155" t="s">
        <v>1368</v>
      </c>
      <c r="E34" s="173">
        <f>IF('비상대처계획(보정계수 산출)'!D54=0,"",'비상대처계획(보정계수 산출)'!D54)</f>
        <v>1</v>
      </c>
      <c r="F34" s="173" t="str">
        <f>IF('비상대처계획(보정계수 산출)'!E54=0,"",'비상대처계획(보정계수 산출)'!E54)</f>
        <v/>
      </c>
      <c r="G34" s="173" t="str">
        <f>IF('비상대처계획(보정계수 산출)'!F54=0,"",'비상대처계획(보정계수 산출)'!F54)</f>
        <v/>
      </c>
      <c r="H34" s="173" t="str">
        <f>IF('비상대처계획(보정계수 산출)'!G54=0,"",'비상대처계획(보정계수 산출)'!G54)</f>
        <v/>
      </c>
      <c r="I34" s="173">
        <f>IF('비상대처계획(보정계수 산출)'!H54=0,"",'비상대처계획(보정계수 산출)'!H54)</f>
        <v>0.9</v>
      </c>
      <c r="J34" s="173">
        <f>IF('비상대처계획(보정계수 산출)'!I54=0,"",'비상대처계획(보정계수 산출)'!I54)</f>
        <v>1</v>
      </c>
      <c r="K34" s="124">
        <f t="shared" si="2"/>
        <v>0.9</v>
      </c>
    </row>
    <row r="35" spans="1:11" ht="20.100000000000001" customHeight="1">
      <c r="A35" s="1447" t="str">
        <f>'비상대처계획(기준소요인력)'!A35</f>
        <v xml:space="preserve">  3) 대체도로, 긴급통신, 비상급수</v>
      </c>
      <c r="B35" s="175" t="str">
        <f>'비상대처계획(기준소요인력)'!B35</f>
        <v>1개소</v>
      </c>
      <c r="C35" s="175" t="str">
        <f>'비상대처계획(기준소요인력)'!C35</f>
        <v>지구개소당</v>
      </c>
      <c r="D35" s="155" t="s">
        <v>1368</v>
      </c>
      <c r="E35" s="173">
        <f>IF('비상대처계획(보정계수 산출)'!D55=0,"",'비상대처계획(보정계수 산출)'!D55)</f>
        <v>1</v>
      </c>
      <c r="F35" s="173" t="str">
        <f>IF('비상대처계획(보정계수 산출)'!E55=0,"",'비상대처계획(보정계수 산출)'!E55)</f>
        <v/>
      </c>
      <c r="G35" s="173" t="str">
        <f>IF('비상대처계획(보정계수 산출)'!F55=0,"",'비상대처계획(보정계수 산출)'!F55)</f>
        <v/>
      </c>
      <c r="H35" s="173" t="str">
        <f>IF('비상대처계획(보정계수 산출)'!G55=0,"",'비상대처계획(보정계수 산출)'!G55)</f>
        <v/>
      </c>
      <c r="I35" s="173">
        <f>IF('비상대처계획(보정계수 산출)'!H55=0,"",'비상대처계획(보정계수 산출)'!H55)</f>
        <v>0.9</v>
      </c>
      <c r="J35" s="173">
        <f>IF('비상대처계획(보정계수 산출)'!I55=0,"",'비상대처계획(보정계수 산출)'!I55)</f>
        <v>1</v>
      </c>
      <c r="K35" s="124">
        <f t="shared" si="2"/>
        <v>0.9</v>
      </c>
    </row>
    <row r="36" spans="1:11" ht="20.100000000000001" customHeight="1">
      <c r="A36" s="1447" t="str">
        <f>'비상대처계획(기준소요인력)'!A36</f>
        <v xml:space="preserve">  4) 긴급 구조·구급</v>
      </c>
      <c r="B36" s="175" t="str">
        <f>'비상대처계획(기준소요인력)'!B36</f>
        <v>1개소</v>
      </c>
      <c r="C36" s="175" t="str">
        <f>'비상대처계획(기준소요인력)'!C36</f>
        <v>지구개소당</v>
      </c>
      <c r="D36" s="155" t="s">
        <v>1368</v>
      </c>
      <c r="E36" s="173">
        <f>IF('비상대처계획(보정계수 산출)'!D56=0,"",'비상대처계획(보정계수 산출)'!D56)</f>
        <v>1</v>
      </c>
      <c r="F36" s="173" t="str">
        <f>IF('비상대처계획(보정계수 산출)'!E56=0,"",'비상대처계획(보정계수 산출)'!E56)</f>
        <v/>
      </c>
      <c r="G36" s="173" t="str">
        <f>IF('비상대처계획(보정계수 산출)'!F56=0,"",'비상대처계획(보정계수 산출)'!F56)</f>
        <v/>
      </c>
      <c r="H36" s="173" t="str">
        <f>IF('비상대처계획(보정계수 산출)'!G56=0,"",'비상대처계획(보정계수 산출)'!G56)</f>
        <v/>
      </c>
      <c r="I36" s="173">
        <f>IF('비상대처계획(보정계수 산출)'!H56=0,"",'비상대처계획(보정계수 산출)'!H56)</f>
        <v>0.9</v>
      </c>
      <c r="J36" s="173">
        <f>IF('비상대처계획(보정계수 산출)'!I56=0,"",'비상대처계획(보정계수 산출)'!I56)</f>
        <v>1</v>
      </c>
      <c r="K36" s="124">
        <f t="shared" si="2"/>
        <v>0.9</v>
      </c>
    </row>
    <row r="37" spans="1:11" ht="20.100000000000001" customHeight="1">
      <c r="A37" s="1447" t="str">
        <f>'비상대처계획(기준소요인력)'!A37</f>
        <v xml:space="preserve">  5) 유발재난 및 2차피해 방지</v>
      </c>
      <c r="B37" s="175" t="str">
        <f>'비상대처계획(기준소요인력)'!B37</f>
        <v>1개소</v>
      </c>
      <c r="C37" s="175" t="str">
        <f>'비상대처계획(기준소요인력)'!C37</f>
        <v>지구개소당</v>
      </c>
      <c r="D37" s="155" t="s">
        <v>1368</v>
      </c>
      <c r="E37" s="173">
        <f>IF('비상대처계획(보정계수 산출)'!D57=0,"",'비상대처계획(보정계수 산출)'!D57)</f>
        <v>1</v>
      </c>
      <c r="F37" s="173" t="str">
        <f>IF('비상대처계획(보정계수 산출)'!E57=0,"",'비상대처계획(보정계수 산출)'!E57)</f>
        <v/>
      </c>
      <c r="G37" s="173" t="str">
        <f>IF('비상대처계획(보정계수 산출)'!F57=0,"",'비상대처계획(보정계수 산출)'!F57)</f>
        <v/>
      </c>
      <c r="H37" s="173" t="str">
        <f>IF('비상대처계획(보정계수 산출)'!G57=0,"",'비상대처계획(보정계수 산출)'!G57)</f>
        <v/>
      </c>
      <c r="I37" s="173">
        <f>IF('비상대처계획(보정계수 산출)'!H57=0,"",'비상대처계획(보정계수 산출)'!H57)</f>
        <v>0.9</v>
      </c>
      <c r="J37" s="173">
        <f>IF('비상대처계획(보정계수 산출)'!I57=0,"",'비상대처계획(보정계수 산출)'!I57)</f>
        <v>1</v>
      </c>
      <c r="K37" s="124">
        <f t="shared" si="2"/>
        <v>0.9</v>
      </c>
    </row>
    <row r="38" spans="1:11" ht="20.100000000000001" customHeight="1">
      <c r="A38" s="1447" t="str">
        <f>'비상대처계획(기준소요인력)'!A38</f>
        <v xml:space="preserve">  6) 시설물 응급복구</v>
      </c>
      <c r="B38" s="175" t="str">
        <f>'비상대처계획(기준소요인력)'!B38</f>
        <v>1개소</v>
      </c>
      <c r="C38" s="175" t="str">
        <f>'비상대처계획(기준소요인력)'!C38</f>
        <v>지구개소당</v>
      </c>
      <c r="D38" s="155" t="s">
        <v>1368</v>
      </c>
      <c r="E38" s="173">
        <f>IF('비상대처계획(보정계수 산출)'!D58=0,"",'비상대처계획(보정계수 산출)'!D58)</f>
        <v>1</v>
      </c>
      <c r="F38" s="173" t="str">
        <f>IF('비상대처계획(보정계수 산출)'!E58=0,"",'비상대처계획(보정계수 산출)'!E58)</f>
        <v/>
      </c>
      <c r="G38" s="173" t="str">
        <f>IF('비상대처계획(보정계수 산출)'!F58=0,"",'비상대처계획(보정계수 산출)'!F58)</f>
        <v/>
      </c>
      <c r="H38" s="173" t="str">
        <f>IF('비상대처계획(보정계수 산출)'!G58=0,"",'비상대처계획(보정계수 산출)'!G58)</f>
        <v/>
      </c>
      <c r="I38" s="173">
        <f>IF('비상대처계획(보정계수 산출)'!H58=0,"",'비상대처계획(보정계수 산출)'!H58)</f>
        <v>0.9</v>
      </c>
      <c r="J38" s="173">
        <f>IF('비상대처계획(보정계수 산출)'!I58=0,"",'비상대처계획(보정계수 산출)'!I58)</f>
        <v>1</v>
      </c>
      <c r="K38" s="124">
        <f t="shared" si="2"/>
        <v>0.9</v>
      </c>
    </row>
    <row r="39" spans="1:11" ht="20.100000000000001" customHeight="1">
      <c r="A39" s="1447" t="str">
        <f>'비상대처계획(기준소요인력)'!A39</f>
        <v xml:space="preserve"> 마. 재해구호 및 지역안정 계획</v>
      </c>
      <c r="B39" s="175"/>
      <c r="C39" s="175"/>
      <c r="D39" s="238"/>
      <c r="E39" s="173" t="str">
        <f>IF('비상대처계획(보정계수 산출)'!D59=0,"",'비상대처계획(보정계수 산출)'!D59)</f>
        <v/>
      </c>
      <c r="F39" s="173" t="str">
        <f>IF('비상대처계획(보정계수 산출)'!E59=0,"",'비상대처계획(보정계수 산출)'!E59)</f>
        <v/>
      </c>
      <c r="G39" s="173" t="str">
        <f>IF('비상대처계획(보정계수 산출)'!F59=0,"",'비상대처계획(보정계수 산출)'!F59)</f>
        <v/>
      </c>
      <c r="H39" s="173" t="str">
        <f>IF('비상대처계획(보정계수 산출)'!G59=0,"",'비상대처계획(보정계수 산출)'!G59)</f>
        <v/>
      </c>
      <c r="I39" s="173" t="str">
        <f>IF('비상대처계획(보정계수 산출)'!H59=0,"",'비상대처계획(보정계수 산출)'!H59)</f>
        <v/>
      </c>
      <c r="J39" s="173" t="str">
        <f>IF('비상대처계획(보정계수 산출)'!I59=0,"",'비상대처계획(보정계수 산출)'!I59)</f>
        <v/>
      </c>
      <c r="K39" s="124"/>
    </row>
    <row r="40" spans="1:11" ht="20.100000000000001" customHeight="1">
      <c r="A40" s="1447" t="str">
        <f>'비상대처계획(기준소요인력)'!A40</f>
        <v xml:space="preserve">  1) 이재민수용관리</v>
      </c>
      <c r="B40" s="175" t="str">
        <f>'비상대처계획(기준소요인력)'!B40</f>
        <v>1개소</v>
      </c>
      <c r="C40" s="175" t="str">
        <f>'비상대처계획(기준소요인력)'!C40</f>
        <v>지구개소당</v>
      </c>
      <c r="D40" s="155" t="s">
        <v>1368</v>
      </c>
      <c r="E40" s="173">
        <f>IF('비상대처계획(보정계수 산출)'!D60=0,"",'비상대처계획(보정계수 산출)'!D60)</f>
        <v>1</v>
      </c>
      <c r="F40" s="173" t="str">
        <f>IF('비상대처계획(보정계수 산출)'!E60=0,"",'비상대처계획(보정계수 산출)'!E60)</f>
        <v/>
      </c>
      <c r="G40" s="173" t="str">
        <f>IF('비상대처계획(보정계수 산출)'!F60=0,"",'비상대처계획(보정계수 산출)'!F60)</f>
        <v/>
      </c>
      <c r="H40" s="173" t="str">
        <f>IF('비상대처계획(보정계수 산출)'!G60=0,"",'비상대처계획(보정계수 산출)'!G60)</f>
        <v/>
      </c>
      <c r="I40" s="173">
        <f>IF('비상대처계획(보정계수 산출)'!H60=0,"",'비상대처계획(보정계수 산출)'!H60)</f>
        <v>0.9</v>
      </c>
      <c r="J40" s="173">
        <f>IF('비상대처계획(보정계수 산출)'!I60=0,"",'비상대처계획(보정계수 산출)'!I60)</f>
        <v>1</v>
      </c>
      <c r="K40" s="124">
        <f t="shared" si="2"/>
        <v>0.9</v>
      </c>
    </row>
    <row r="41" spans="1:11" ht="20.100000000000001" customHeight="1">
      <c r="A41" s="1447" t="str">
        <f>'비상대처계획(기준소요인력)'!A41</f>
        <v xml:space="preserve">  2) 구호물자 접수·배분 및 생필품 공급</v>
      </c>
      <c r="B41" s="175" t="str">
        <f>'비상대처계획(기준소요인력)'!B41</f>
        <v>1개소</v>
      </c>
      <c r="C41" s="175" t="str">
        <f>'비상대처계획(기준소요인력)'!C41</f>
        <v>지구개소당</v>
      </c>
      <c r="D41" s="155" t="s">
        <v>1368</v>
      </c>
      <c r="E41" s="173">
        <f>IF('비상대처계획(보정계수 산출)'!D61=0,"",'비상대처계획(보정계수 산출)'!D61)</f>
        <v>1</v>
      </c>
      <c r="F41" s="173" t="str">
        <f>IF('비상대처계획(보정계수 산출)'!E61=0,"",'비상대처계획(보정계수 산출)'!E61)</f>
        <v/>
      </c>
      <c r="G41" s="173" t="str">
        <f>IF('비상대처계획(보정계수 산출)'!F61=0,"",'비상대처계획(보정계수 산출)'!F61)</f>
        <v/>
      </c>
      <c r="H41" s="173" t="str">
        <f>IF('비상대처계획(보정계수 산출)'!G61=0,"",'비상대처계획(보정계수 산출)'!G61)</f>
        <v/>
      </c>
      <c r="I41" s="173">
        <f>IF('비상대처계획(보정계수 산출)'!H61=0,"",'비상대처계획(보정계수 산출)'!H61)</f>
        <v>0.9</v>
      </c>
      <c r="J41" s="173">
        <f>IF('비상대처계획(보정계수 산출)'!I61=0,"",'비상대처계획(보정계수 산출)'!I61)</f>
        <v>1</v>
      </c>
      <c r="K41" s="124">
        <f t="shared" si="2"/>
        <v>0.9</v>
      </c>
    </row>
    <row r="42" spans="1:11" ht="20.100000000000001" customHeight="1">
      <c r="A42" s="1447" t="str">
        <f>'비상대처계획(기준소요인력)'!A42</f>
        <v xml:space="preserve">  3) 의료·청소·방역 활동</v>
      </c>
      <c r="B42" s="175" t="str">
        <f>'비상대처계획(기준소요인력)'!B42</f>
        <v>1개소</v>
      </c>
      <c r="C42" s="175" t="str">
        <f>'비상대처계획(기준소요인력)'!C42</f>
        <v>지구개소당</v>
      </c>
      <c r="D42" s="155" t="s">
        <v>1368</v>
      </c>
      <c r="E42" s="173">
        <f>IF('비상대처계획(보정계수 산출)'!D62=0,"",'비상대처계획(보정계수 산출)'!D62)</f>
        <v>1</v>
      </c>
      <c r="F42" s="173" t="str">
        <f>IF('비상대처계획(보정계수 산출)'!E62=0,"",'비상대처계획(보정계수 산출)'!E62)</f>
        <v/>
      </c>
      <c r="G42" s="173" t="str">
        <f>IF('비상대처계획(보정계수 산출)'!F62=0,"",'비상대처계획(보정계수 산출)'!F62)</f>
        <v/>
      </c>
      <c r="H42" s="173" t="str">
        <f>IF('비상대처계획(보정계수 산출)'!G62=0,"",'비상대처계획(보정계수 산출)'!G62)</f>
        <v/>
      </c>
      <c r="I42" s="173">
        <f>IF('비상대처계획(보정계수 산출)'!H62=0,"",'비상대처계획(보정계수 산출)'!H62)</f>
        <v>0.9</v>
      </c>
      <c r="J42" s="173">
        <f>IF('비상대처계획(보정계수 산출)'!I62=0,"",'비상대처계획(보정계수 산출)'!I62)</f>
        <v>1</v>
      </c>
      <c r="K42" s="124">
        <f t="shared" si="2"/>
        <v>0.9</v>
      </c>
    </row>
    <row r="43" spans="1:11" ht="20.100000000000001" customHeight="1">
      <c r="A43" s="1447" t="str">
        <f>'비상대처계획(기준소요인력)'!A43</f>
        <v xml:space="preserve">  4) 사회질서 유지 등 지역안정</v>
      </c>
      <c r="B43" s="175" t="str">
        <f>'비상대처계획(기준소요인력)'!B43</f>
        <v>1개소</v>
      </c>
      <c r="C43" s="175" t="str">
        <f>'비상대처계획(기준소요인력)'!C43</f>
        <v>지구개소당</v>
      </c>
      <c r="D43" s="155" t="s">
        <v>1368</v>
      </c>
      <c r="E43" s="173">
        <f>IF('비상대처계획(보정계수 산출)'!D63=0,"",'비상대처계획(보정계수 산출)'!D63)</f>
        <v>1</v>
      </c>
      <c r="F43" s="173" t="str">
        <f>IF('비상대처계획(보정계수 산출)'!E63=0,"",'비상대처계획(보정계수 산출)'!E63)</f>
        <v/>
      </c>
      <c r="G43" s="173" t="str">
        <f>IF('비상대처계획(보정계수 산출)'!F63=0,"",'비상대처계획(보정계수 산출)'!F63)</f>
        <v/>
      </c>
      <c r="H43" s="173" t="str">
        <f>IF('비상대처계획(보정계수 산출)'!G63=0,"",'비상대처계획(보정계수 산출)'!G63)</f>
        <v/>
      </c>
      <c r="I43" s="173">
        <f>IF('비상대처계획(보정계수 산출)'!H63=0,"",'비상대처계획(보정계수 산출)'!H63)</f>
        <v>0.9</v>
      </c>
      <c r="J43" s="173">
        <f>IF('비상대처계획(보정계수 산출)'!I63=0,"",'비상대처계획(보정계수 산출)'!I63)</f>
        <v>1</v>
      </c>
      <c r="K43" s="124">
        <f t="shared" si="2"/>
        <v>0.9</v>
      </c>
    </row>
    <row r="44" spans="1:11" ht="20.100000000000001" customHeight="1">
      <c r="A44" s="1447" t="str">
        <f>'비상대처계획(기준소요인력)'!A44</f>
        <v xml:space="preserve">  5) 자원봉사활동</v>
      </c>
      <c r="B44" s="175" t="str">
        <f>'비상대처계획(기준소요인력)'!B44</f>
        <v>1개소</v>
      </c>
      <c r="C44" s="175" t="str">
        <f>'비상대처계획(기준소요인력)'!C44</f>
        <v>지구개소당</v>
      </c>
      <c r="D44" s="155" t="s">
        <v>1368</v>
      </c>
      <c r="E44" s="173">
        <f>IF('비상대처계획(보정계수 산출)'!D64=0,"",'비상대처계획(보정계수 산출)'!D64)</f>
        <v>1</v>
      </c>
      <c r="F44" s="173" t="str">
        <f>IF('비상대처계획(보정계수 산출)'!E64=0,"",'비상대처계획(보정계수 산출)'!E64)</f>
        <v/>
      </c>
      <c r="G44" s="173" t="str">
        <f>IF('비상대처계획(보정계수 산출)'!F64=0,"",'비상대처계획(보정계수 산출)'!F64)</f>
        <v/>
      </c>
      <c r="H44" s="173" t="str">
        <f>IF('비상대처계획(보정계수 산출)'!G64=0,"",'비상대처계획(보정계수 산출)'!G64)</f>
        <v/>
      </c>
      <c r="I44" s="173">
        <f>IF('비상대처계획(보정계수 산출)'!H64=0,"",'비상대처계획(보정계수 산출)'!H64)</f>
        <v>0.9</v>
      </c>
      <c r="J44" s="173">
        <f>IF('비상대처계획(보정계수 산출)'!I64=0,"",'비상대처계획(보정계수 산출)'!I64)</f>
        <v>1</v>
      </c>
      <c r="K44" s="124">
        <f t="shared" si="2"/>
        <v>0.9</v>
      </c>
    </row>
    <row r="45" spans="1:11" s="47" customFormat="1" ht="20.100000000000001" customHeight="1">
      <c r="A45" s="1447" t="str">
        <f>'비상대처계획(기준소요인력)'!A45</f>
        <v xml:space="preserve"> 사. EAP 실습 및 훈련</v>
      </c>
      <c r="B45" s="175"/>
      <c r="C45" s="175"/>
      <c r="D45" s="148"/>
      <c r="E45" s="173" t="str">
        <f>IF('비상대처계획(보정계수 산출)'!D65=0,"",'비상대처계획(보정계수 산출)'!D65)</f>
        <v/>
      </c>
      <c r="F45" s="173" t="str">
        <f>IF('비상대처계획(보정계수 산출)'!E65=0,"",'비상대처계획(보정계수 산출)'!E65)</f>
        <v/>
      </c>
      <c r="G45" s="173" t="str">
        <f>IF('비상대처계획(보정계수 산출)'!F65=0,"",'비상대처계획(보정계수 산출)'!F65)</f>
        <v/>
      </c>
      <c r="H45" s="173" t="str">
        <f>IF('비상대처계획(보정계수 산출)'!G65=0,"",'비상대처계획(보정계수 산출)'!G65)</f>
        <v/>
      </c>
      <c r="I45" s="173" t="str">
        <f>IF('비상대처계획(보정계수 산출)'!H65=0,"",'비상대처계획(보정계수 산출)'!H65)</f>
        <v/>
      </c>
      <c r="J45" s="173" t="str">
        <f>IF('비상대처계획(보정계수 산출)'!I65=0,"",'비상대처계획(보정계수 산출)'!I65)</f>
        <v/>
      </c>
      <c r="K45" s="149"/>
    </row>
    <row r="46" spans="1:11" ht="20.100000000000001" customHeight="1">
      <c r="A46" s="1447" t="str">
        <f>'비상대처계획(기준소요인력)'!A46</f>
        <v xml:space="preserve">  1) 훈련계획</v>
      </c>
      <c r="B46" s="175" t="str">
        <f>'비상대처계획(기준소요인력)'!B46</f>
        <v>1개소</v>
      </c>
      <c r="C46" s="175" t="str">
        <f>'비상대처계획(기준소요인력)'!C46</f>
        <v>지구개소당</v>
      </c>
      <c r="D46" s="1448" t="s">
        <v>1369</v>
      </c>
      <c r="E46" s="173">
        <f>IF('비상대처계획(보정계수 산출)'!D66=0,"",'비상대처계획(보정계수 산출)'!D66)</f>
        <v>1</v>
      </c>
      <c r="F46" s="173" t="str">
        <f>IF('비상대처계획(보정계수 산출)'!E66=0,"",'비상대처계획(보정계수 산출)'!E66)</f>
        <v/>
      </c>
      <c r="G46" s="173" t="str">
        <f>IF('비상대처계획(보정계수 산출)'!F66=0,"",'비상대처계획(보정계수 산출)'!F66)</f>
        <v/>
      </c>
      <c r="H46" s="173" t="str">
        <f>IF('비상대처계획(보정계수 산출)'!G66=0,"",'비상대처계획(보정계수 산출)'!G66)</f>
        <v/>
      </c>
      <c r="I46" s="173" t="str">
        <f>IF('비상대처계획(보정계수 산출)'!H66=0,"",'비상대처계획(보정계수 산출)'!H66)</f>
        <v/>
      </c>
      <c r="J46" s="173">
        <f>IF('비상대처계획(보정계수 산출)'!I66=0,"",'비상대처계획(보정계수 산출)'!I66)</f>
        <v>1</v>
      </c>
      <c r="K46" s="124">
        <f t="shared" ref="K46:K51" si="3">IF(PRODUCT(E46:J46)=0,0, PRODUCT(E46:J46))</f>
        <v>1</v>
      </c>
    </row>
    <row r="47" spans="1:11" ht="20.100000000000001" customHeight="1">
      <c r="A47" s="1447" t="str">
        <f>'비상대처계획(기준소요인력)'!A47</f>
        <v xml:space="preserve">  2) 훈련 메시지 작성</v>
      </c>
      <c r="B47" s="175" t="str">
        <f>'비상대처계획(기준소요인력)'!B47</f>
        <v>1개소</v>
      </c>
      <c r="C47" s="175" t="str">
        <f>'비상대처계획(기준소요인력)'!C47</f>
        <v>지구개소당</v>
      </c>
      <c r="D47" s="1448" t="s">
        <v>1369</v>
      </c>
      <c r="E47" s="173">
        <f>IF('비상대처계획(보정계수 산출)'!D67=0,"",'비상대처계획(보정계수 산출)'!D67)</f>
        <v>1</v>
      </c>
      <c r="F47" s="173" t="str">
        <f>IF('비상대처계획(보정계수 산출)'!E67=0,"",'비상대처계획(보정계수 산출)'!E67)</f>
        <v/>
      </c>
      <c r="G47" s="173" t="str">
        <f>IF('비상대처계획(보정계수 산출)'!F67=0,"",'비상대처계획(보정계수 산출)'!F67)</f>
        <v/>
      </c>
      <c r="H47" s="173" t="str">
        <f>IF('비상대처계획(보정계수 산출)'!G67=0,"",'비상대처계획(보정계수 산출)'!G67)</f>
        <v/>
      </c>
      <c r="I47" s="173" t="str">
        <f>IF('비상대처계획(보정계수 산출)'!H67=0,"",'비상대처계획(보정계수 산출)'!H67)</f>
        <v/>
      </c>
      <c r="J47" s="173">
        <f>IF('비상대처계획(보정계수 산출)'!I67=0,"",'비상대처계획(보정계수 산출)'!I67)</f>
        <v>1</v>
      </c>
      <c r="K47" s="124">
        <f t="shared" si="3"/>
        <v>1</v>
      </c>
    </row>
    <row r="48" spans="1:11" ht="20.100000000000001" customHeight="1">
      <c r="A48" s="1447" t="str">
        <f>'비상대처계획(기준소요인력)'!A48</f>
        <v xml:space="preserve"> 아. 결론 및 보고서 작성</v>
      </c>
      <c r="B48" s="175"/>
      <c r="C48" s="175"/>
      <c r="D48" s="121"/>
      <c r="E48" s="173" t="str">
        <f>IF('비상대처계획(보정계수 산출)'!D68=0,"",'비상대처계획(보정계수 산출)'!D68)</f>
        <v/>
      </c>
      <c r="F48" s="173" t="str">
        <f>IF('비상대처계획(보정계수 산출)'!E68=0,"",'비상대처계획(보정계수 산출)'!E68)</f>
        <v/>
      </c>
      <c r="G48" s="173" t="str">
        <f>IF('비상대처계획(보정계수 산출)'!F68=0,"",'비상대처계획(보정계수 산출)'!F68)</f>
        <v/>
      </c>
      <c r="H48" s="173" t="str">
        <f>IF('비상대처계획(보정계수 산출)'!G68=0,"",'비상대처계획(보정계수 산출)'!G68)</f>
        <v/>
      </c>
      <c r="I48" s="173" t="str">
        <f>IF('비상대처계획(보정계수 산출)'!H68=0,"",'비상대처계획(보정계수 산출)'!H68)</f>
        <v/>
      </c>
      <c r="J48" s="173" t="str">
        <f>IF('비상대처계획(보정계수 산출)'!I68=0,"",'비상대처계획(보정계수 산출)'!I68)</f>
        <v/>
      </c>
      <c r="K48" s="124"/>
    </row>
    <row r="49" spans="1:11" ht="20.100000000000001" customHeight="1">
      <c r="A49" s="1447" t="str">
        <f>'비상대처계획(기준소요인력)'!A49</f>
        <v xml:space="preserve">  1) EAP 보고서 작성</v>
      </c>
      <c r="B49" s="175" t="str">
        <f>'비상대처계획(기준소요인력)'!B49</f>
        <v>10㎞</v>
      </c>
      <c r="C49" s="175" t="str">
        <f>'비상대처계획(기준소요인력)'!C49</f>
        <v>계획연장당</v>
      </c>
      <c r="D49" s="1448" t="s">
        <v>1367</v>
      </c>
      <c r="E49" s="173">
        <f>IF('비상대처계획(보정계수 산출)'!D69=0,"",'비상대처계획(보정계수 산출)'!D69)</f>
        <v>1</v>
      </c>
      <c r="F49" s="173" t="str">
        <f>IF('비상대처계획(보정계수 산출)'!E69=0,"",'비상대처계획(보정계수 산출)'!E69)</f>
        <v/>
      </c>
      <c r="G49" s="173" t="str">
        <f>IF('비상대처계획(보정계수 산출)'!F69=0,"",'비상대처계획(보정계수 산출)'!F69)</f>
        <v/>
      </c>
      <c r="H49" s="173">
        <f>IF('비상대처계획(보정계수 산출)'!G69=0,"",'비상대처계획(보정계수 산출)'!G69)</f>
        <v>0.32200000000000001</v>
      </c>
      <c r="I49" s="173" t="str">
        <f>IF('비상대처계획(보정계수 산출)'!H69=0,"",'비상대처계획(보정계수 산출)'!H69)</f>
        <v/>
      </c>
      <c r="J49" s="173" t="str">
        <f>IF('비상대처계획(보정계수 산출)'!I69=0,"",'비상대처계획(보정계수 산출)'!I69)</f>
        <v/>
      </c>
      <c r="K49" s="124">
        <f t="shared" si="3"/>
        <v>0.32200000000000001</v>
      </c>
    </row>
    <row r="50" spans="1:11" ht="20.100000000000001" customHeight="1">
      <c r="A50" s="1447" t="str">
        <f>'비상대처계획(기준소요인력)'!A50</f>
        <v xml:space="preserve">  2) 하류부 영향평가 및 비상대처계획 수립</v>
      </c>
      <c r="B50" s="175" t="str">
        <f>'비상대처계획(기준소요인력)'!B50</f>
        <v>10㎞</v>
      </c>
      <c r="C50" s="175" t="str">
        <f>'비상대처계획(기준소요인력)'!C50</f>
        <v>계획연장당</v>
      </c>
      <c r="D50" s="1448" t="s">
        <v>1367</v>
      </c>
      <c r="E50" s="173">
        <f>IF('비상대처계획(보정계수 산출)'!D70=0,"",'비상대처계획(보정계수 산출)'!D70)</f>
        <v>1</v>
      </c>
      <c r="F50" s="173" t="str">
        <f>IF('비상대처계획(보정계수 산출)'!E70=0,"",'비상대처계획(보정계수 산출)'!E70)</f>
        <v/>
      </c>
      <c r="G50" s="173" t="str">
        <f>IF('비상대처계획(보정계수 산출)'!F70=0,"",'비상대처계획(보정계수 산출)'!F70)</f>
        <v/>
      </c>
      <c r="H50" s="173">
        <f>IF('비상대처계획(보정계수 산출)'!G70=0,"",'비상대처계획(보정계수 산출)'!G70)</f>
        <v>0.32200000000000001</v>
      </c>
      <c r="I50" s="173" t="str">
        <f>IF('비상대처계획(보정계수 산출)'!H70=0,"",'비상대처계획(보정계수 산출)'!H70)</f>
        <v/>
      </c>
      <c r="J50" s="173" t="str">
        <f>IF('비상대처계획(보정계수 산출)'!I70=0,"",'비상대처계획(보정계수 산출)'!I70)</f>
        <v/>
      </c>
      <c r="K50" s="124">
        <f t="shared" si="3"/>
        <v>0.32200000000000001</v>
      </c>
    </row>
    <row r="51" spans="1:11" ht="20.100000000000001" customHeight="1">
      <c r="A51" s="1447" t="str">
        <f>'비상대처계획(기준소요인력)'!A51</f>
        <v xml:space="preserve">  3) 비상대처계획도 작성</v>
      </c>
      <c r="B51" s="175" t="str">
        <f>'비상대처계획(기준소요인력)'!B51</f>
        <v>10㎞</v>
      </c>
      <c r="C51" s="175" t="str">
        <f>'비상대처계획(기준소요인력)'!C51</f>
        <v>계획연장당</v>
      </c>
      <c r="D51" s="1448" t="s">
        <v>1367</v>
      </c>
      <c r="E51" s="173">
        <f>IF('비상대처계획(보정계수 산출)'!D71=0,"",'비상대처계획(보정계수 산출)'!D71)</f>
        <v>1</v>
      </c>
      <c r="F51" s="173" t="str">
        <f>IF('비상대처계획(보정계수 산출)'!E71=0,"",'비상대처계획(보정계수 산출)'!E71)</f>
        <v/>
      </c>
      <c r="G51" s="173" t="str">
        <f>IF('비상대처계획(보정계수 산출)'!F71=0,"",'비상대처계획(보정계수 산출)'!F71)</f>
        <v/>
      </c>
      <c r="H51" s="173">
        <f>IF('비상대처계획(보정계수 산출)'!G71=0,"",'비상대처계획(보정계수 산출)'!G71)</f>
        <v>0.32200000000000001</v>
      </c>
      <c r="I51" s="173" t="str">
        <f>IF('비상대처계획(보정계수 산출)'!H71=0,"",'비상대처계획(보정계수 산출)'!H71)</f>
        <v/>
      </c>
      <c r="J51" s="173" t="str">
        <f>IF('비상대처계획(보정계수 산출)'!I71=0,"",'비상대처계획(보정계수 산출)'!I71)</f>
        <v/>
      </c>
      <c r="K51" s="124">
        <f t="shared" si="3"/>
        <v>0.32200000000000001</v>
      </c>
    </row>
  </sheetData>
  <mergeCells count="6">
    <mergeCell ref="M2:N3"/>
    <mergeCell ref="A2:A3"/>
    <mergeCell ref="B2:B3"/>
    <mergeCell ref="C2:C3"/>
    <mergeCell ref="D2:D3"/>
    <mergeCell ref="E2:J2"/>
  </mergeCells>
  <phoneticPr fontId="181" type="noConversion"/>
  <printOptions horizontalCentered="1"/>
  <pageMargins left="0.47244094488188981" right="0.47244094488188981" top="0.78740157480314965" bottom="0.59055118110236227" header="0.39370078740157483" footer="0.39370078740157483"/>
  <pageSetup paperSize="9" scale="76" fitToHeight="0" orientation="landscape" r:id="rId1"/>
  <rowBreaks count="1" manualBreakCount="1">
    <brk id="26" max="10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9">
    <tabColor theme="6"/>
  </sheetPr>
  <dimension ref="A1:V51"/>
  <sheetViews>
    <sheetView view="pageBreakPreview" zoomScale="70" zoomScaleNormal="100" zoomScaleSheetLayoutView="70" workbookViewId="0">
      <pane xSplit="3" ySplit="3" topLeftCell="D4" activePane="bottomRight" state="frozen"/>
      <selection activeCell="A4" sqref="A4"/>
      <selection pane="topRight" activeCell="A4" sqref="A4"/>
      <selection pane="bottomLeft" activeCell="A4" sqref="A4"/>
      <selection pane="bottomRight" activeCell="A4" sqref="A4"/>
    </sheetView>
  </sheetViews>
  <sheetFormatPr defaultColWidth="8.77734375" defaultRowHeight="19.5" customHeight="1"/>
  <cols>
    <col min="1" max="1" width="32" style="36" customWidth="1"/>
    <col min="2" max="2" width="11.5546875" style="36" customWidth="1"/>
    <col min="3" max="3" width="20.5546875" style="125" customWidth="1"/>
    <col min="4" max="4" width="10.6640625" style="126" customWidth="1"/>
    <col min="5" max="9" width="10.6640625" style="125" customWidth="1"/>
    <col min="10" max="10" width="25.5546875" style="125" bestFit="1" customWidth="1"/>
    <col min="11" max="11" width="24.109375" style="36" bestFit="1" customWidth="1"/>
    <col min="12" max="256" width="8.77734375" style="36"/>
    <col min="257" max="257" width="30.77734375" style="36" customWidth="1"/>
    <col min="258" max="258" width="9.77734375" style="36" customWidth="1"/>
    <col min="259" max="259" width="15.77734375" style="36" customWidth="1"/>
    <col min="260" max="265" width="13.77734375" style="36" customWidth="1"/>
    <col min="266" max="266" width="20.77734375" style="36" customWidth="1"/>
    <col min="267" max="267" width="5.77734375" style="36" customWidth="1"/>
    <col min="268" max="512" width="8.77734375" style="36"/>
    <col min="513" max="513" width="30.77734375" style="36" customWidth="1"/>
    <col min="514" max="514" width="9.77734375" style="36" customWidth="1"/>
    <col min="515" max="515" width="15.77734375" style="36" customWidth="1"/>
    <col min="516" max="521" width="13.77734375" style="36" customWidth="1"/>
    <col min="522" max="522" width="20.77734375" style="36" customWidth="1"/>
    <col min="523" max="523" width="5.77734375" style="36" customWidth="1"/>
    <col min="524" max="768" width="8.77734375" style="36"/>
    <col min="769" max="769" width="30.77734375" style="36" customWidth="1"/>
    <col min="770" max="770" width="9.77734375" style="36" customWidth="1"/>
    <col min="771" max="771" width="15.77734375" style="36" customWidth="1"/>
    <col min="772" max="777" width="13.77734375" style="36" customWidth="1"/>
    <col min="778" max="778" width="20.77734375" style="36" customWidth="1"/>
    <col min="779" max="779" width="5.77734375" style="36" customWidth="1"/>
    <col min="780" max="1024" width="8.77734375" style="36"/>
    <col min="1025" max="1025" width="30.77734375" style="36" customWidth="1"/>
    <col min="1026" max="1026" width="9.77734375" style="36" customWidth="1"/>
    <col min="1027" max="1027" width="15.77734375" style="36" customWidth="1"/>
    <col min="1028" max="1033" width="13.77734375" style="36" customWidth="1"/>
    <col min="1034" max="1034" width="20.77734375" style="36" customWidth="1"/>
    <col min="1035" max="1035" width="5.77734375" style="36" customWidth="1"/>
    <col min="1036" max="1280" width="8.77734375" style="36"/>
    <col min="1281" max="1281" width="30.77734375" style="36" customWidth="1"/>
    <col min="1282" max="1282" width="9.77734375" style="36" customWidth="1"/>
    <col min="1283" max="1283" width="15.77734375" style="36" customWidth="1"/>
    <col min="1284" max="1289" width="13.77734375" style="36" customWidth="1"/>
    <col min="1290" max="1290" width="20.77734375" style="36" customWidth="1"/>
    <col min="1291" max="1291" width="5.77734375" style="36" customWidth="1"/>
    <col min="1292" max="1536" width="8.77734375" style="36"/>
    <col min="1537" max="1537" width="30.77734375" style="36" customWidth="1"/>
    <col min="1538" max="1538" width="9.77734375" style="36" customWidth="1"/>
    <col min="1539" max="1539" width="15.77734375" style="36" customWidth="1"/>
    <col min="1540" max="1545" width="13.77734375" style="36" customWidth="1"/>
    <col min="1546" max="1546" width="20.77734375" style="36" customWidth="1"/>
    <col min="1547" max="1547" width="5.77734375" style="36" customWidth="1"/>
    <col min="1548" max="1792" width="8.77734375" style="36"/>
    <col min="1793" max="1793" width="30.77734375" style="36" customWidth="1"/>
    <col min="1794" max="1794" width="9.77734375" style="36" customWidth="1"/>
    <col min="1795" max="1795" width="15.77734375" style="36" customWidth="1"/>
    <col min="1796" max="1801" width="13.77734375" style="36" customWidth="1"/>
    <col min="1802" max="1802" width="20.77734375" style="36" customWidth="1"/>
    <col min="1803" max="1803" width="5.77734375" style="36" customWidth="1"/>
    <col min="1804" max="2048" width="8.77734375" style="36"/>
    <col min="2049" max="2049" width="30.77734375" style="36" customWidth="1"/>
    <col min="2050" max="2050" width="9.77734375" style="36" customWidth="1"/>
    <col min="2051" max="2051" width="15.77734375" style="36" customWidth="1"/>
    <col min="2052" max="2057" width="13.77734375" style="36" customWidth="1"/>
    <col min="2058" max="2058" width="20.77734375" style="36" customWidth="1"/>
    <col min="2059" max="2059" width="5.77734375" style="36" customWidth="1"/>
    <col min="2060" max="2304" width="8.77734375" style="36"/>
    <col min="2305" max="2305" width="30.77734375" style="36" customWidth="1"/>
    <col min="2306" max="2306" width="9.77734375" style="36" customWidth="1"/>
    <col min="2307" max="2307" width="15.77734375" style="36" customWidth="1"/>
    <col min="2308" max="2313" width="13.77734375" style="36" customWidth="1"/>
    <col min="2314" max="2314" width="20.77734375" style="36" customWidth="1"/>
    <col min="2315" max="2315" width="5.77734375" style="36" customWidth="1"/>
    <col min="2316" max="2560" width="8.77734375" style="36"/>
    <col min="2561" max="2561" width="30.77734375" style="36" customWidth="1"/>
    <col min="2562" max="2562" width="9.77734375" style="36" customWidth="1"/>
    <col min="2563" max="2563" width="15.77734375" style="36" customWidth="1"/>
    <col min="2564" max="2569" width="13.77734375" style="36" customWidth="1"/>
    <col min="2570" max="2570" width="20.77734375" style="36" customWidth="1"/>
    <col min="2571" max="2571" width="5.77734375" style="36" customWidth="1"/>
    <col min="2572" max="2816" width="8.77734375" style="36"/>
    <col min="2817" max="2817" width="30.77734375" style="36" customWidth="1"/>
    <col min="2818" max="2818" width="9.77734375" style="36" customWidth="1"/>
    <col min="2819" max="2819" width="15.77734375" style="36" customWidth="1"/>
    <col min="2820" max="2825" width="13.77734375" style="36" customWidth="1"/>
    <col min="2826" max="2826" width="20.77734375" style="36" customWidth="1"/>
    <col min="2827" max="2827" width="5.77734375" style="36" customWidth="1"/>
    <col min="2828" max="3072" width="8.77734375" style="36"/>
    <col min="3073" max="3073" width="30.77734375" style="36" customWidth="1"/>
    <col min="3074" max="3074" width="9.77734375" style="36" customWidth="1"/>
    <col min="3075" max="3075" width="15.77734375" style="36" customWidth="1"/>
    <col min="3076" max="3081" width="13.77734375" style="36" customWidth="1"/>
    <col min="3082" max="3082" width="20.77734375" style="36" customWidth="1"/>
    <col min="3083" max="3083" width="5.77734375" style="36" customWidth="1"/>
    <col min="3084" max="3328" width="8.77734375" style="36"/>
    <col min="3329" max="3329" width="30.77734375" style="36" customWidth="1"/>
    <col min="3330" max="3330" width="9.77734375" style="36" customWidth="1"/>
    <col min="3331" max="3331" width="15.77734375" style="36" customWidth="1"/>
    <col min="3332" max="3337" width="13.77734375" style="36" customWidth="1"/>
    <col min="3338" max="3338" width="20.77734375" style="36" customWidth="1"/>
    <col min="3339" max="3339" width="5.77734375" style="36" customWidth="1"/>
    <col min="3340" max="3584" width="8.77734375" style="36"/>
    <col min="3585" max="3585" width="30.77734375" style="36" customWidth="1"/>
    <col min="3586" max="3586" width="9.77734375" style="36" customWidth="1"/>
    <col min="3587" max="3587" width="15.77734375" style="36" customWidth="1"/>
    <col min="3588" max="3593" width="13.77734375" style="36" customWidth="1"/>
    <col min="3594" max="3594" width="20.77734375" style="36" customWidth="1"/>
    <col min="3595" max="3595" width="5.77734375" style="36" customWidth="1"/>
    <col min="3596" max="3840" width="8.77734375" style="36"/>
    <col min="3841" max="3841" width="30.77734375" style="36" customWidth="1"/>
    <col min="3842" max="3842" width="9.77734375" style="36" customWidth="1"/>
    <col min="3843" max="3843" width="15.77734375" style="36" customWidth="1"/>
    <col min="3844" max="3849" width="13.77734375" style="36" customWidth="1"/>
    <col min="3850" max="3850" width="20.77734375" style="36" customWidth="1"/>
    <col min="3851" max="3851" width="5.77734375" style="36" customWidth="1"/>
    <col min="3852" max="4096" width="8.77734375" style="36"/>
    <col min="4097" max="4097" width="30.77734375" style="36" customWidth="1"/>
    <col min="4098" max="4098" width="9.77734375" style="36" customWidth="1"/>
    <col min="4099" max="4099" width="15.77734375" style="36" customWidth="1"/>
    <col min="4100" max="4105" width="13.77734375" style="36" customWidth="1"/>
    <col min="4106" max="4106" width="20.77734375" style="36" customWidth="1"/>
    <col min="4107" max="4107" width="5.77734375" style="36" customWidth="1"/>
    <col min="4108" max="4352" width="8.77734375" style="36"/>
    <col min="4353" max="4353" width="30.77734375" style="36" customWidth="1"/>
    <col min="4354" max="4354" width="9.77734375" style="36" customWidth="1"/>
    <col min="4355" max="4355" width="15.77734375" style="36" customWidth="1"/>
    <col min="4356" max="4361" width="13.77734375" style="36" customWidth="1"/>
    <col min="4362" max="4362" width="20.77734375" style="36" customWidth="1"/>
    <col min="4363" max="4363" width="5.77734375" style="36" customWidth="1"/>
    <col min="4364" max="4608" width="8.77734375" style="36"/>
    <col min="4609" max="4609" width="30.77734375" style="36" customWidth="1"/>
    <col min="4610" max="4610" width="9.77734375" style="36" customWidth="1"/>
    <col min="4611" max="4611" width="15.77734375" style="36" customWidth="1"/>
    <col min="4612" max="4617" width="13.77734375" style="36" customWidth="1"/>
    <col min="4618" max="4618" width="20.77734375" style="36" customWidth="1"/>
    <col min="4619" max="4619" width="5.77734375" style="36" customWidth="1"/>
    <col min="4620" max="4864" width="8.77734375" style="36"/>
    <col min="4865" max="4865" width="30.77734375" style="36" customWidth="1"/>
    <col min="4866" max="4866" width="9.77734375" style="36" customWidth="1"/>
    <col min="4867" max="4867" width="15.77734375" style="36" customWidth="1"/>
    <col min="4868" max="4873" width="13.77734375" style="36" customWidth="1"/>
    <col min="4874" max="4874" width="20.77734375" style="36" customWidth="1"/>
    <col min="4875" max="4875" width="5.77734375" style="36" customWidth="1"/>
    <col min="4876" max="5120" width="8.77734375" style="36"/>
    <col min="5121" max="5121" width="30.77734375" style="36" customWidth="1"/>
    <col min="5122" max="5122" width="9.77734375" style="36" customWidth="1"/>
    <col min="5123" max="5123" width="15.77734375" style="36" customWidth="1"/>
    <col min="5124" max="5129" width="13.77734375" style="36" customWidth="1"/>
    <col min="5130" max="5130" width="20.77734375" style="36" customWidth="1"/>
    <col min="5131" max="5131" width="5.77734375" style="36" customWidth="1"/>
    <col min="5132" max="5376" width="8.77734375" style="36"/>
    <col min="5377" max="5377" width="30.77734375" style="36" customWidth="1"/>
    <col min="5378" max="5378" width="9.77734375" style="36" customWidth="1"/>
    <col min="5379" max="5379" width="15.77734375" style="36" customWidth="1"/>
    <col min="5380" max="5385" width="13.77734375" style="36" customWidth="1"/>
    <col min="5386" max="5386" width="20.77734375" style="36" customWidth="1"/>
    <col min="5387" max="5387" width="5.77734375" style="36" customWidth="1"/>
    <col min="5388" max="5632" width="8.77734375" style="36"/>
    <col min="5633" max="5633" width="30.77734375" style="36" customWidth="1"/>
    <col min="5634" max="5634" width="9.77734375" style="36" customWidth="1"/>
    <col min="5635" max="5635" width="15.77734375" style="36" customWidth="1"/>
    <col min="5636" max="5641" width="13.77734375" style="36" customWidth="1"/>
    <col min="5642" max="5642" width="20.77734375" style="36" customWidth="1"/>
    <col min="5643" max="5643" width="5.77734375" style="36" customWidth="1"/>
    <col min="5644" max="5888" width="8.77734375" style="36"/>
    <col min="5889" max="5889" width="30.77734375" style="36" customWidth="1"/>
    <col min="5890" max="5890" width="9.77734375" style="36" customWidth="1"/>
    <col min="5891" max="5891" width="15.77734375" style="36" customWidth="1"/>
    <col min="5892" max="5897" width="13.77734375" style="36" customWidth="1"/>
    <col min="5898" max="5898" width="20.77734375" style="36" customWidth="1"/>
    <col min="5899" max="5899" width="5.77734375" style="36" customWidth="1"/>
    <col min="5900" max="6144" width="8.77734375" style="36"/>
    <col min="6145" max="6145" width="30.77734375" style="36" customWidth="1"/>
    <col min="6146" max="6146" width="9.77734375" style="36" customWidth="1"/>
    <col min="6147" max="6147" width="15.77734375" style="36" customWidth="1"/>
    <col min="6148" max="6153" width="13.77734375" style="36" customWidth="1"/>
    <col min="6154" max="6154" width="20.77734375" style="36" customWidth="1"/>
    <col min="6155" max="6155" width="5.77734375" style="36" customWidth="1"/>
    <col min="6156" max="6400" width="8.77734375" style="36"/>
    <col min="6401" max="6401" width="30.77734375" style="36" customWidth="1"/>
    <col min="6402" max="6402" width="9.77734375" style="36" customWidth="1"/>
    <col min="6403" max="6403" width="15.77734375" style="36" customWidth="1"/>
    <col min="6404" max="6409" width="13.77734375" style="36" customWidth="1"/>
    <col min="6410" max="6410" width="20.77734375" style="36" customWidth="1"/>
    <col min="6411" max="6411" width="5.77734375" style="36" customWidth="1"/>
    <col min="6412" max="6656" width="8.77734375" style="36"/>
    <col min="6657" max="6657" width="30.77734375" style="36" customWidth="1"/>
    <col min="6658" max="6658" width="9.77734375" style="36" customWidth="1"/>
    <col min="6659" max="6659" width="15.77734375" style="36" customWidth="1"/>
    <col min="6660" max="6665" width="13.77734375" style="36" customWidth="1"/>
    <col min="6666" max="6666" width="20.77734375" style="36" customWidth="1"/>
    <col min="6667" max="6667" width="5.77734375" style="36" customWidth="1"/>
    <col min="6668" max="6912" width="8.77734375" style="36"/>
    <col min="6913" max="6913" width="30.77734375" style="36" customWidth="1"/>
    <col min="6914" max="6914" width="9.77734375" style="36" customWidth="1"/>
    <col min="6915" max="6915" width="15.77734375" style="36" customWidth="1"/>
    <col min="6916" max="6921" width="13.77734375" style="36" customWidth="1"/>
    <col min="6922" max="6922" width="20.77734375" style="36" customWidth="1"/>
    <col min="6923" max="6923" width="5.77734375" style="36" customWidth="1"/>
    <col min="6924" max="7168" width="8.77734375" style="36"/>
    <col min="7169" max="7169" width="30.77734375" style="36" customWidth="1"/>
    <col min="7170" max="7170" width="9.77734375" style="36" customWidth="1"/>
    <col min="7171" max="7171" width="15.77734375" style="36" customWidth="1"/>
    <col min="7172" max="7177" width="13.77734375" style="36" customWidth="1"/>
    <col min="7178" max="7178" width="20.77734375" style="36" customWidth="1"/>
    <col min="7179" max="7179" width="5.77734375" style="36" customWidth="1"/>
    <col min="7180" max="7424" width="8.77734375" style="36"/>
    <col min="7425" max="7425" width="30.77734375" style="36" customWidth="1"/>
    <col min="7426" max="7426" width="9.77734375" style="36" customWidth="1"/>
    <col min="7427" max="7427" width="15.77734375" style="36" customWidth="1"/>
    <col min="7428" max="7433" width="13.77734375" style="36" customWidth="1"/>
    <col min="7434" max="7434" width="20.77734375" style="36" customWidth="1"/>
    <col min="7435" max="7435" width="5.77734375" style="36" customWidth="1"/>
    <col min="7436" max="7680" width="8.77734375" style="36"/>
    <col min="7681" max="7681" width="30.77734375" style="36" customWidth="1"/>
    <col min="7682" max="7682" width="9.77734375" style="36" customWidth="1"/>
    <col min="7683" max="7683" width="15.77734375" style="36" customWidth="1"/>
    <col min="7684" max="7689" width="13.77734375" style="36" customWidth="1"/>
    <col min="7690" max="7690" width="20.77734375" style="36" customWidth="1"/>
    <col min="7691" max="7691" width="5.77734375" style="36" customWidth="1"/>
    <col min="7692" max="7936" width="8.77734375" style="36"/>
    <col min="7937" max="7937" width="30.77734375" style="36" customWidth="1"/>
    <col min="7938" max="7938" width="9.77734375" style="36" customWidth="1"/>
    <col min="7939" max="7939" width="15.77734375" style="36" customWidth="1"/>
    <col min="7940" max="7945" width="13.77734375" style="36" customWidth="1"/>
    <col min="7946" max="7946" width="20.77734375" style="36" customWidth="1"/>
    <col min="7947" max="7947" width="5.77734375" style="36" customWidth="1"/>
    <col min="7948" max="8192" width="8.77734375" style="36"/>
    <col min="8193" max="8193" width="30.77734375" style="36" customWidth="1"/>
    <col min="8194" max="8194" width="9.77734375" style="36" customWidth="1"/>
    <col min="8195" max="8195" width="15.77734375" style="36" customWidth="1"/>
    <col min="8196" max="8201" width="13.77734375" style="36" customWidth="1"/>
    <col min="8202" max="8202" width="20.77734375" style="36" customWidth="1"/>
    <col min="8203" max="8203" width="5.77734375" style="36" customWidth="1"/>
    <col min="8204" max="8448" width="8.77734375" style="36"/>
    <col min="8449" max="8449" width="30.77734375" style="36" customWidth="1"/>
    <col min="8450" max="8450" width="9.77734375" style="36" customWidth="1"/>
    <col min="8451" max="8451" width="15.77734375" style="36" customWidth="1"/>
    <col min="8452" max="8457" width="13.77734375" style="36" customWidth="1"/>
    <col min="8458" max="8458" width="20.77734375" style="36" customWidth="1"/>
    <col min="8459" max="8459" width="5.77734375" style="36" customWidth="1"/>
    <col min="8460" max="8704" width="8.77734375" style="36"/>
    <col min="8705" max="8705" width="30.77734375" style="36" customWidth="1"/>
    <col min="8706" max="8706" width="9.77734375" style="36" customWidth="1"/>
    <col min="8707" max="8707" width="15.77734375" style="36" customWidth="1"/>
    <col min="8708" max="8713" width="13.77734375" style="36" customWidth="1"/>
    <col min="8714" max="8714" width="20.77734375" style="36" customWidth="1"/>
    <col min="8715" max="8715" width="5.77734375" style="36" customWidth="1"/>
    <col min="8716" max="8960" width="8.77734375" style="36"/>
    <col min="8961" max="8961" width="30.77734375" style="36" customWidth="1"/>
    <col min="8962" max="8962" width="9.77734375" style="36" customWidth="1"/>
    <col min="8963" max="8963" width="15.77734375" style="36" customWidth="1"/>
    <col min="8964" max="8969" width="13.77734375" style="36" customWidth="1"/>
    <col min="8970" max="8970" width="20.77734375" style="36" customWidth="1"/>
    <col min="8971" max="8971" width="5.77734375" style="36" customWidth="1"/>
    <col min="8972" max="9216" width="8.77734375" style="36"/>
    <col min="9217" max="9217" width="30.77734375" style="36" customWidth="1"/>
    <col min="9218" max="9218" width="9.77734375" style="36" customWidth="1"/>
    <col min="9219" max="9219" width="15.77734375" style="36" customWidth="1"/>
    <col min="9220" max="9225" width="13.77734375" style="36" customWidth="1"/>
    <col min="9226" max="9226" width="20.77734375" style="36" customWidth="1"/>
    <col min="9227" max="9227" width="5.77734375" style="36" customWidth="1"/>
    <col min="9228" max="9472" width="8.77734375" style="36"/>
    <col min="9473" max="9473" width="30.77734375" style="36" customWidth="1"/>
    <col min="9474" max="9474" width="9.77734375" style="36" customWidth="1"/>
    <col min="9475" max="9475" width="15.77734375" style="36" customWidth="1"/>
    <col min="9476" max="9481" width="13.77734375" style="36" customWidth="1"/>
    <col min="9482" max="9482" width="20.77734375" style="36" customWidth="1"/>
    <col min="9483" max="9483" width="5.77734375" style="36" customWidth="1"/>
    <col min="9484" max="9728" width="8.77734375" style="36"/>
    <col min="9729" max="9729" width="30.77734375" style="36" customWidth="1"/>
    <col min="9730" max="9730" width="9.77734375" style="36" customWidth="1"/>
    <col min="9731" max="9731" width="15.77734375" style="36" customWidth="1"/>
    <col min="9732" max="9737" width="13.77734375" style="36" customWidth="1"/>
    <col min="9738" max="9738" width="20.77734375" style="36" customWidth="1"/>
    <col min="9739" max="9739" width="5.77734375" style="36" customWidth="1"/>
    <col min="9740" max="9984" width="8.77734375" style="36"/>
    <col min="9985" max="9985" width="30.77734375" style="36" customWidth="1"/>
    <col min="9986" max="9986" width="9.77734375" style="36" customWidth="1"/>
    <col min="9987" max="9987" width="15.77734375" style="36" customWidth="1"/>
    <col min="9988" max="9993" width="13.77734375" style="36" customWidth="1"/>
    <col min="9994" max="9994" width="20.77734375" style="36" customWidth="1"/>
    <col min="9995" max="9995" width="5.77734375" style="36" customWidth="1"/>
    <col min="9996" max="10240" width="8.77734375" style="36"/>
    <col min="10241" max="10241" width="30.77734375" style="36" customWidth="1"/>
    <col min="10242" max="10242" width="9.77734375" style="36" customWidth="1"/>
    <col min="10243" max="10243" width="15.77734375" style="36" customWidth="1"/>
    <col min="10244" max="10249" width="13.77734375" style="36" customWidth="1"/>
    <col min="10250" max="10250" width="20.77734375" style="36" customWidth="1"/>
    <col min="10251" max="10251" width="5.77734375" style="36" customWidth="1"/>
    <col min="10252" max="10496" width="8.77734375" style="36"/>
    <col min="10497" max="10497" width="30.77734375" style="36" customWidth="1"/>
    <col min="10498" max="10498" width="9.77734375" style="36" customWidth="1"/>
    <col min="10499" max="10499" width="15.77734375" style="36" customWidth="1"/>
    <col min="10500" max="10505" width="13.77734375" style="36" customWidth="1"/>
    <col min="10506" max="10506" width="20.77734375" style="36" customWidth="1"/>
    <col min="10507" max="10507" width="5.77734375" style="36" customWidth="1"/>
    <col min="10508" max="10752" width="8.77734375" style="36"/>
    <col min="10753" max="10753" width="30.77734375" style="36" customWidth="1"/>
    <col min="10754" max="10754" width="9.77734375" style="36" customWidth="1"/>
    <col min="10755" max="10755" width="15.77734375" style="36" customWidth="1"/>
    <col min="10756" max="10761" width="13.77734375" style="36" customWidth="1"/>
    <col min="10762" max="10762" width="20.77734375" style="36" customWidth="1"/>
    <col min="10763" max="10763" width="5.77734375" style="36" customWidth="1"/>
    <col min="10764" max="11008" width="8.77734375" style="36"/>
    <col min="11009" max="11009" width="30.77734375" style="36" customWidth="1"/>
    <col min="11010" max="11010" width="9.77734375" style="36" customWidth="1"/>
    <col min="11011" max="11011" width="15.77734375" style="36" customWidth="1"/>
    <col min="11012" max="11017" width="13.77734375" style="36" customWidth="1"/>
    <col min="11018" max="11018" width="20.77734375" style="36" customWidth="1"/>
    <col min="11019" max="11019" width="5.77734375" style="36" customWidth="1"/>
    <col min="11020" max="11264" width="8.77734375" style="36"/>
    <col min="11265" max="11265" width="30.77734375" style="36" customWidth="1"/>
    <col min="11266" max="11266" width="9.77734375" style="36" customWidth="1"/>
    <col min="11267" max="11267" width="15.77734375" style="36" customWidth="1"/>
    <col min="11268" max="11273" width="13.77734375" style="36" customWidth="1"/>
    <col min="11274" max="11274" width="20.77734375" style="36" customWidth="1"/>
    <col min="11275" max="11275" width="5.77734375" style="36" customWidth="1"/>
    <col min="11276" max="11520" width="8.77734375" style="36"/>
    <col min="11521" max="11521" width="30.77734375" style="36" customWidth="1"/>
    <col min="11522" max="11522" width="9.77734375" style="36" customWidth="1"/>
    <col min="11523" max="11523" width="15.77734375" style="36" customWidth="1"/>
    <col min="11524" max="11529" width="13.77734375" style="36" customWidth="1"/>
    <col min="11530" max="11530" width="20.77734375" style="36" customWidth="1"/>
    <col min="11531" max="11531" width="5.77734375" style="36" customWidth="1"/>
    <col min="11532" max="11776" width="8.77734375" style="36"/>
    <col min="11777" max="11777" width="30.77734375" style="36" customWidth="1"/>
    <col min="11778" max="11778" width="9.77734375" style="36" customWidth="1"/>
    <col min="11779" max="11779" width="15.77734375" style="36" customWidth="1"/>
    <col min="11780" max="11785" width="13.77734375" style="36" customWidth="1"/>
    <col min="11786" max="11786" width="20.77734375" style="36" customWidth="1"/>
    <col min="11787" max="11787" width="5.77734375" style="36" customWidth="1"/>
    <col min="11788" max="12032" width="8.77734375" style="36"/>
    <col min="12033" max="12033" width="30.77734375" style="36" customWidth="1"/>
    <col min="12034" max="12034" width="9.77734375" style="36" customWidth="1"/>
    <col min="12035" max="12035" width="15.77734375" style="36" customWidth="1"/>
    <col min="12036" max="12041" width="13.77734375" style="36" customWidth="1"/>
    <col min="12042" max="12042" width="20.77734375" style="36" customWidth="1"/>
    <col min="12043" max="12043" width="5.77734375" style="36" customWidth="1"/>
    <col min="12044" max="12288" width="8.77734375" style="36"/>
    <col min="12289" max="12289" width="30.77734375" style="36" customWidth="1"/>
    <col min="12290" max="12290" width="9.77734375" style="36" customWidth="1"/>
    <col min="12291" max="12291" width="15.77734375" style="36" customWidth="1"/>
    <col min="12292" max="12297" width="13.77734375" style="36" customWidth="1"/>
    <col min="12298" max="12298" width="20.77734375" style="36" customWidth="1"/>
    <col min="12299" max="12299" width="5.77734375" style="36" customWidth="1"/>
    <col min="12300" max="12544" width="8.77734375" style="36"/>
    <col min="12545" max="12545" width="30.77734375" style="36" customWidth="1"/>
    <col min="12546" max="12546" width="9.77734375" style="36" customWidth="1"/>
    <col min="12547" max="12547" width="15.77734375" style="36" customWidth="1"/>
    <col min="12548" max="12553" width="13.77734375" style="36" customWidth="1"/>
    <col min="12554" max="12554" width="20.77734375" style="36" customWidth="1"/>
    <col min="12555" max="12555" width="5.77734375" style="36" customWidth="1"/>
    <col min="12556" max="12800" width="8.77734375" style="36"/>
    <col min="12801" max="12801" width="30.77734375" style="36" customWidth="1"/>
    <col min="12802" max="12802" width="9.77734375" style="36" customWidth="1"/>
    <col min="12803" max="12803" width="15.77734375" style="36" customWidth="1"/>
    <col min="12804" max="12809" width="13.77734375" style="36" customWidth="1"/>
    <col min="12810" max="12810" width="20.77734375" style="36" customWidth="1"/>
    <col min="12811" max="12811" width="5.77734375" style="36" customWidth="1"/>
    <col min="12812" max="13056" width="8.77734375" style="36"/>
    <col min="13057" max="13057" width="30.77734375" style="36" customWidth="1"/>
    <col min="13058" max="13058" width="9.77734375" style="36" customWidth="1"/>
    <col min="13059" max="13059" width="15.77734375" style="36" customWidth="1"/>
    <col min="13060" max="13065" width="13.77734375" style="36" customWidth="1"/>
    <col min="13066" max="13066" width="20.77734375" style="36" customWidth="1"/>
    <col min="13067" max="13067" width="5.77734375" style="36" customWidth="1"/>
    <col min="13068" max="13312" width="8.77734375" style="36"/>
    <col min="13313" max="13313" width="30.77734375" style="36" customWidth="1"/>
    <col min="13314" max="13314" width="9.77734375" style="36" customWidth="1"/>
    <col min="13315" max="13315" width="15.77734375" style="36" customWidth="1"/>
    <col min="13316" max="13321" width="13.77734375" style="36" customWidth="1"/>
    <col min="13322" max="13322" width="20.77734375" style="36" customWidth="1"/>
    <col min="13323" max="13323" width="5.77734375" style="36" customWidth="1"/>
    <col min="13324" max="13568" width="8.77734375" style="36"/>
    <col min="13569" max="13569" width="30.77734375" style="36" customWidth="1"/>
    <col min="13570" max="13570" width="9.77734375" style="36" customWidth="1"/>
    <col min="13571" max="13571" width="15.77734375" style="36" customWidth="1"/>
    <col min="13572" max="13577" width="13.77734375" style="36" customWidth="1"/>
    <col min="13578" max="13578" width="20.77734375" style="36" customWidth="1"/>
    <col min="13579" max="13579" width="5.77734375" style="36" customWidth="1"/>
    <col min="13580" max="13824" width="8.77734375" style="36"/>
    <col min="13825" max="13825" width="30.77734375" style="36" customWidth="1"/>
    <col min="13826" max="13826" width="9.77734375" style="36" customWidth="1"/>
    <col min="13827" max="13827" width="15.77734375" style="36" customWidth="1"/>
    <col min="13828" max="13833" width="13.77734375" style="36" customWidth="1"/>
    <col min="13834" max="13834" width="20.77734375" style="36" customWidth="1"/>
    <col min="13835" max="13835" width="5.77734375" style="36" customWidth="1"/>
    <col min="13836" max="14080" width="8.77734375" style="36"/>
    <col min="14081" max="14081" width="30.77734375" style="36" customWidth="1"/>
    <col min="14082" max="14082" width="9.77734375" style="36" customWidth="1"/>
    <col min="14083" max="14083" width="15.77734375" style="36" customWidth="1"/>
    <col min="14084" max="14089" width="13.77734375" style="36" customWidth="1"/>
    <col min="14090" max="14090" width="20.77734375" style="36" customWidth="1"/>
    <col min="14091" max="14091" width="5.77734375" style="36" customWidth="1"/>
    <col min="14092" max="14336" width="8.77734375" style="36"/>
    <col min="14337" max="14337" width="30.77734375" style="36" customWidth="1"/>
    <col min="14338" max="14338" width="9.77734375" style="36" customWidth="1"/>
    <col min="14339" max="14339" width="15.77734375" style="36" customWidth="1"/>
    <col min="14340" max="14345" width="13.77734375" style="36" customWidth="1"/>
    <col min="14346" max="14346" width="20.77734375" style="36" customWidth="1"/>
    <col min="14347" max="14347" width="5.77734375" style="36" customWidth="1"/>
    <col min="14348" max="14592" width="8.77734375" style="36"/>
    <col min="14593" max="14593" width="30.77734375" style="36" customWidth="1"/>
    <col min="14594" max="14594" width="9.77734375" style="36" customWidth="1"/>
    <col min="14595" max="14595" width="15.77734375" style="36" customWidth="1"/>
    <col min="14596" max="14601" width="13.77734375" style="36" customWidth="1"/>
    <col min="14602" max="14602" width="20.77734375" style="36" customWidth="1"/>
    <col min="14603" max="14603" width="5.77734375" style="36" customWidth="1"/>
    <col min="14604" max="14848" width="8.77734375" style="36"/>
    <col min="14849" max="14849" width="30.77734375" style="36" customWidth="1"/>
    <col min="14850" max="14850" width="9.77734375" style="36" customWidth="1"/>
    <col min="14851" max="14851" width="15.77734375" style="36" customWidth="1"/>
    <col min="14852" max="14857" width="13.77734375" style="36" customWidth="1"/>
    <col min="14858" max="14858" width="20.77734375" style="36" customWidth="1"/>
    <col min="14859" max="14859" width="5.77734375" style="36" customWidth="1"/>
    <col min="14860" max="15104" width="8.77734375" style="36"/>
    <col min="15105" max="15105" width="30.77734375" style="36" customWidth="1"/>
    <col min="15106" max="15106" width="9.77734375" style="36" customWidth="1"/>
    <col min="15107" max="15107" width="15.77734375" style="36" customWidth="1"/>
    <col min="15108" max="15113" width="13.77734375" style="36" customWidth="1"/>
    <col min="15114" max="15114" width="20.77734375" style="36" customWidth="1"/>
    <col min="15115" max="15115" width="5.77734375" style="36" customWidth="1"/>
    <col min="15116" max="15360" width="8.77734375" style="36"/>
    <col min="15361" max="15361" width="30.77734375" style="36" customWidth="1"/>
    <col min="15362" max="15362" width="9.77734375" style="36" customWidth="1"/>
    <col min="15363" max="15363" width="15.77734375" style="36" customWidth="1"/>
    <col min="15364" max="15369" width="13.77734375" style="36" customWidth="1"/>
    <col min="15370" max="15370" width="20.77734375" style="36" customWidth="1"/>
    <col min="15371" max="15371" width="5.77734375" style="36" customWidth="1"/>
    <col min="15372" max="15616" width="8.77734375" style="36"/>
    <col min="15617" max="15617" width="30.77734375" style="36" customWidth="1"/>
    <col min="15618" max="15618" width="9.77734375" style="36" customWidth="1"/>
    <col min="15619" max="15619" width="15.77734375" style="36" customWidth="1"/>
    <col min="15620" max="15625" width="13.77734375" style="36" customWidth="1"/>
    <col min="15626" max="15626" width="20.77734375" style="36" customWidth="1"/>
    <col min="15627" max="15627" width="5.77734375" style="36" customWidth="1"/>
    <col min="15628" max="15872" width="8.77734375" style="36"/>
    <col min="15873" max="15873" width="30.77734375" style="36" customWidth="1"/>
    <col min="15874" max="15874" width="9.77734375" style="36" customWidth="1"/>
    <col min="15875" max="15875" width="15.77734375" style="36" customWidth="1"/>
    <col min="15876" max="15881" width="13.77734375" style="36" customWidth="1"/>
    <col min="15882" max="15882" width="20.77734375" style="36" customWidth="1"/>
    <col min="15883" max="15883" width="5.77734375" style="36" customWidth="1"/>
    <col min="15884" max="16128" width="8.77734375" style="36"/>
    <col min="16129" max="16129" width="30.77734375" style="36" customWidth="1"/>
    <col min="16130" max="16130" width="9.77734375" style="36" customWidth="1"/>
    <col min="16131" max="16131" width="15.77734375" style="36" customWidth="1"/>
    <col min="16132" max="16137" width="13.77734375" style="36" customWidth="1"/>
    <col min="16138" max="16138" width="20.77734375" style="36" customWidth="1"/>
    <col min="16139" max="16139" width="5.77734375" style="36" customWidth="1"/>
    <col min="16140" max="16384" width="8.77734375" style="36"/>
  </cols>
  <sheetData>
    <row r="1" spans="1:11" ht="30" customHeight="1">
      <c r="A1" s="113" t="s">
        <v>1314</v>
      </c>
      <c r="B1" s="113"/>
      <c r="C1" s="114"/>
      <c r="D1" s="115"/>
      <c r="E1" s="114"/>
      <c r="F1" s="114"/>
      <c r="G1" s="114"/>
      <c r="H1" s="114"/>
      <c r="I1" s="114"/>
      <c r="J1" s="114"/>
    </row>
    <row r="2" spans="1:11" s="116" customFormat="1" ht="30" customHeight="1">
      <c r="A2" s="1741" t="s">
        <v>93</v>
      </c>
      <c r="B2" s="1743" t="s">
        <v>184</v>
      </c>
      <c r="C2" s="1745" t="s">
        <v>172</v>
      </c>
      <c r="D2" s="1747" t="s">
        <v>81</v>
      </c>
      <c r="E2" s="1748"/>
      <c r="F2" s="1748"/>
      <c r="G2" s="1748"/>
      <c r="H2" s="1748"/>
      <c r="I2" s="1748"/>
      <c r="J2" s="1749" t="s">
        <v>42</v>
      </c>
      <c r="K2" s="116" t="s">
        <v>42</v>
      </c>
    </row>
    <row r="3" spans="1:11" s="116" customFormat="1" ht="30" customHeight="1" thickBot="1">
      <c r="A3" s="1742"/>
      <c r="B3" s="1744"/>
      <c r="C3" s="1746"/>
      <c r="D3" s="239" t="s">
        <v>48</v>
      </c>
      <c r="E3" s="159" t="s">
        <v>146</v>
      </c>
      <c r="F3" s="159" t="s">
        <v>139</v>
      </c>
      <c r="G3" s="159" t="s">
        <v>168</v>
      </c>
      <c r="H3" s="159" t="s">
        <v>165</v>
      </c>
      <c r="I3" s="159" t="s">
        <v>1277</v>
      </c>
      <c r="J3" s="1750"/>
    </row>
    <row r="4" spans="1:11" s="116" customFormat="1" ht="39" customHeight="1" thickTop="1">
      <c r="A4" s="192" t="s">
        <v>1288</v>
      </c>
      <c r="B4" s="193"/>
      <c r="C4" s="194"/>
      <c r="D4" s="195">
        <f>D5+D6+D10+D27+D32+D39+D45+D48</f>
        <v>54.57</v>
      </c>
      <c r="E4" s="195">
        <f t="shared" ref="E4:I4" si="0">E5+E6+E10+E27+E32+E39+E45+E48</f>
        <v>125.08</v>
      </c>
      <c r="F4" s="195">
        <f t="shared" si="0"/>
        <v>174.62</v>
      </c>
      <c r="G4" s="195">
        <f t="shared" si="0"/>
        <v>187.38</v>
      </c>
      <c r="H4" s="195">
        <f t="shared" si="0"/>
        <v>143.25</v>
      </c>
      <c r="I4" s="195">
        <f t="shared" si="0"/>
        <v>122.18</v>
      </c>
      <c r="J4" s="196"/>
    </row>
    <row r="5" spans="1:11" s="116" customFormat="1" ht="24" customHeight="1">
      <c r="A5" s="197" t="s">
        <v>1289</v>
      </c>
      <c r="B5" s="202" t="s">
        <v>1290</v>
      </c>
      <c r="C5" s="202" t="s">
        <v>1316</v>
      </c>
      <c r="D5" s="199">
        <v>1</v>
      </c>
      <c r="E5" s="199">
        <v>2.5</v>
      </c>
      <c r="F5" s="199">
        <v>2.5</v>
      </c>
      <c r="G5" s="199">
        <v>2.5</v>
      </c>
      <c r="H5" s="199">
        <v>0</v>
      </c>
      <c r="I5" s="199">
        <v>0</v>
      </c>
      <c r="J5" s="200"/>
    </row>
    <row r="6" spans="1:11" s="116" customFormat="1" ht="24" customHeight="1">
      <c r="A6" s="197" t="s">
        <v>1291</v>
      </c>
      <c r="B6" s="198"/>
      <c r="C6" s="198"/>
      <c r="D6" s="199">
        <f>SUM(D7:D9)</f>
        <v>0.84</v>
      </c>
      <c r="E6" s="199">
        <f t="shared" ref="E6:I6" si="1">SUM(E7:E9)</f>
        <v>1.2599999999999998</v>
      </c>
      <c r="F6" s="199">
        <f t="shared" si="1"/>
        <v>2.14</v>
      </c>
      <c r="G6" s="199">
        <f t="shared" si="1"/>
        <v>2.14</v>
      </c>
      <c r="H6" s="199">
        <f t="shared" si="1"/>
        <v>2.8200000000000003</v>
      </c>
      <c r="I6" s="199">
        <f t="shared" si="1"/>
        <v>0</v>
      </c>
      <c r="J6" s="200"/>
    </row>
    <row r="7" spans="1:11" s="116" customFormat="1" ht="24" customHeight="1">
      <c r="A7" s="201" t="s">
        <v>1298</v>
      </c>
      <c r="B7" s="202" t="s">
        <v>62</v>
      </c>
      <c r="C7" s="202" t="s">
        <v>1318</v>
      </c>
      <c r="D7" s="203">
        <v>0.48</v>
      </c>
      <c r="E7" s="203">
        <v>0.72</v>
      </c>
      <c r="F7" s="203">
        <v>1.22</v>
      </c>
      <c r="G7" s="203">
        <v>1.22</v>
      </c>
      <c r="H7" s="203">
        <v>1.61</v>
      </c>
      <c r="I7" s="203">
        <v>0</v>
      </c>
      <c r="J7" s="204"/>
    </row>
    <row r="8" spans="1:11" s="116" customFormat="1" ht="24" customHeight="1">
      <c r="A8" s="201" t="s">
        <v>1299</v>
      </c>
      <c r="B8" s="202" t="s">
        <v>62</v>
      </c>
      <c r="C8" s="202" t="s">
        <v>1318</v>
      </c>
      <c r="D8" s="203">
        <v>0.12</v>
      </c>
      <c r="E8" s="203">
        <v>0.18</v>
      </c>
      <c r="F8" s="203">
        <v>0.31</v>
      </c>
      <c r="G8" s="203">
        <v>0.31</v>
      </c>
      <c r="H8" s="203">
        <v>0.4</v>
      </c>
      <c r="I8" s="203">
        <v>0</v>
      </c>
      <c r="J8" s="204"/>
    </row>
    <row r="9" spans="1:11" s="116" customFormat="1" ht="24" customHeight="1">
      <c r="A9" s="201" t="s">
        <v>1300</v>
      </c>
      <c r="B9" s="202" t="s">
        <v>62</v>
      </c>
      <c r="C9" s="202" t="s">
        <v>1318</v>
      </c>
      <c r="D9" s="203">
        <v>0.24</v>
      </c>
      <c r="E9" s="203">
        <v>0.36</v>
      </c>
      <c r="F9" s="203">
        <v>0.61</v>
      </c>
      <c r="G9" s="203">
        <v>0.61</v>
      </c>
      <c r="H9" s="203">
        <v>0.81</v>
      </c>
      <c r="I9" s="203">
        <v>0</v>
      </c>
      <c r="J9" s="204"/>
    </row>
    <row r="10" spans="1:11" s="116" customFormat="1" ht="24" customHeight="1">
      <c r="A10" s="197" t="s">
        <v>1292</v>
      </c>
      <c r="B10" s="198"/>
      <c r="C10" s="198"/>
      <c r="D10" s="199">
        <f>SUM(D11:D12,D16)</f>
        <v>31.95</v>
      </c>
      <c r="E10" s="199">
        <f t="shared" ref="E10:I10" si="2">SUM(E11:E12,E16)</f>
        <v>60.69</v>
      </c>
      <c r="F10" s="199">
        <f t="shared" si="2"/>
        <v>108.85</v>
      </c>
      <c r="G10" s="199">
        <f t="shared" si="2"/>
        <v>106.03</v>
      </c>
      <c r="H10" s="199">
        <f t="shared" si="2"/>
        <v>70.679999999999993</v>
      </c>
      <c r="I10" s="199">
        <f t="shared" si="2"/>
        <v>53.930000000000007</v>
      </c>
      <c r="J10" s="200"/>
    </row>
    <row r="11" spans="1:11" s="116" customFormat="1" ht="24" customHeight="1">
      <c r="A11" s="201" t="s">
        <v>1293</v>
      </c>
      <c r="B11" s="202" t="s">
        <v>1312</v>
      </c>
      <c r="C11" s="202" t="s">
        <v>1317</v>
      </c>
      <c r="D11" s="203">
        <v>1.35</v>
      </c>
      <c r="E11" s="203">
        <v>2.1800000000000002</v>
      </c>
      <c r="F11" s="203">
        <v>2.65</v>
      </c>
      <c r="G11" s="203">
        <v>3.1</v>
      </c>
      <c r="H11" s="203">
        <v>1.98</v>
      </c>
      <c r="I11" s="203">
        <v>1.43</v>
      </c>
      <c r="J11" s="204"/>
    </row>
    <row r="12" spans="1:11" s="116" customFormat="1" ht="24" customHeight="1">
      <c r="A12" s="201" t="s">
        <v>1294</v>
      </c>
      <c r="B12" s="202"/>
      <c r="C12" s="202"/>
      <c r="D12" s="203">
        <f>SUM(D13:D15)</f>
        <v>3.52</v>
      </c>
      <c r="E12" s="203">
        <f>SUM(E13:E15)</f>
        <v>7.82</v>
      </c>
      <c r="F12" s="203">
        <f t="shared" ref="F12:H12" si="3">SUM(F13:F15)</f>
        <v>11.41</v>
      </c>
      <c r="G12" s="203">
        <f t="shared" si="3"/>
        <v>11.01</v>
      </c>
      <c r="H12" s="203">
        <f t="shared" si="3"/>
        <v>9.01</v>
      </c>
      <c r="I12" s="203">
        <f>SUM(I13:I15)</f>
        <v>2.38</v>
      </c>
      <c r="J12" s="204"/>
    </row>
    <row r="13" spans="1:11" s="116" customFormat="1" ht="24" customHeight="1">
      <c r="A13" s="210" t="s">
        <v>1295</v>
      </c>
      <c r="B13" s="202" t="s">
        <v>62</v>
      </c>
      <c r="C13" s="202" t="s">
        <v>1318</v>
      </c>
      <c r="D13" s="203">
        <v>0.96</v>
      </c>
      <c r="E13" s="203">
        <v>1.44</v>
      </c>
      <c r="F13" s="203">
        <v>3.21</v>
      </c>
      <c r="G13" s="203">
        <v>3.61</v>
      </c>
      <c r="H13" s="203">
        <v>4.01</v>
      </c>
      <c r="I13" s="203">
        <v>0</v>
      </c>
      <c r="J13" s="204"/>
    </row>
    <row r="14" spans="1:11" s="116" customFormat="1" ht="24" customHeight="1">
      <c r="A14" s="210" t="s">
        <v>1296</v>
      </c>
      <c r="B14" s="202" t="s">
        <v>62</v>
      </c>
      <c r="C14" s="202" t="s">
        <v>1318</v>
      </c>
      <c r="D14" s="203">
        <v>1.66</v>
      </c>
      <c r="E14" s="203">
        <v>2.88</v>
      </c>
      <c r="F14" s="203">
        <v>4.4000000000000004</v>
      </c>
      <c r="G14" s="203">
        <v>4.4000000000000004</v>
      </c>
      <c r="H14" s="203">
        <v>3.3</v>
      </c>
      <c r="I14" s="203">
        <v>1.38</v>
      </c>
      <c r="J14" s="204"/>
    </row>
    <row r="15" spans="1:11" s="116" customFormat="1" ht="24" customHeight="1">
      <c r="A15" s="210" t="s">
        <v>1297</v>
      </c>
      <c r="B15" s="202" t="s">
        <v>62</v>
      </c>
      <c r="C15" s="202" t="s">
        <v>1318</v>
      </c>
      <c r="D15" s="203">
        <v>0.9</v>
      </c>
      <c r="E15" s="203">
        <v>3.5</v>
      </c>
      <c r="F15" s="203">
        <v>3.8</v>
      </c>
      <c r="G15" s="203">
        <v>3</v>
      </c>
      <c r="H15" s="203">
        <v>1.7</v>
      </c>
      <c r="I15" s="203">
        <v>1</v>
      </c>
      <c r="J15" s="204"/>
    </row>
    <row r="16" spans="1:11" s="116" customFormat="1" ht="24" customHeight="1">
      <c r="A16" s="201" t="s">
        <v>1301</v>
      </c>
      <c r="B16" s="198"/>
      <c r="C16" s="198"/>
      <c r="D16" s="203">
        <f>SUM(D17:D26)</f>
        <v>27.08</v>
      </c>
      <c r="E16" s="203">
        <f>SUM(E17:E26)</f>
        <v>50.69</v>
      </c>
      <c r="F16" s="203">
        <f t="shared" ref="F16:I16" si="4">SUM(F17:F26)</f>
        <v>94.789999999999992</v>
      </c>
      <c r="G16" s="203">
        <f t="shared" si="4"/>
        <v>91.92</v>
      </c>
      <c r="H16" s="203">
        <f t="shared" si="4"/>
        <v>59.69</v>
      </c>
      <c r="I16" s="203">
        <f t="shared" si="4"/>
        <v>50.120000000000005</v>
      </c>
      <c r="J16" s="200"/>
    </row>
    <row r="17" spans="1:22" s="116" customFormat="1" ht="24" customHeight="1">
      <c r="A17" s="210" t="s">
        <v>1302</v>
      </c>
      <c r="B17" s="202" t="s">
        <v>1312</v>
      </c>
      <c r="C17" s="202" t="s">
        <v>1317</v>
      </c>
      <c r="D17" s="203">
        <v>1.35</v>
      </c>
      <c r="E17" s="203">
        <v>2.1800000000000002</v>
      </c>
      <c r="F17" s="203">
        <v>2.65</v>
      </c>
      <c r="G17" s="203">
        <v>3.1</v>
      </c>
      <c r="H17" s="203">
        <v>1.98</v>
      </c>
      <c r="I17" s="203">
        <v>1.43</v>
      </c>
      <c r="J17" s="204"/>
    </row>
    <row r="18" spans="1:22" s="116" customFormat="1" ht="24" customHeight="1">
      <c r="A18" s="210" t="s">
        <v>1303</v>
      </c>
      <c r="B18" s="202" t="s">
        <v>37</v>
      </c>
      <c r="C18" s="202" t="s">
        <v>1315</v>
      </c>
      <c r="D18" s="203">
        <v>1.38</v>
      </c>
      <c r="E18" s="203">
        <v>3.24</v>
      </c>
      <c r="F18" s="203">
        <v>4.08</v>
      </c>
      <c r="G18" s="203">
        <v>2.82</v>
      </c>
      <c r="H18" s="203">
        <v>5.64</v>
      </c>
      <c r="I18" s="203">
        <v>7.02</v>
      </c>
      <c r="J18" s="204"/>
    </row>
    <row r="19" spans="1:22" s="116" customFormat="1" ht="24" customHeight="1">
      <c r="A19" s="210" t="s">
        <v>1304</v>
      </c>
      <c r="B19" s="202" t="s">
        <v>1290</v>
      </c>
      <c r="C19" s="202" t="s">
        <v>1316</v>
      </c>
      <c r="D19" s="203">
        <v>1</v>
      </c>
      <c r="E19" s="203">
        <v>2.5</v>
      </c>
      <c r="F19" s="203">
        <v>2.5</v>
      </c>
      <c r="G19" s="203">
        <v>2.5</v>
      </c>
      <c r="H19" s="203">
        <v>0</v>
      </c>
      <c r="I19" s="203">
        <v>0</v>
      </c>
      <c r="J19" s="204"/>
    </row>
    <row r="20" spans="1:22" s="116" customFormat="1" ht="24" customHeight="1">
      <c r="A20" s="210" t="s">
        <v>1305</v>
      </c>
      <c r="B20" s="202" t="s">
        <v>1312</v>
      </c>
      <c r="C20" s="202" t="s">
        <v>191</v>
      </c>
      <c r="D20" s="203">
        <v>4.84</v>
      </c>
      <c r="E20" s="203">
        <v>9.56</v>
      </c>
      <c r="F20" s="203">
        <v>13.43</v>
      </c>
      <c r="G20" s="203">
        <v>17.18</v>
      </c>
      <c r="H20" s="203">
        <v>8.23</v>
      </c>
      <c r="I20" s="203">
        <v>4.78</v>
      </c>
      <c r="J20" s="204"/>
    </row>
    <row r="21" spans="1:22" s="116" customFormat="1" ht="24" customHeight="1">
      <c r="A21" s="210" t="s">
        <v>1306</v>
      </c>
      <c r="B21" s="202" t="s">
        <v>1312</v>
      </c>
      <c r="C21" s="202" t="s">
        <v>191</v>
      </c>
      <c r="D21" s="203">
        <v>2.2599999999999998</v>
      </c>
      <c r="E21" s="203">
        <v>4.46</v>
      </c>
      <c r="F21" s="203">
        <v>6.27</v>
      </c>
      <c r="G21" s="203">
        <v>8.02</v>
      </c>
      <c r="H21" s="203">
        <v>3.84</v>
      </c>
      <c r="I21" s="203">
        <v>2.23</v>
      </c>
      <c r="J21" s="204"/>
    </row>
    <row r="22" spans="1:22" s="116" customFormat="1" ht="24" customHeight="1">
      <c r="A22" s="210" t="s">
        <v>1307</v>
      </c>
      <c r="B22" s="202" t="s">
        <v>1313</v>
      </c>
      <c r="C22" s="202" t="s">
        <v>1319</v>
      </c>
      <c r="D22" s="203">
        <v>0</v>
      </c>
      <c r="E22" s="203">
        <v>0</v>
      </c>
      <c r="F22" s="203">
        <v>0.36</v>
      </c>
      <c r="G22" s="203">
        <v>1.8</v>
      </c>
      <c r="H22" s="203">
        <v>0</v>
      </c>
      <c r="I22" s="203">
        <v>2.16</v>
      </c>
      <c r="J22" s="204"/>
    </row>
    <row r="23" spans="1:22" s="116" customFormat="1" ht="24" customHeight="1">
      <c r="A23" s="210" t="s">
        <v>1308</v>
      </c>
      <c r="B23" s="202" t="s">
        <v>1290</v>
      </c>
      <c r="C23" s="202" t="s">
        <v>1316</v>
      </c>
      <c r="D23" s="203">
        <v>4</v>
      </c>
      <c r="E23" s="203">
        <v>8</v>
      </c>
      <c r="F23" s="203">
        <v>15</v>
      </c>
      <c r="G23" s="203">
        <v>18.5</v>
      </c>
      <c r="H23" s="203">
        <v>11.5</v>
      </c>
      <c r="I23" s="203">
        <v>5.5</v>
      </c>
      <c r="J23" s="204"/>
      <c r="L23" s="160"/>
      <c r="M23" s="160"/>
      <c r="N23" s="160"/>
      <c r="O23" s="160"/>
    </row>
    <row r="24" spans="1:22" s="116" customFormat="1" ht="24" customHeight="1">
      <c r="A24" s="210" t="s">
        <v>1309</v>
      </c>
      <c r="B24" s="202" t="s">
        <v>1290</v>
      </c>
      <c r="C24" s="202" t="s">
        <v>1316</v>
      </c>
      <c r="D24" s="203">
        <v>12</v>
      </c>
      <c r="E24" s="203">
        <v>20</v>
      </c>
      <c r="F24" s="203">
        <v>45</v>
      </c>
      <c r="G24" s="203">
        <v>37</v>
      </c>
      <c r="H24" s="203">
        <v>23</v>
      </c>
      <c r="I24" s="203">
        <v>22</v>
      </c>
      <c r="J24" s="204" t="s">
        <v>1320</v>
      </c>
    </row>
    <row r="25" spans="1:22" s="135" customFormat="1" ht="24" customHeight="1">
      <c r="A25" s="210" t="s">
        <v>1310</v>
      </c>
      <c r="B25" s="202" t="s">
        <v>1313</v>
      </c>
      <c r="C25" s="202" t="s">
        <v>1319</v>
      </c>
      <c r="D25" s="203">
        <v>0</v>
      </c>
      <c r="E25" s="203">
        <v>0.25</v>
      </c>
      <c r="F25" s="203">
        <v>4.5</v>
      </c>
      <c r="G25" s="203">
        <v>0</v>
      </c>
      <c r="H25" s="203">
        <v>4.5</v>
      </c>
      <c r="I25" s="203">
        <v>4.5</v>
      </c>
      <c r="J25" s="205"/>
      <c r="O25" s="136"/>
      <c r="P25" s="136"/>
      <c r="Q25" s="137"/>
      <c r="R25" s="137"/>
      <c r="S25" s="137"/>
      <c r="T25" s="137"/>
      <c r="U25" s="137"/>
      <c r="V25" s="137"/>
    </row>
    <row r="26" spans="1:22" s="116" customFormat="1" ht="24" customHeight="1">
      <c r="A26" s="210" t="s">
        <v>1311</v>
      </c>
      <c r="B26" s="202" t="s">
        <v>1290</v>
      </c>
      <c r="C26" s="202" t="s">
        <v>1316</v>
      </c>
      <c r="D26" s="203">
        <v>0.25</v>
      </c>
      <c r="E26" s="203">
        <v>0.5</v>
      </c>
      <c r="F26" s="203">
        <v>1</v>
      </c>
      <c r="G26" s="203">
        <v>1</v>
      </c>
      <c r="H26" s="203">
        <v>1</v>
      </c>
      <c r="I26" s="203">
        <v>0.5</v>
      </c>
      <c r="J26" s="204"/>
      <c r="O26" s="133"/>
      <c r="P26" s="133"/>
      <c r="Q26" s="134"/>
      <c r="R26" s="134"/>
      <c r="S26" s="134"/>
      <c r="T26" s="134"/>
      <c r="U26" s="134"/>
      <c r="V26" s="134"/>
    </row>
    <row r="27" spans="1:22" s="116" customFormat="1" ht="24" customHeight="1">
      <c r="A27" s="197" t="s">
        <v>1321</v>
      </c>
      <c r="B27" s="202"/>
      <c r="C27" s="202"/>
      <c r="D27" s="199">
        <f>SUM(D28:D31)</f>
        <v>1.9999999999999998</v>
      </c>
      <c r="E27" s="199">
        <f t="shared" ref="E27:I27" si="5">SUM(E28:E31)</f>
        <v>3.9999999999999996</v>
      </c>
      <c r="F27" s="199">
        <f t="shared" si="5"/>
        <v>3</v>
      </c>
      <c r="G27" s="199">
        <f t="shared" si="5"/>
        <v>5.51</v>
      </c>
      <c r="H27" s="199">
        <f t="shared" si="5"/>
        <v>2.5</v>
      </c>
      <c r="I27" s="199">
        <f t="shared" si="5"/>
        <v>2.5</v>
      </c>
      <c r="J27" s="204"/>
      <c r="O27" s="133"/>
      <c r="P27" s="133"/>
      <c r="Q27" s="134"/>
      <c r="R27" s="134"/>
      <c r="S27" s="134"/>
      <c r="T27" s="134"/>
      <c r="U27" s="134"/>
      <c r="V27" s="134"/>
    </row>
    <row r="28" spans="1:22" s="116" customFormat="1" ht="24" customHeight="1">
      <c r="A28" s="201" t="s">
        <v>1322</v>
      </c>
      <c r="B28" s="202" t="s">
        <v>62</v>
      </c>
      <c r="C28" s="202" t="s">
        <v>1318</v>
      </c>
      <c r="D28" s="203">
        <v>0.2</v>
      </c>
      <c r="E28" s="203">
        <v>0.4</v>
      </c>
      <c r="F28" s="203">
        <v>0.3</v>
      </c>
      <c r="G28" s="203">
        <v>0.5</v>
      </c>
      <c r="H28" s="203">
        <v>0.2</v>
      </c>
      <c r="I28" s="203">
        <v>0.2</v>
      </c>
      <c r="J28" s="204"/>
      <c r="O28" s="133"/>
      <c r="P28" s="133"/>
      <c r="Q28" s="134"/>
      <c r="R28" s="134"/>
      <c r="S28" s="134"/>
      <c r="T28" s="134"/>
      <c r="U28" s="134"/>
      <c r="V28" s="134"/>
    </row>
    <row r="29" spans="1:22" s="116" customFormat="1" ht="24" customHeight="1">
      <c r="A29" s="201" t="s">
        <v>1323</v>
      </c>
      <c r="B29" s="202" t="s">
        <v>62</v>
      </c>
      <c r="C29" s="202" t="s">
        <v>1318</v>
      </c>
      <c r="D29" s="203">
        <v>0.2</v>
      </c>
      <c r="E29" s="203">
        <v>0.4</v>
      </c>
      <c r="F29" s="203">
        <v>0.3</v>
      </c>
      <c r="G29" s="203">
        <v>0.6</v>
      </c>
      <c r="H29" s="203">
        <v>0.3</v>
      </c>
      <c r="I29" s="203">
        <v>0.3</v>
      </c>
      <c r="J29" s="204"/>
      <c r="O29" s="133"/>
      <c r="P29" s="133"/>
      <c r="Q29" s="134"/>
      <c r="R29" s="134"/>
      <c r="S29" s="134"/>
      <c r="T29" s="134"/>
      <c r="U29" s="134"/>
      <c r="V29" s="134"/>
    </row>
    <row r="30" spans="1:22" s="116" customFormat="1" ht="24" customHeight="1">
      <c r="A30" s="201" t="s">
        <v>1324</v>
      </c>
      <c r="B30" s="202" t="s">
        <v>62</v>
      </c>
      <c r="C30" s="202" t="s">
        <v>1318</v>
      </c>
      <c r="D30" s="203">
        <v>1.4</v>
      </c>
      <c r="E30" s="203">
        <v>2.8</v>
      </c>
      <c r="F30" s="203">
        <v>2.1</v>
      </c>
      <c r="G30" s="203">
        <v>3.81</v>
      </c>
      <c r="H30" s="203">
        <v>1.7</v>
      </c>
      <c r="I30" s="203">
        <v>1.7</v>
      </c>
      <c r="J30" s="204"/>
      <c r="O30" s="133"/>
      <c r="P30" s="133"/>
      <c r="Q30" s="134"/>
      <c r="R30" s="134"/>
      <c r="S30" s="134"/>
      <c r="T30" s="134"/>
      <c r="U30" s="134"/>
      <c r="V30" s="134"/>
    </row>
    <row r="31" spans="1:22" s="116" customFormat="1" ht="24" customHeight="1">
      <c r="A31" s="201" t="s">
        <v>1325</v>
      </c>
      <c r="B31" s="202" t="s">
        <v>62</v>
      </c>
      <c r="C31" s="202" t="s">
        <v>1318</v>
      </c>
      <c r="D31" s="203">
        <v>0.2</v>
      </c>
      <c r="E31" s="203">
        <v>0.4</v>
      </c>
      <c r="F31" s="203">
        <v>0.3</v>
      </c>
      <c r="G31" s="203">
        <v>0.6</v>
      </c>
      <c r="H31" s="203">
        <v>0.3</v>
      </c>
      <c r="I31" s="203">
        <v>0.3</v>
      </c>
      <c r="J31" s="204"/>
      <c r="O31" s="133"/>
      <c r="P31" s="133"/>
      <c r="Q31" s="134"/>
      <c r="R31" s="134"/>
      <c r="S31" s="134"/>
      <c r="T31" s="134"/>
      <c r="U31" s="134"/>
      <c r="V31" s="134"/>
    </row>
    <row r="32" spans="1:22" s="116" customFormat="1" ht="24" customHeight="1">
      <c r="A32" s="197" t="s">
        <v>1326</v>
      </c>
      <c r="B32" s="202"/>
      <c r="C32" s="202"/>
      <c r="D32" s="199">
        <f>SUM(D33:D38)</f>
        <v>6.5</v>
      </c>
      <c r="E32" s="199">
        <f t="shared" ref="E32:I32" si="6">SUM(E33:E38)</f>
        <v>18.500000000000004</v>
      </c>
      <c r="F32" s="199">
        <f t="shared" si="6"/>
        <v>18.5</v>
      </c>
      <c r="G32" s="199">
        <f t="shared" si="6"/>
        <v>20</v>
      </c>
      <c r="H32" s="199">
        <f t="shared" si="6"/>
        <v>20</v>
      </c>
      <c r="I32" s="199">
        <f t="shared" si="6"/>
        <v>20</v>
      </c>
      <c r="J32" s="204"/>
      <c r="O32" s="133"/>
      <c r="P32" s="133"/>
      <c r="Q32" s="134"/>
      <c r="R32" s="134"/>
      <c r="S32" s="134"/>
      <c r="T32" s="134"/>
      <c r="U32" s="134"/>
      <c r="V32" s="134"/>
    </row>
    <row r="33" spans="1:22" s="116" customFormat="1" ht="24" customHeight="1">
      <c r="A33" s="201" t="s">
        <v>1327</v>
      </c>
      <c r="B33" s="202" t="s">
        <v>1312</v>
      </c>
      <c r="C33" s="202" t="s">
        <v>191</v>
      </c>
      <c r="D33" s="203">
        <v>0.5</v>
      </c>
      <c r="E33" s="203">
        <v>0.5</v>
      </c>
      <c r="F33" s="203">
        <v>0.5</v>
      </c>
      <c r="G33" s="203">
        <v>2</v>
      </c>
      <c r="H33" s="203">
        <v>2</v>
      </c>
      <c r="I33" s="203">
        <v>2</v>
      </c>
      <c r="J33" s="204"/>
      <c r="O33" s="133"/>
      <c r="P33" s="133"/>
      <c r="Q33" s="134"/>
      <c r="R33" s="134"/>
      <c r="S33" s="134"/>
      <c r="T33" s="134"/>
      <c r="U33" s="134"/>
      <c r="V33" s="134"/>
    </row>
    <row r="34" spans="1:22" s="116" customFormat="1" ht="24" customHeight="1">
      <c r="A34" s="201" t="s">
        <v>1328</v>
      </c>
      <c r="B34" s="202" t="s">
        <v>62</v>
      </c>
      <c r="C34" s="202" t="s">
        <v>1318</v>
      </c>
      <c r="D34" s="203">
        <v>1.8</v>
      </c>
      <c r="E34" s="203">
        <v>5.4</v>
      </c>
      <c r="F34" s="203">
        <v>5.4</v>
      </c>
      <c r="G34" s="203">
        <v>5.4</v>
      </c>
      <c r="H34" s="203">
        <v>5.4</v>
      </c>
      <c r="I34" s="203">
        <v>5.4</v>
      </c>
      <c r="J34" s="204"/>
      <c r="O34" s="133"/>
      <c r="P34" s="133"/>
      <c r="Q34" s="134"/>
      <c r="R34" s="134"/>
      <c r="S34" s="134"/>
      <c r="T34" s="134"/>
      <c r="U34" s="134"/>
      <c r="V34" s="134"/>
    </row>
    <row r="35" spans="1:22" s="116" customFormat="1" ht="24" customHeight="1">
      <c r="A35" s="201" t="s">
        <v>1329</v>
      </c>
      <c r="B35" s="202" t="s">
        <v>62</v>
      </c>
      <c r="C35" s="202" t="s">
        <v>1318</v>
      </c>
      <c r="D35" s="203">
        <v>1.32</v>
      </c>
      <c r="E35" s="203">
        <v>4.68</v>
      </c>
      <c r="F35" s="203">
        <v>3.8</v>
      </c>
      <c r="G35" s="203">
        <v>3.6</v>
      </c>
      <c r="H35" s="203">
        <v>3.6</v>
      </c>
      <c r="I35" s="203">
        <v>3.6</v>
      </c>
      <c r="J35" s="204"/>
      <c r="O35" s="133"/>
      <c r="P35" s="133"/>
      <c r="Q35" s="134"/>
      <c r="R35" s="134"/>
      <c r="S35" s="134"/>
      <c r="T35" s="134"/>
      <c r="U35" s="134"/>
      <c r="V35" s="134"/>
    </row>
    <row r="36" spans="1:22" s="138" customFormat="1" ht="24" customHeight="1">
      <c r="A36" s="201" t="s">
        <v>1330</v>
      </c>
      <c r="B36" s="202" t="s">
        <v>62</v>
      </c>
      <c r="C36" s="202" t="s">
        <v>1318</v>
      </c>
      <c r="D36" s="203">
        <v>0.6</v>
      </c>
      <c r="E36" s="203">
        <v>1.8</v>
      </c>
      <c r="F36" s="203">
        <v>1.8</v>
      </c>
      <c r="G36" s="203">
        <v>1.79</v>
      </c>
      <c r="H36" s="203">
        <v>1.39</v>
      </c>
      <c r="I36" s="203">
        <v>0.9</v>
      </c>
      <c r="J36" s="204"/>
      <c r="O36" s="139"/>
      <c r="P36" s="139"/>
      <c r="Q36" s="140"/>
      <c r="R36" s="140"/>
      <c r="S36" s="140"/>
      <c r="T36" s="140"/>
      <c r="U36" s="140"/>
      <c r="V36" s="140"/>
    </row>
    <row r="37" spans="1:22" s="138" customFormat="1" ht="24" customHeight="1">
      <c r="A37" s="201" t="s">
        <v>1331</v>
      </c>
      <c r="B37" s="202" t="s">
        <v>62</v>
      </c>
      <c r="C37" s="202" t="s">
        <v>1318</v>
      </c>
      <c r="D37" s="203">
        <v>1.32</v>
      </c>
      <c r="E37" s="203">
        <v>4.68</v>
      </c>
      <c r="F37" s="203">
        <v>3.79</v>
      </c>
      <c r="G37" s="203">
        <v>3.6</v>
      </c>
      <c r="H37" s="203">
        <v>3.6</v>
      </c>
      <c r="I37" s="203">
        <v>3.6</v>
      </c>
      <c r="J37" s="204"/>
      <c r="O37" s="139"/>
      <c r="P37" s="139"/>
      <c r="Q37" s="140"/>
      <c r="R37" s="140"/>
      <c r="S37" s="140"/>
      <c r="T37" s="140"/>
      <c r="U37" s="140"/>
      <c r="V37" s="140"/>
    </row>
    <row r="38" spans="1:22" s="189" customFormat="1" ht="24" customHeight="1">
      <c r="A38" s="201" t="s">
        <v>1332</v>
      </c>
      <c r="B38" s="202" t="s">
        <v>62</v>
      </c>
      <c r="C38" s="202" t="s">
        <v>1318</v>
      </c>
      <c r="D38" s="203">
        <v>0.96</v>
      </c>
      <c r="E38" s="203">
        <v>1.44</v>
      </c>
      <c r="F38" s="203">
        <v>3.21</v>
      </c>
      <c r="G38" s="203">
        <v>3.61</v>
      </c>
      <c r="H38" s="203">
        <v>4.01</v>
      </c>
      <c r="I38" s="203">
        <v>4.5</v>
      </c>
      <c r="J38" s="209"/>
      <c r="O38" s="190"/>
      <c r="P38" s="190"/>
      <c r="Q38" s="191"/>
      <c r="R38" s="191"/>
      <c r="S38" s="191"/>
      <c r="T38" s="191"/>
      <c r="U38" s="191"/>
      <c r="V38" s="191"/>
    </row>
    <row r="39" spans="1:22" s="189" customFormat="1" ht="24" customHeight="1">
      <c r="A39" s="197" t="s">
        <v>1333</v>
      </c>
      <c r="B39" s="207"/>
      <c r="C39" s="207"/>
      <c r="D39" s="199">
        <f>SUM(D40:D44)</f>
        <v>6</v>
      </c>
      <c r="E39" s="199">
        <f t="shared" ref="E39:I39" si="7">SUM(E40:E44)</f>
        <v>18</v>
      </c>
      <c r="F39" s="199">
        <f t="shared" si="7"/>
        <v>18</v>
      </c>
      <c r="G39" s="199">
        <f t="shared" si="7"/>
        <v>18</v>
      </c>
      <c r="H39" s="199">
        <f t="shared" si="7"/>
        <v>18</v>
      </c>
      <c r="I39" s="199">
        <f t="shared" si="7"/>
        <v>18</v>
      </c>
      <c r="J39" s="209"/>
      <c r="O39" s="190"/>
      <c r="P39" s="190"/>
      <c r="Q39" s="191"/>
      <c r="R39" s="191"/>
      <c r="S39" s="191"/>
      <c r="T39" s="191"/>
      <c r="U39" s="191"/>
      <c r="V39" s="191"/>
    </row>
    <row r="40" spans="1:22" s="189" customFormat="1" ht="24" customHeight="1">
      <c r="A40" s="201" t="s">
        <v>1334</v>
      </c>
      <c r="B40" s="202" t="s">
        <v>62</v>
      </c>
      <c r="C40" s="202" t="s">
        <v>1318</v>
      </c>
      <c r="D40" s="203">
        <v>1.8</v>
      </c>
      <c r="E40" s="203">
        <v>5.4</v>
      </c>
      <c r="F40" s="203">
        <v>5.4</v>
      </c>
      <c r="G40" s="203">
        <v>5.4</v>
      </c>
      <c r="H40" s="203">
        <v>5.4</v>
      </c>
      <c r="I40" s="203">
        <v>5.4</v>
      </c>
      <c r="J40" s="209"/>
      <c r="O40" s="190"/>
      <c r="P40" s="190"/>
      <c r="Q40" s="191"/>
      <c r="R40" s="191"/>
      <c r="S40" s="191"/>
      <c r="T40" s="191"/>
      <c r="U40" s="191"/>
      <c r="V40" s="191"/>
    </row>
    <row r="41" spans="1:22" s="189" customFormat="1" ht="24" customHeight="1">
      <c r="A41" s="201" t="s">
        <v>1335</v>
      </c>
      <c r="B41" s="202" t="s">
        <v>62</v>
      </c>
      <c r="C41" s="202" t="s">
        <v>1318</v>
      </c>
      <c r="D41" s="203">
        <v>1.2</v>
      </c>
      <c r="E41" s="203">
        <v>3.6</v>
      </c>
      <c r="F41" s="203">
        <v>3.6</v>
      </c>
      <c r="G41" s="203">
        <v>3.6</v>
      </c>
      <c r="H41" s="203">
        <v>3.6</v>
      </c>
      <c r="I41" s="203">
        <v>3.6</v>
      </c>
      <c r="J41" s="209"/>
      <c r="O41" s="190"/>
      <c r="P41" s="190"/>
      <c r="Q41" s="191"/>
      <c r="R41" s="191"/>
      <c r="S41" s="191"/>
      <c r="T41" s="191"/>
      <c r="U41" s="191"/>
      <c r="V41" s="191"/>
    </row>
    <row r="42" spans="1:22" s="189" customFormat="1" ht="24" customHeight="1">
      <c r="A42" s="201" t="s">
        <v>1336</v>
      </c>
      <c r="B42" s="202" t="s">
        <v>62</v>
      </c>
      <c r="C42" s="202" t="s">
        <v>1318</v>
      </c>
      <c r="D42" s="203">
        <v>1.5</v>
      </c>
      <c r="E42" s="203">
        <v>4.5</v>
      </c>
      <c r="F42" s="203">
        <v>4.5</v>
      </c>
      <c r="G42" s="203">
        <v>4.5</v>
      </c>
      <c r="H42" s="203">
        <v>4.5</v>
      </c>
      <c r="I42" s="203">
        <v>4.5</v>
      </c>
      <c r="J42" s="209"/>
      <c r="M42" s="188"/>
      <c r="N42" s="188"/>
      <c r="O42" s="188"/>
      <c r="P42" s="188"/>
      <c r="Q42" s="188"/>
      <c r="R42" s="188"/>
      <c r="S42" s="191"/>
      <c r="T42" s="191"/>
      <c r="U42" s="191"/>
      <c r="V42" s="191"/>
    </row>
    <row r="43" spans="1:22" s="189" customFormat="1" ht="24" customHeight="1">
      <c r="A43" s="201" t="s">
        <v>1337</v>
      </c>
      <c r="B43" s="202" t="s">
        <v>62</v>
      </c>
      <c r="C43" s="202" t="s">
        <v>1318</v>
      </c>
      <c r="D43" s="203">
        <v>0.9</v>
      </c>
      <c r="E43" s="203">
        <v>2.7</v>
      </c>
      <c r="F43" s="203">
        <v>2.7</v>
      </c>
      <c r="G43" s="203">
        <v>2.7</v>
      </c>
      <c r="H43" s="203">
        <v>2.7</v>
      </c>
      <c r="I43" s="203">
        <v>2.7</v>
      </c>
      <c r="J43" s="209"/>
      <c r="S43" s="191"/>
      <c r="T43" s="191"/>
      <c r="U43" s="191"/>
      <c r="V43" s="191"/>
    </row>
    <row r="44" spans="1:22" s="189" customFormat="1" ht="24" customHeight="1">
      <c r="A44" s="201" t="s">
        <v>1338</v>
      </c>
      <c r="B44" s="202" t="s">
        <v>62</v>
      </c>
      <c r="C44" s="202" t="s">
        <v>1318</v>
      </c>
      <c r="D44" s="203">
        <v>0.6</v>
      </c>
      <c r="E44" s="203">
        <v>1.8</v>
      </c>
      <c r="F44" s="203">
        <v>1.8</v>
      </c>
      <c r="G44" s="203">
        <v>1.8</v>
      </c>
      <c r="H44" s="203">
        <v>1.8</v>
      </c>
      <c r="I44" s="203">
        <v>1.8</v>
      </c>
      <c r="J44" s="209"/>
      <c r="O44" s="190"/>
      <c r="P44" s="190"/>
      <c r="Q44" s="191"/>
      <c r="R44" s="191"/>
      <c r="S44" s="191"/>
      <c r="T44" s="191"/>
      <c r="U44" s="191"/>
      <c r="V44" s="191"/>
    </row>
    <row r="45" spans="1:22" s="189" customFormat="1" ht="24" customHeight="1">
      <c r="A45" s="197" t="s">
        <v>1339</v>
      </c>
      <c r="B45" s="207"/>
      <c r="C45" s="207"/>
      <c r="D45" s="199">
        <f>SUM(D46:D47)</f>
        <v>3</v>
      </c>
      <c r="E45" s="199">
        <f t="shared" ref="E45:I45" si="8">SUM(E46:E47)</f>
        <v>9</v>
      </c>
      <c r="F45" s="199">
        <f t="shared" si="8"/>
        <v>9</v>
      </c>
      <c r="G45" s="199">
        <f t="shared" si="8"/>
        <v>9</v>
      </c>
      <c r="H45" s="199">
        <f t="shared" si="8"/>
        <v>9</v>
      </c>
      <c r="I45" s="199">
        <f t="shared" si="8"/>
        <v>9</v>
      </c>
      <c r="J45" s="209"/>
      <c r="O45" s="190"/>
      <c r="P45" s="190"/>
      <c r="Q45" s="191"/>
      <c r="R45" s="191"/>
      <c r="S45" s="191"/>
      <c r="T45" s="191"/>
      <c r="U45" s="191"/>
      <c r="V45" s="191"/>
    </row>
    <row r="46" spans="1:22" s="189" customFormat="1" ht="24" customHeight="1">
      <c r="A46" s="201" t="s">
        <v>1341</v>
      </c>
      <c r="B46" s="202" t="s">
        <v>62</v>
      </c>
      <c r="C46" s="202" t="s">
        <v>1318</v>
      </c>
      <c r="D46" s="203">
        <v>1.8</v>
      </c>
      <c r="E46" s="203">
        <v>5.4</v>
      </c>
      <c r="F46" s="203">
        <v>5.4</v>
      </c>
      <c r="G46" s="203">
        <v>5.4</v>
      </c>
      <c r="H46" s="203">
        <v>5.4</v>
      </c>
      <c r="I46" s="203">
        <v>5.4</v>
      </c>
      <c r="J46" s="209"/>
      <c r="O46" s="190"/>
      <c r="P46" s="190"/>
      <c r="Q46" s="191"/>
      <c r="R46" s="191"/>
      <c r="S46" s="191"/>
      <c r="T46" s="191"/>
      <c r="U46" s="191"/>
      <c r="V46" s="191"/>
    </row>
    <row r="47" spans="1:22" s="138" customFormat="1" ht="24" customHeight="1">
      <c r="A47" s="201" t="s">
        <v>1342</v>
      </c>
      <c r="B47" s="202" t="s">
        <v>62</v>
      </c>
      <c r="C47" s="202" t="s">
        <v>1318</v>
      </c>
      <c r="D47" s="203">
        <v>1.2</v>
      </c>
      <c r="E47" s="203">
        <v>3.6</v>
      </c>
      <c r="F47" s="203">
        <v>3.6</v>
      </c>
      <c r="G47" s="203">
        <v>3.6</v>
      </c>
      <c r="H47" s="203">
        <v>3.6</v>
      </c>
      <c r="I47" s="203">
        <v>3.6</v>
      </c>
      <c r="J47" s="204"/>
      <c r="O47" s="139"/>
      <c r="P47" s="139"/>
      <c r="Q47" s="140"/>
      <c r="R47" s="140"/>
      <c r="S47" s="140"/>
      <c r="T47" s="140"/>
      <c r="U47" s="140"/>
      <c r="V47" s="140"/>
    </row>
    <row r="48" spans="1:22" s="138" customFormat="1" ht="24" customHeight="1">
      <c r="A48" s="197" t="s">
        <v>1340</v>
      </c>
      <c r="B48" s="202"/>
      <c r="C48" s="202"/>
      <c r="D48" s="199">
        <f>SUM(D49:D51)</f>
        <v>3.28</v>
      </c>
      <c r="E48" s="199">
        <f t="shared" ref="E48:I48" si="9">SUM(E49:E51)</f>
        <v>11.129999999999999</v>
      </c>
      <c r="F48" s="199">
        <f t="shared" si="9"/>
        <v>12.629999999999999</v>
      </c>
      <c r="G48" s="199">
        <f t="shared" si="9"/>
        <v>24.2</v>
      </c>
      <c r="H48" s="199">
        <f t="shared" si="9"/>
        <v>20.25</v>
      </c>
      <c r="I48" s="199">
        <f t="shared" si="9"/>
        <v>18.75</v>
      </c>
      <c r="J48" s="204"/>
      <c r="O48" s="139"/>
      <c r="P48" s="139"/>
      <c r="Q48" s="140"/>
      <c r="R48" s="140"/>
      <c r="S48" s="140"/>
      <c r="T48" s="140"/>
      <c r="U48" s="140"/>
      <c r="V48" s="140"/>
    </row>
    <row r="49" spans="1:10" s="116" customFormat="1" ht="24" customHeight="1">
      <c r="A49" s="201" t="s">
        <v>1343</v>
      </c>
      <c r="B49" s="202" t="s">
        <v>1290</v>
      </c>
      <c r="C49" s="202" t="s">
        <v>1316</v>
      </c>
      <c r="D49" s="203">
        <v>0.9</v>
      </c>
      <c r="E49" s="203">
        <v>1.5</v>
      </c>
      <c r="F49" s="203">
        <v>1.5</v>
      </c>
      <c r="G49" s="203">
        <v>1.2</v>
      </c>
      <c r="H49" s="203">
        <v>0</v>
      </c>
      <c r="I49" s="203">
        <v>0</v>
      </c>
      <c r="J49" s="204"/>
    </row>
    <row r="50" spans="1:10" s="116" customFormat="1" ht="24" customHeight="1">
      <c r="A50" s="201" t="s">
        <v>1344</v>
      </c>
      <c r="B50" s="202" t="s">
        <v>1290</v>
      </c>
      <c r="C50" s="202" t="s">
        <v>1316</v>
      </c>
      <c r="D50" s="203">
        <v>2.38</v>
      </c>
      <c r="E50" s="203">
        <v>3.88</v>
      </c>
      <c r="F50" s="203">
        <v>3.88</v>
      </c>
      <c r="G50" s="203">
        <v>3</v>
      </c>
      <c r="H50" s="203">
        <v>0</v>
      </c>
      <c r="I50" s="203">
        <v>0</v>
      </c>
      <c r="J50" s="204"/>
    </row>
    <row r="51" spans="1:10" s="116" customFormat="1" ht="24" customHeight="1">
      <c r="A51" s="201" t="s">
        <v>1345</v>
      </c>
      <c r="B51" s="202" t="s">
        <v>1290</v>
      </c>
      <c r="C51" s="202" t="s">
        <v>1316</v>
      </c>
      <c r="D51" s="203">
        <v>0</v>
      </c>
      <c r="E51" s="203">
        <v>5.75</v>
      </c>
      <c r="F51" s="203">
        <v>7.25</v>
      </c>
      <c r="G51" s="203">
        <v>20</v>
      </c>
      <c r="H51" s="203">
        <v>20.25</v>
      </c>
      <c r="I51" s="203">
        <v>18.75</v>
      </c>
      <c r="J51" s="204"/>
    </row>
  </sheetData>
  <mergeCells count="5">
    <mergeCell ref="J2:J3"/>
    <mergeCell ref="A2:A3"/>
    <mergeCell ref="B2:B3"/>
    <mergeCell ref="C2:C3"/>
    <mergeCell ref="D2:I2"/>
  </mergeCells>
  <phoneticPr fontId="181" type="noConversion"/>
  <printOptions horizontalCentered="1"/>
  <pageMargins left="0.47244094488188981" right="0.47244094488188981" top="0.78740157480314965" bottom="0.59055118110236227" header="0.39370078740157483" footer="0.39370078740157483"/>
  <pageSetup paperSize="9" scale="77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0">
    <tabColor theme="6"/>
  </sheetPr>
  <dimension ref="A1:P41"/>
  <sheetViews>
    <sheetView view="pageBreakPreview" zoomScaleNormal="100" zoomScaleSheetLayoutView="100" workbookViewId="0">
      <selection activeCell="A4" sqref="A4"/>
    </sheetView>
  </sheetViews>
  <sheetFormatPr defaultColWidth="8.88671875" defaultRowHeight="21.2" customHeight="1"/>
  <cols>
    <col min="1" max="1" width="11.21875" style="1623" customWidth="1"/>
    <col min="2" max="2" width="14.77734375" style="1623" customWidth="1"/>
    <col min="3" max="3" width="15.44140625" style="1623" customWidth="1"/>
    <col min="4" max="4" width="11.77734375" style="1623" customWidth="1"/>
    <col min="5" max="5" width="13.33203125" style="1623" customWidth="1"/>
    <col min="6" max="6" width="14.21875" style="1623" customWidth="1"/>
    <col min="7" max="7" width="3.33203125" style="1626" bestFit="1" customWidth="1"/>
    <col min="8" max="8" width="12.33203125" style="1626" bestFit="1" customWidth="1"/>
    <col min="9" max="9" width="13.33203125" style="1626" bestFit="1" customWidth="1"/>
    <col min="10" max="16384" width="8.88671875" style="1623"/>
  </cols>
  <sheetData>
    <row r="1" spans="1:16" ht="20.100000000000001" customHeight="1">
      <c r="A1" s="1620" t="s">
        <v>1372</v>
      </c>
      <c r="B1" s="1621"/>
      <c r="C1" s="1621"/>
      <c r="D1" s="1621"/>
      <c r="E1" s="1621"/>
      <c r="F1" s="1621"/>
      <c r="G1" s="1622"/>
      <c r="H1" s="1622"/>
      <c r="I1" s="1622"/>
      <c r="J1" s="1621"/>
      <c r="K1" s="1621"/>
      <c r="L1" s="1621"/>
      <c r="M1" s="1621"/>
      <c r="N1" s="1621"/>
      <c r="O1" s="1621"/>
      <c r="P1" s="1621"/>
    </row>
    <row r="2" spans="1:16" ht="8.1" customHeight="1">
      <c r="A2" s="1624"/>
      <c r="B2" s="1624"/>
      <c r="C2" s="1624"/>
      <c r="D2" s="1624"/>
      <c r="E2" s="1624"/>
      <c r="F2" s="1624"/>
      <c r="G2" s="1625"/>
    </row>
    <row r="3" spans="1:16" ht="20.100000000000001" customHeight="1">
      <c r="A3" s="1627" t="s">
        <v>1888</v>
      </c>
      <c r="B3" s="1624"/>
      <c r="C3" s="1624"/>
      <c r="D3" s="1624"/>
      <c r="E3" s="1624"/>
      <c r="F3" s="1628">
        <f>E16+E21-20000</f>
        <v>1534000</v>
      </c>
      <c r="G3" s="1625" t="s">
        <v>1373</v>
      </c>
      <c r="H3" s="1629"/>
      <c r="I3" s="1629"/>
    </row>
    <row r="4" spans="1:16" ht="20.100000000000001" customHeight="1">
      <c r="A4" s="1624"/>
      <c r="B4" s="1624"/>
      <c r="C4" s="1624"/>
      <c r="D4" s="1624"/>
      <c r="E4" s="1630"/>
      <c r="F4" s="1631"/>
      <c r="G4" s="1630"/>
      <c r="I4" s="1629"/>
    </row>
    <row r="5" spans="1:16" ht="20.100000000000001" customHeight="1">
      <c r="A5" s="1632" t="s">
        <v>1374</v>
      </c>
      <c r="B5" s="1624"/>
      <c r="C5" s="1624"/>
      <c r="D5" s="1624"/>
      <c r="E5" s="1624"/>
      <c r="F5" s="1624"/>
      <c r="G5" s="1625"/>
    </row>
    <row r="6" spans="1:16" ht="19.5" customHeight="1">
      <c r="A6" s="1624"/>
      <c r="B6" s="1624"/>
      <c r="C6" s="1624"/>
      <c r="D6" s="1624"/>
      <c r="E6" s="1624"/>
      <c r="F6" s="1624"/>
      <c r="G6" s="1625"/>
    </row>
    <row r="7" spans="1:16" ht="20.100000000000001" customHeight="1">
      <c r="A7" s="1633" t="s">
        <v>1375</v>
      </c>
      <c r="B7" s="1633" t="s">
        <v>1376</v>
      </c>
      <c r="C7" s="1633" t="s">
        <v>1377</v>
      </c>
      <c r="D7" s="1633" t="s">
        <v>1378</v>
      </c>
      <c r="E7" s="1633" t="s">
        <v>1379</v>
      </c>
      <c r="F7" s="1633" t="s">
        <v>1380</v>
      </c>
      <c r="G7" s="1625"/>
    </row>
    <row r="8" spans="1:16" ht="20.100000000000001" customHeight="1">
      <c r="A8" s="1633" t="s">
        <v>1381</v>
      </c>
      <c r="B8" s="1634">
        <v>25000</v>
      </c>
      <c r="C8" s="1634">
        <f>50000*0</f>
        <v>0</v>
      </c>
      <c r="D8" s="1634">
        <f>25000</f>
        <v>25000</v>
      </c>
      <c r="E8" s="1635">
        <v>44000</v>
      </c>
      <c r="F8" s="1634">
        <f>SUM(B8:E8)</f>
        <v>94000</v>
      </c>
      <c r="G8" s="1625"/>
    </row>
    <row r="9" spans="1:16" ht="20.100000000000001" customHeight="1">
      <c r="A9" s="1633" t="s">
        <v>1382</v>
      </c>
      <c r="B9" s="1634">
        <f>B8*2</f>
        <v>50000</v>
      </c>
      <c r="C9" s="1634">
        <v>60000</v>
      </c>
      <c r="D9" s="1634">
        <f>50000</f>
        <v>50000</v>
      </c>
      <c r="E9" s="1635">
        <v>44000</v>
      </c>
      <c r="F9" s="1634">
        <f>SUM(B9:E9)</f>
        <v>204000</v>
      </c>
      <c r="G9" s="1625"/>
    </row>
    <row r="10" spans="1:16" ht="20.100000000000001" customHeight="1">
      <c r="A10" s="1633" t="s">
        <v>1383</v>
      </c>
      <c r="B10" s="1634">
        <f>B8*3</f>
        <v>75000</v>
      </c>
      <c r="C10" s="1634">
        <f>C9*2</f>
        <v>120000</v>
      </c>
      <c r="D10" s="1634">
        <f>75000</f>
        <v>75000</v>
      </c>
      <c r="E10" s="1635">
        <v>44000</v>
      </c>
      <c r="F10" s="1634">
        <f>SUM(B10:E10)</f>
        <v>314000</v>
      </c>
      <c r="G10" s="1625"/>
    </row>
    <row r="11" spans="1:16" ht="20.100000000000001" customHeight="1">
      <c r="A11" s="1624"/>
      <c r="B11" s="1624"/>
      <c r="C11" s="1624"/>
      <c r="D11" s="1624"/>
      <c r="E11" s="1624"/>
      <c r="F11" s="1624"/>
      <c r="G11" s="1625"/>
    </row>
    <row r="12" spans="1:16" ht="20.100000000000001" customHeight="1">
      <c r="A12" s="1624"/>
      <c r="B12" s="1624"/>
      <c r="C12" s="1624"/>
      <c r="D12" s="1624"/>
      <c r="E12" s="1624"/>
      <c r="F12" s="1624"/>
      <c r="G12" s="1625"/>
    </row>
    <row r="13" spans="1:16" ht="20.100000000000001" customHeight="1">
      <c r="A13" s="1632" t="s">
        <v>1384</v>
      </c>
      <c r="B13" s="1624"/>
      <c r="C13" s="1624"/>
      <c r="D13" s="1624"/>
      <c r="E13" s="1624"/>
      <c r="F13" s="1624"/>
      <c r="G13" s="1625"/>
    </row>
    <row r="14" spans="1:16" ht="20.100000000000001" customHeight="1">
      <c r="A14" s="1624" t="s">
        <v>1385</v>
      </c>
      <c r="B14" s="1624"/>
      <c r="C14" s="1624"/>
      <c r="D14" s="1624"/>
      <c r="E14" s="1624"/>
      <c r="F14" s="1624"/>
      <c r="G14" s="1625"/>
    </row>
    <row r="15" spans="1:16" ht="20.100000000000001" customHeight="1">
      <c r="A15" s="1624" t="s">
        <v>1386</v>
      </c>
      <c r="B15" s="1624"/>
      <c r="C15" s="1624"/>
      <c r="D15" s="1624"/>
      <c r="E15" s="1624"/>
      <c r="F15" s="1624"/>
      <c r="G15" s="1625"/>
    </row>
    <row r="16" spans="1:16" ht="20.100000000000001" customHeight="1">
      <c r="A16" s="1624" t="s">
        <v>1396</v>
      </c>
      <c r="B16" s="1624"/>
      <c r="C16" s="1624"/>
      <c r="D16" s="1624"/>
      <c r="E16" s="1636">
        <f>INT(F9*1*3)</f>
        <v>612000</v>
      </c>
      <c r="F16" s="1624" t="s">
        <v>1373</v>
      </c>
      <c r="G16" s="1625"/>
    </row>
    <row r="17" spans="1:9" ht="20.100000000000001" customHeight="1">
      <c r="A17" s="1624"/>
      <c r="B17" s="1624"/>
      <c r="C17" s="1624"/>
      <c r="D17" s="1624"/>
      <c r="E17" s="1636"/>
      <c r="F17" s="1624"/>
      <c r="G17" s="1625"/>
    </row>
    <row r="18" spans="1:9" ht="20.100000000000001" customHeight="1">
      <c r="A18" s="1632" t="s">
        <v>1387</v>
      </c>
      <c r="B18" s="1624"/>
      <c r="C18" s="1624"/>
      <c r="D18" s="1624"/>
      <c r="E18" s="1624"/>
      <c r="F18" s="1624"/>
      <c r="G18" s="1625"/>
    </row>
    <row r="19" spans="1:9" ht="20.100000000000001" customHeight="1">
      <c r="A19" s="1624" t="s">
        <v>1388</v>
      </c>
      <c r="B19" s="1624"/>
      <c r="C19" s="1624"/>
      <c r="D19" s="1624"/>
      <c r="E19" s="1624"/>
      <c r="F19" s="1624"/>
      <c r="G19" s="1625"/>
    </row>
    <row r="20" spans="1:9" ht="20.100000000000001" customHeight="1">
      <c r="A20" s="1624" t="s">
        <v>1386</v>
      </c>
      <c r="B20" s="1624"/>
      <c r="C20" s="1624"/>
      <c r="D20" s="1624"/>
      <c r="E20" s="1624"/>
      <c r="F20" s="1624"/>
      <c r="G20" s="1625"/>
    </row>
    <row r="21" spans="1:9" ht="20.100000000000001" customHeight="1">
      <c r="A21" s="1624" t="s">
        <v>1397</v>
      </c>
      <c r="B21" s="1624"/>
      <c r="C21" s="1624"/>
      <c r="D21" s="1637"/>
      <c r="E21" s="1636">
        <f>INT(F10*1*3)</f>
        <v>942000</v>
      </c>
      <c r="F21" s="1624" t="s">
        <v>1373</v>
      </c>
      <c r="G21" s="1625"/>
    </row>
    <row r="22" spans="1:9" ht="20.100000000000001" customHeight="1">
      <c r="A22" s="1624"/>
      <c r="B22" s="1624"/>
      <c r="C22" s="1624"/>
      <c r="D22" s="1637"/>
      <c r="E22" s="1636"/>
      <c r="F22" s="1624"/>
      <c r="G22" s="1625"/>
    </row>
    <row r="23" spans="1:9" ht="18" customHeight="1">
      <c r="A23" s="1627" t="s">
        <v>1885</v>
      </c>
      <c r="B23" s="1624"/>
      <c r="C23" s="1624"/>
      <c r="D23" s="1624"/>
      <c r="E23" s="1624"/>
      <c r="F23" s="1628">
        <f>TRUNC(F26,-5)</f>
        <v>4900000</v>
      </c>
      <c r="G23" s="1625" t="s">
        <v>1373</v>
      </c>
      <c r="H23" s="1629"/>
      <c r="I23" s="1629"/>
    </row>
    <row r="24" spans="1:9" ht="18" customHeight="1">
      <c r="A24" s="1627"/>
      <c r="B24" s="1624"/>
      <c r="C24" s="1624"/>
      <c r="D24" s="1624"/>
      <c r="E24" s="1630"/>
      <c r="F24" s="1631"/>
      <c r="G24" s="1630"/>
      <c r="I24" s="1629"/>
    </row>
    <row r="25" spans="1:9" ht="18" customHeight="1">
      <c r="A25" s="1632" t="s">
        <v>1852</v>
      </c>
      <c r="B25" s="1624"/>
      <c r="C25" s="1624"/>
      <c r="D25" s="1624"/>
      <c r="E25" s="1624"/>
      <c r="F25" s="1624"/>
      <c r="G25" s="1625"/>
    </row>
    <row r="26" spans="1:9" ht="18" customHeight="1">
      <c r="A26" s="1624" t="s">
        <v>1853</v>
      </c>
      <c r="B26" s="1624"/>
      <c r="C26" s="1624"/>
      <c r="D26" s="1624"/>
      <c r="E26" s="1624"/>
      <c r="F26" s="1628">
        <f>SUM(F28+F30)</f>
        <v>4938000</v>
      </c>
      <c r="G26" s="1638" t="s">
        <v>1373</v>
      </c>
    </row>
    <row r="27" spans="1:9" ht="18" customHeight="1">
      <c r="A27" s="1624" t="s">
        <v>1389</v>
      </c>
      <c r="B27" s="1624"/>
      <c r="C27" s="1624"/>
      <c r="D27" s="1624"/>
      <c r="E27" s="1624"/>
      <c r="F27" s="1624"/>
      <c r="G27" s="1625"/>
    </row>
    <row r="28" spans="1:9" ht="18" customHeight="1">
      <c r="A28" s="1624" t="s">
        <v>1390</v>
      </c>
      <c r="B28" s="1624"/>
      <c r="C28" s="1624"/>
      <c r="D28" s="1637"/>
      <c r="E28" s="1624"/>
      <c r="F28" s="1637">
        <f>ROUND(((13970+180)-5920)*100*3,1)</f>
        <v>2469000</v>
      </c>
      <c r="G28" s="1625" t="s">
        <v>1373</v>
      </c>
    </row>
    <row r="29" spans="1:9" ht="18" customHeight="1">
      <c r="A29" s="1624" t="s">
        <v>1391</v>
      </c>
      <c r="B29" s="1624"/>
      <c r="C29" s="1624"/>
      <c r="D29" s="1624"/>
      <c r="E29" s="1624"/>
      <c r="F29" s="1624"/>
      <c r="G29" s="1625"/>
    </row>
    <row r="30" spans="1:9" ht="18" customHeight="1">
      <c r="A30" s="1624" t="s">
        <v>1392</v>
      </c>
      <c r="B30" s="1624"/>
      <c r="C30" s="1624"/>
      <c r="D30" s="1637"/>
      <c r="E30" s="1624"/>
      <c r="F30" s="1637">
        <f>ROUND(((13970+180)-5920)*100*3,0)</f>
        <v>2469000</v>
      </c>
      <c r="G30" s="1625" t="s">
        <v>1373</v>
      </c>
    </row>
    <row r="31" spans="1:9" ht="18" customHeight="1">
      <c r="A31" s="1617"/>
      <c r="B31" s="1617"/>
      <c r="C31" s="1617"/>
      <c r="D31" s="1618"/>
      <c r="E31" s="1619"/>
      <c r="F31" s="1617"/>
      <c r="G31" s="1625"/>
    </row>
    <row r="32" spans="1:9" ht="18" customHeight="1">
      <c r="A32" s="1627" t="s">
        <v>1886</v>
      </c>
      <c r="B32" s="1624"/>
      <c r="C32" s="1624"/>
      <c r="D32" s="1624"/>
      <c r="E32" s="1624"/>
      <c r="F32" s="1628">
        <f>F34+F35</f>
        <v>810000</v>
      </c>
      <c r="G32" s="1625" t="s">
        <v>1373</v>
      </c>
    </row>
    <row r="33" spans="1:8" ht="18" customHeight="1">
      <c r="A33" s="1639" t="s">
        <v>1393</v>
      </c>
      <c r="B33" s="1624"/>
      <c r="C33" s="1624"/>
      <c r="D33" s="1624"/>
      <c r="E33" s="1624"/>
      <c r="F33" s="1628"/>
      <c r="G33" s="1625"/>
    </row>
    <row r="34" spans="1:8" ht="18" customHeight="1">
      <c r="A34" s="1639" t="s">
        <v>1854</v>
      </c>
      <c r="B34" s="1624"/>
      <c r="C34" s="1624"/>
      <c r="D34" s="1624"/>
      <c r="E34" s="1624"/>
      <c r="F34" s="1640">
        <f>150000*3*1</f>
        <v>450000</v>
      </c>
      <c r="G34" s="1625" t="s">
        <v>1373</v>
      </c>
    </row>
    <row r="35" spans="1:8" ht="18" customHeight="1">
      <c r="A35" s="1639" t="s">
        <v>1855</v>
      </c>
      <c r="B35" s="1624"/>
      <c r="C35" s="1624"/>
      <c r="D35" s="1624"/>
      <c r="E35" s="1624"/>
      <c r="F35" s="1640">
        <f>120000*3*1</f>
        <v>360000</v>
      </c>
      <c r="G35" s="1625" t="s">
        <v>1373</v>
      </c>
      <c r="H35" s="1619"/>
    </row>
    <row r="36" spans="1:8" ht="18" customHeight="1">
      <c r="A36" s="1639"/>
      <c r="B36" s="1624"/>
      <c r="C36" s="1624"/>
      <c r="D36" s="1624"/>
      <c r="E36" s="1624"/>
      <c r="F36" s="1640"/>
      <c r="G36" s="1625"/>
      <c r="H36" s="1619"/>
    </row>
    <row r="37" spans="1:8" ht="18" customHeight="1">
      <c r="A37" s="1627" t="s">
        <v>1887</v>
      </c>
      <c r="B37" s="1624"/>
      <c r="C37" s="1624"/>
      <c r="D37" s="1624"/>
      <c r="E37" s="1624"/>
      <c r="F37" s="1628">
        <f>F39</f>
        <v>500000</v>
      </c>
      <c r="G37" s="1625" t="s">
        <v>1373</v>
      </c>
      <c r="H37" s="1619"/>
    </row>
    <row r="38" spans="1:8" ht="18" customHeight="1">
      <c r="A38" s="1639" t="s">
        <v>1395</v>
      </c>
      <c r="B38" s="1624"/>
      <c r="C38" s="1624"/>
      <c r="D38" s="1624"/>
      <c r="E38" s="1624"/>
      <c r="F38" s="1628"/>
      <c r="G38" s="1625"/>
      <c r="H38" s="1619"/>
    </row>
    <row r="39" spans="1:8" ht="18" customHeight="1">
      <c r="A39" s="1639" t="s">
        <v>1394</v>
      </c>
      <c r="B39" s="1624"/>
      <c r="C39" s="1624"/>
      <c r="D39" s="1624"/>
      <c r="E39" s="1624"/>
      <c r="F39" s="1640">
        <f>500000*1</f>
        <v>500000</v>
      </c>
      <c r="G39" s="1625" t="s">
        <v>1373</v>
      </c>
    </row>
    <row r="40" spans="1:8" ht="18" customHeight="1">
      <c r="A40" s="1639"/>
      <c r="B40" s="1624"/>
      <c r="C40" s="1624"/>
      <c r="D40" s="1624"/>
      <c r="E40" s="1624"/>
      <c r="F40" s="1640"/>
      <c r="G40" s="1625"/>
    </row>
    <row r="41" spans="1:8" ht="21.2" customHeight="1">
      <c r="F41" s="1641"/>
    </row>
  </sheetData>
  <phoneticPr fontId="181" type="noConversion"/>
  <printOptions horizontalCentered="1" gridLines="1" gridLinesSet="0"/>
  <pageMargins left="0.51181102362204722" right="0.51181102362204722" top="0.78740157480314965" bottom="0.70866141732283472" header="0.51181102362204722" footer="0.51181102362204722"/>
  <pageSetup paperSize="9" scale="91" fitToHeight="0" orientation="portrait" r:id="rId1"/>
  <headerFooter alignWithMargins="0"/>
  <rowBreaks count="1" manualBreakCount="1">
    <brk id="22" max="6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10">
    <tabColor rgb="FFFFFF00"/>
  </sheetPr>
  <dimension ref="A1:Q26"/>
  <sheetViews>
    <sheetView view="pageBreakPreview" topLeftCell="A4" zoomScaleNormal="100" zoomScaleSheetLayoutView="100" workbookViewId="0">
      <selection activeCell="N23" sqref="N23"/>
    </sheetView>
  </sheetViews>
  <sheetFormatPr defaultRowHeight="13.5"/>
  <cols>
    <col min="1" max="1" width="18.33203125" customWidth="1"/>
    <col min="2" max="5" width="10" customWidth="1"/>
    <col min="6" max="6" width="12.6640625" customWidth="1"/>
    <col min="7" max="11" width="10" customWidth="1"/>
    <col min="12" max="12" width="6.88671875" customWidth="1"/>
    <col min="13" max="13" width="13.6640625" bestFit="1" customWidth="1"/>
  </cols>
  <sheetData>
    <row r="1" spans="1:17" ht="19.899999999999999" customHeight="1">
      <c r="A1" s="365" t="s">
        <v>1952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2"/>
      <c r="N1" s="362"/>
      <c r="O1" s="362"/>
      <c r="P1" s="362"/>
      <c r="Q1" s="362"/>
    </row>
    <row r="2" spans="1:17" ht="19.899999999999999" customHeight="1">
      <c r="A2" s="367"/>
      <c r="B2" s="367"/>
      <c r="C2" s="367"/>
      <c r="D2" s="368"/>
      <c r="E2" s="368"/>
      <c r="F2" s="368"/>
      <c r="G2" s="368"/>
      <c r="H2" s="368"/>
      <c r="I2" s="368"/>
      <c r="J2" s="368"/>
      <c r="K2" s="368"/>
      <c r="L2" s="368"/>
      <c r="M2" s="290"/>
      <c r="N2" s="290"/>
      <c r="O2" s="290"/>
      <c r="P2" s="290"/>
      <c r="Q2" s="290"/>
    </row>
    <row r="3" spans="1:17" ht="40.15" customHeight="1">
      <c r="A3" s="2208" t="s">
        <v>509</v>
      </c>
      <c r="B3" s="2208"/>
      <c r="C3" s="2208"/>
      <c r="D3" s="2208"/>
      <c r="E3" s="2208"/>
      <c r="F3" s="2208"/>
      <c r="G3" s="2208"/>
      <c r="H3" s="2208"/>
      <c r="I3" s="2208"/>
      <c r="J3" s="2208"/>
      <c r="K3" s="2208"/>
      <c r="L3" s="2208"/>
      <c r="M3" s="290"/>
      <c r="N3" s="290"/>
      <c r="O3" s="290"/>
      <c r="P3" s="290"/>
      <c r="Q3" s="290"/>
    </row>
    <row r="4" spans="1:17" ht="20.25">
      <c r="A4" s="367"/>
      <c r="B4" s="367"/>
      <c r="C4" s="367"/>
      <c r="D4" s="368"/>
      <c r="E4" s="368"/>
      <c r="F4" s="368"/>
      <c r="G4" s="368"/>
      <c r="H4" s="368"/>
      <c r="I4" s="368"/>
      <c r="J4" s="368"/>
      <c r="K4" s="368"/>
      <c r="L4" s="369"/>
      <c r="M4" s="290"/>
      <c r="N4" s="290"/>
      <c r="O4" s="290"/>
      <c r="P4" s="290"/>
      <c r="Q4" s="290"/>
    </row>
    <row r="5" spans="1:17" ht="19.899999999999999" customHeight="1">
      <c r="A5" s="2209" t="s">
        <v>469</v>
      </c>
      <c r="B5" s="2211" t="s">
        <v>470</v>
      </c>
      <c r="C5" s="2212"/>
      <c r="D5" s="2211" t="s">
        <v>471</v>
      </c>
      <c r="E5" s="2212"/>
      <c r="F5" s="2211" t="s">
        <v>472</v>
      </c>
      <c r="G5" s="2212"/>
      <c r="H5" s="2211" t="s">
        <v>473</v>
      </c>
      <c r="I5" s="2212"/>
      <c r="J5" s="2211" t="s">
        <v>474</v>
      </c>
      <c r="K5" s="2212"/>
      <c r="L5" s="2213" t="s">
        <v>238</v>
      </c>
      <c r="M5" s="362"/>
      <c r="N5" s="362"/>
      <c r="O5" s="362"/>
      <c r="P5" s="362"/>
      <c r="Q5" s="362"/>
    </row>
    <row r="6" spans="1:17" ht="19.899999999999999" customHeight="1">
      <c r="A6" s="2210"/>
      <c r="B6" s="370" t="s">
        <v>475</v>
      </c>
      <c r="C6" s="370" t="s">
        <v>476</v>
      </c>
      <c r="D6" s="370" t="s">
        <v>475</v>
      </c>
      <c r="E6" s="370" t="s">
        <v>476</v>
      </c>
      <c r="F6" s="370" t="s">
        <v>475</v>
      </c>
      <c r="G6" s="370" t="s">
        <v>476</v>
      </c>
      <c r="H6" s="370" t="s">
        <v>475</v>
      </c>
      <c r="I6" s="370" t="s">
        <v>476</v>
      </c>
      <c r="J6" s="370" t="s">
        <v>475</v>
      </c>
      <c r="K6" s="370" t="s">
        <v>476</v>
      </c>
      <c r="L6" s="2210"/>
      <c r="M6" s="362"/>
      <c r="N6" s="362"/>
      <c r="O6" s="362"/>
      <c r="P6" s="362"/>
      <c r="Q6" s="362"/>
    </row>
    <row r="7" spans="1:17" ht="19.899999999999999" customHeight="1">
      <c r="A7" s="371" t="s">
        <v>477</v>
      </c>
      <c r="B7" s="372">
        <v>0.746</v>
      </c>
      <c r="C7" s="372">
        <v>0.11799999999999999</v>
      </c>
      <c r="D7" s="372">
        <v>0.72299999999999998</v>
      </c>
      <c r="E7" s="372">
        <v>0.115</v>
      </c>
      <c r="F7" s="372">
        <v>0.70099999999999996</v>
      </c>
      <c r="G7" s="372">
        <v>0.112</v>
      </c>
      <c r="H7" s="372">
        <v>0.67900000000000005</v>
      </c>
      <c r="I7" s="372">
        <v>0.108</v>
      </c>
      <c r="J7" s="372">
        <v>0.65600000000000003</v>
      </c>
      <c r="K7" s="372">
        <v>0.105</v>
      </c>
      <c r="L7" s="373"/>
      <c r="M7" s="362"/>
      <c r="N7" s="362"/>
      <c r="O7" s="362"/>
      <c r="P7" s="362"/>
      <c r="Q7" s="362"/>
    </row>
    <row r="8" spans="1:17" ht="19.899999999999999" customHeight="1">
      <c r="A8" s="365"/>
      <c r="B8" s="365"/>
      <c r="C8" s="365"/>
      <c r="D8" s="365"/>
      <c r="E8" s="365"/>
      <c r="F8" s="365"/>
      <c r="G8" s="365"/>
      <c r="H8" s="365"/>
      <c r="I8" s="365"/>
      <c r="J8" s="365"/>
      <c r="K8" s="365"/>
      <c r="L8" s="365"/>
      <c r="M8" s="362"/>
      <c r="N8" s="362"/>
      <c r="O8" s="362"/>
      <c r="P8" s="362"/>
      <c r="Q8" s="362"/>
    </row>
    <row r="9" spans="1:17" ht="19.899999999999999" customHeight="1">
      <c r="A9" s="365"/>
      <c r="B9" s="365"/>
      <c r="C9" s="365"/>
      <c r="D9" s="365"/>
      <c r="E9" s="365"/>
      <c r="F9" s="365"/>
      <c r="G9" s="365"/>
      <c r="H9" s="365"/>
      <c r="I9" s="365"/>
      <c r="J9" s="365"/>
      <c r="K9" s="365"/>
      <c r="L9" s="365"/>
      <c r="M9" s="362"/>
      <c r="N9" s="362"/>
      <c r="O9" s="362"/>
      <c r="P9" s="362"/>
      <c r="Q9" s="362"/>
    </row>
    <row r="10" spans="1:17" ht="22.15" customHeight="1">
      <c r="A10" s="374" t="s">
        <v>510</v>
      </c>
      <c r="B10" s="374"/>
      <c r="C10" s="374"/>
      <c r="D10" s="375"/>
      <c r="E10" s="374"/>
      <c r="F10" s="2205" t="e">
        <f>J21</f>
        <v>#REF!</v>
      </c>
      <c r="G10" s="2205"/>
      <c r="H10" s="374" t="s">
        <v>344</v>
      </c>
      <c r="I10" s="374"/>
      <c r="J10" s="374"/>
      <c r="K10" s="374"/>
      <c r="L10" s="374"/>
      <c r="M10" s="362"/>
      <c r="N10" s="362"/>
      <c r="O10" s="362"/>
      <c r="P10" s="362"/>
      <c r="Q10" s="362"/>
    </row>
    <row r="11" spans="1:17" ht="22.15" customHeight="1">
      <c r="A11" s="365" t="s">
        <v>478</v>
      </c>
      <c r="B11" s="365"/>
      <c r="C11" s="365"/>
      <c r="D11" s="376"/>
      <c r="E11" s="365"/>
      <c r="F11" s="2206" t="e">
        <f>내역서!I7+내역서!#REF!+내역서!#REF!+내역서!#REF!</f>
        <v>#REF!</v>
      </c>
      <c r="G11" s="2206"/>
      <c r="H11" s="365" t="s">
        <v>344</v>
      </c>
      <c r="I11" s="365"/>
      <c r="J11" s="365"/>
      <c r="K11" s="365"/>
      <c r="L11" s="365"/>
      <c r="M11" s="362"/>
      <c r="N11" s="362"/>
      <c r="O11" s="362"/>
      <c r="P11" s="362"/>
      <c r="Q11" s="362"/>
    </row>
    <row r="12" spans="1:17" ht="22.15" customHeight="1">
      <c r="A12" s="365" t="s">
        <v>479</v>
      </c>
      <c r="B12" s="365"/>
      <c r="C12" s="365"/>
      <c r="D12" s="377"/>
      <c r="E12" s="365"/>
      <c r="F12" s="365"/>
      <c r="G12" s="377"/>
      <c r="H12" s="365"/>
      <c r="I12" s="378"/>
      <c r="J12" s="378"/>
      <c r="K12" s="378"/>
      <c r="L12" s="365"/>
      <c r="M12" s="362"/>
      <c r="N12" s="362"/>
      <c r="O12" s="362"/>
      <c r="P12" s="362"/>
      <c r="Q12" s="362"/>
    </row>
    <row r="13" spans="1:17" ht="22.15" customHeight="1">
      <c r="A13" s="365"/>
      <c r="B13" s="365"/>
      <c r="C13" s="365"/>
      <c r="D13" s="379" t="s">
        <v>480</v>
      </c>
      <c r="E13" s="365"/>
      <c r="F13" s="365"/>
      <c r="G13" s="365"/>
      <c r="H13" s="365"/>
      <c r="I13" s="365"/>
      <c r="J13" s="365"/>
      <c r="K13" s="365"/>
      <c r="L13" s="365"/>
      <c r="M13" s="362"/>
      <c r="N13" s="362"/>
      <c r="O13" s="362"/>
      <c r="P13" s="362"/>
      <c r="Q13" s="362"/>
    </row>
    <row r="14" spans="1:17" ht="22.15" customHeight="1">
      <c r="A14" s="365"/>
      <c r="B14" s="365"/>
      <c r="C14" s="365"/>
      <c r="D14" s="365" t="s">
        <v>481</v>
      </c>
      <c r="E14" s="377"/>
      <c r="F14" s="377" t="s">
        <v>511</v>
      </c>
      <c r="G14" s="377"/>
      <c r="H14" s="377"/>
      <c r="I14" s="365"/>
      <c r="J14" s="376"/>
      <c r="K14" s="376" t="e">
        <f>TRUNC(M14*(N14+O14*(P14/Q14)),0)</f>
        <v>#REF!</v>
      </c>
      <c r="L14" s="365"/>
      <c r="M14" s="363" t="e">
        <f>IF(F11&lt;500000000,F11,500000000)</f>
        <v>#REF!</v>
      </c>
      <c r="N14" s="300">
        <v>7.4599999999999996E-3</v>
      </c>
      <c r="O14" s="300">
        <v>1.1800000000000001E-3</v>
      </c>
      <c r="P14" s="299">
        <f>$K$24</f>
        <v>0</v>
      </c>
      <c r="Q14" s="299">
        <v>365</v>
      </c>
    </row>
    <row r="15" spans="1:17" ht="22.15" customHeight="1">
      <c r="A15" s="365"/>
      <c r="B15" s="365"/>
      <c r="C15" s="365"/>
      <c r="D15" s="365" t="s">
        <v>512</v>
      </c>
      <c r="E15" s="377"/>
      <c r="F15" s="364" t="e">
        <f>M15</f>
        <v>#REF!</v>
      </c>
      <c r="G15" s="301" t="s">
        <v>513</v>
      </c>
      <c r="H15" s="377"/>
      <c r="I15" s="377"/>
      <c r="J15" s="376"/>
      <c r="K15" s="376" t="e">
        <f>TRUNC(M15*(N15+O15*(P15/Q15)),0)</f>
        <v>#REF!</v>
      </c>
      <c r="L15" s="365"/>
      <c r="M15" s="363" t="e">
        <f>IF(F11&lt;500000000,0,IF(F11&lt;1000000000,F11-500000000,500000000))</f>
        <v>#REF!</v>
      </c>
      <c r="N15" s="300">
        <v>7.2300000000000003E-3</v>
      </c>
      <c r="O15" s="300">
        <v>1.15E-3</v>
      </c>
      <c r="P15" s="299">
        <f t="shared" ref="P15:P18" si="0">$K$24</f>
        <v>0</v>
      </c>
      <c r="Q15" s="299">
        <v>365</v>
      </c>
    </row>
    <row r="16" spans="1:17" ht="22.15" customHeight="1">
      <c r="A16" s="365"/>
      <c r="B16" s="365"/>
      <c r="C16" s="365"/>
      <c r="D16" s="365" t="s">
        <v>514</v>
      </c>
      <c r="E16" s="377"/>
      <c r="F16" s="364" t="e">
        <f>M16</f>
        <v>#REF!</v>
      </c>
      <c r="G16" s="301" t="s">
        <v>515</v>
      </c>
      <c r="H16" s="377"/>
      <c r="I16" s="377"/>
      <c r="J16" s="376"/>
      <c r="K16" s="376" t="e">
        <f>TRUNC(M16*(N16+O16*(P16/Q16)),0)</f>
        <v>#REF!</v>
      </c>
      <c r="L16" s="365"/>
      <c r="M16" s="363" t="e">
        <f>IF(F11&lt;1000000000,0,IF(F11&lt;2000000000,F11-1000000000,1000000000))</f>
        <v>#REF!</v>
      </c>
      <c r="N16" s="300">
        <v>7.0099999999999997E-3</v>
      </c>
      <c r="O16" s="300">
        <v>1.1199999999999999E-3</v>
      </c>
      <c r="P16" s="299">
        <f t="shared" si="0"/>
        <v>0</v>
      </c>
      <c r="Q16" s="299">
        <v>365</v>
      </c>
    </row>
    <row r="17" spans="1:17" ht="22.15" customHeight="1">
      <c r="A17" s="365"/>
      <c r="B17" s="365"/>
      <c r="C17" s="365"/>
      <c r="D17" s="365" t="s">
        <v>516</v>
      </c>
      <c r="E17" s="365"/>
      <c r="F17" s="364" t="e">
        <f>M17</f>
        <v>#REF!</v>
      </c>
      <c r="G17" s="301" t="s">
        <v>517</v>
      </c>
      <c r="H17" s="376"/>
      <c r="I17" s="376"/>
      <c r="J17" s="376"/>
      <c r="K17" s="376" t="e">
        <f>TRUNC(M17*(N17+O17*(P17/Q17)),0)</f>
        <v>#REF!</v>
      </c>
      <c r="L17" s="365"/>
      <c r="M17" s="363" t="e">
        <f>IF(F11&lt;2000000000,0,IF(F11&lt;3000000000,F11-2000000000,1000000000))</f>
        <v>#REF!</v>
      </c>
      <c r="N17" s="300">
        <v>6.79E-3</v>
      </c>
      <c r="O17" s="300">
        <v>1.08E-3</v>
      </c>
      <c r="P17" s="299">
        <f t="shared" si="0"/>
        <v>0</v>
      </c>
      <c r="Q17" s="299">
        <v>365</v>
      </c>
    </row>
    <row r="18" spans="1:17" ht="22.15" customHeight="1">
      <c r="A18" s="365"/>
      <c r="B18" s="365"/>
      <c r="C18" s="365"/>
      <c r="D18" s="365" t="s">
        <v>518</v>
      </c>
      <c r="E18" s="365"/>
      <c r="F18" s="364" t="e">
        <f>M18</f>
        <v>#REF!</v>
      </c>
      <c r="G18" s="301" t="s">
        <v>519</v>
      </c>
      <c r="H18" s="376"/>
      <c r="I18" s="376"/>
      <c r="J18" s="376"/>
      <c r="K18" s="376" t="e">
        <f>TRUNC(M18*(N18+O18*(P18/Q18)),0)</f>
        <v>#REF!</v>
      </c>
      <c r="L18" s="365"/>
      <c r="M18" s="363" t="e">
        <f>IF(F11&lt;3000000000,0,IF(F11&lt;5000000000,F11-3000000000,5000000000))</f>
        <v>#REF!</v>
      </c>
      <c r="N18" s="300">
        <v>6.5599999999999999E-3</v>
      </c>
      <c r="O18" s="300">
        <v>1.0499999999999999E-3</v>
      </c>
      <c r="P18" s="299">
        <f t="shared" si="0"/>
        <v>0</v>
      </c>
      <c r="Q18" s="299">
        <v>365</v>
      </c>
    </row>
    <row r="19" spans="1:17" ht="22.15" customHeight="1">
      <c r="A19" s="365"/>
      <c r="B19" s="365"/>
      <c r="C19" s="365"/>
      <c r="D19" s="377"/>
      <c r="E19" s="365"/>
      <c r="F19" s="365"/>
      <c r="G19" s="376"/>
      <c r="H19" s="376"/>
      <c r="I19" s="376"/>
      <c r="J19" s="376"/>
      <c r="K19" s="376"/>
      <c r="L19" s="365"/>
      <c r="M19" s="299" t="e">
        <f>SUM(M14:M18)</f>
        <v>#REF!</v>
      </c>
      <c r="N19" s="300"/>
      <c r="O19" s="362"/>
      <c r="P19" s="362"/>
      <c r="Q19" s="362"/>
    </row>
    <row r="20" spans="1:17" ht="22.15" customHeight="1">
      <c r="A20" s="365"/>
      <c r="B20" s="365"/>
      <c r="C20" s="365"/>
      <c r="D20" s="377"/>
      <c r="E20" s="365"/>
      <c r="F20" s="365"/>
      <c r="G20" s="376"/>
      <c r="H20" s="376"/>
      <c r="I20" s="376"/>
      <c r="J20" s="376"/>
      <c r="K20" s="376"/>
      <c r="L20" s="365"/>
      <c r="M20" s="299"/>
      <c r="N20" s="300"/>
      <c r="O20" s="362"/>
      <c r="P20" s="362"/>
      <c r="Q20" s="362"/>
    </row>
    <row r="21" spans="1:17" ht="22.15" customHeight="1">
      <c r="A21" s="374"/>
      <c r="B21" s="2207"/>
      <c r="C21" s="2207"/>
      <c r="D21" s="374"/>
      <c r="E21" s="380" t="s">
        <v>373</v>
      </c>
      <c r="F21" s="380"/>
      <c r="G21" s="374"/>
      <c r="H21" s="374"/>
      <c r="I21" s="374"/>
      <c r="J21" s="2205" t="e">
        <f>ROUNDDOWN(SUM(K14:K19),-5)</f>
        <v>#REF!</v>
      </c>
      <c r="K21" s="2205"/>
      <c r="L21" s="374" t="s">
        <v>482</v>
      </c>
      <c r="M21" s="366"/>
      <c r="N21" s="366"/>
      <c r="O21" s="366"/>
      <c r="P21" s="366"/>
      <c r="Q21" s="366"/>
    </row>
    <row r="22" spans="1:17" ht="22.15" customHeight="1">
      <c r="A22" s="365" t="s">
        <v>483</v>
      </c>
      <c r="B22" s="365"/>
      <c r="C22" s="365"/>
      <c r="D22" s="365"/>
      <c r="E22" s="365"/>
      <c r="F22" s="365"/>
      <c r="G22" s="365"/>
      <c r="H22" s="365"/>
      <c r="I22" s="365"/>
      <c r="J22" s="365"/>
      <c r="K22" s="365"/>
      <c r="L22" s="365"/>
      <c r="M22" s="362"/>
      <c r="N22" s="362"/>
      <c r="O22" s="362"/>
      <c r="P22" s="362"/>
      <c r="Q22" s="362"/>
    </row>
    <row r="23" spans="1:17" ht="22.15" customHeight="1">
      <c r="A23" s="365" t="s">
        <v>484</v>
      </c>
      <c r="B23" s="365"/>
      <c r="C23" s="365"/>
      <c r="D23" s="381"/>
      <c r="E23" s="365"/>
      <c r="F23" s="365"/>
      <c r="G23" s="381"/>
      <c r="H23" s="381" t="s">
        <v>520</v>
      </c>
      <c r="I23" s="365">
        <v>24</v>
      </c>
      <c r="J23" s="365" t="s">
        <v>485</v>
      </c>
      <c r="K23" s="381" t="s">
        <v>486</v>
      </c>
      <c r="L23" s="381"/>
      <c r="M23" s="362"/>
      <c r="N23" s="362"/>
      <c r="O23" s="362"/>
      <c r="P23" s="362"/>
      <c r="Q23" s="362"/>
    </row>
    <row r="24" spans="1:17" ht="22.15" customHeight="1">
      <c r="A24" s="365"/>
      <c r="B24" s="365"/>
      <c r="C24" s="365"/>
      <c r="D24" s="381"/>
      <c r="E24" s="382"/>
      <c r="F24" s="365"/>
      <c r="G24" s="383"/>
      <c r="H24" s="381" t="s">
        <v>521</v>
      </c>
      <c r="I24" s="365">
        <v>18</v>
      </c>
      <c r="J24" s="365" t="s">
        <v>485</v>
      </c>
      <c r="K24" s="383">
        <v>0</v>
      </c>
      <c r="L24" s="383" t="s">
        <v>487</v>
      </c>
      <c r="M24" s="362"/>
      <c r="N24" s="362"/>
      <c r="O24" s="362"/>
      <c r="P24" s="362"/>
      <c r="Q24" s="362"/>
    </row>
    <row r="26" spans="1:17">
      <c r="B26" s="384" t="s">
        <v>522</v>
      </c>
    </row>
  </sheetData>
  <mergeCells count="12">
    <mergeCell ref="F10:G10"/>
    <mergeCell ref="F11:G11"/>
    <mergeCell ref="B21:C21"/>
    <mergeCell ref="J21:K21"/>
    <mergeCell ref="A3:L3"/>
    <mergeCell ref="A5:A6"/>
    <mergeCell ref="B5:C5"/>
    <mergeCell ref="D5:E5"/>
    <mergeCell ref="F5:G5"/>
    <mergeCell ref="H5:I5"/>
    <mergeCell ref="J5:K5"/>
    <mergeCell ref="L5:L6"/>
  </mergeCells>
  <phoneticPr fontId="181" type="noConversion"/>
  <printOptions horizontalCentered="1"/>
  <pageMargins left="0" right="0" top="0.74803149606299213" bottom="0.74803149606299213" header="0.31496062992125984" footer="0.31496062992125984"/>
  <pageSetup paperSize="9" scale="88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2">
    <tabColor rgb="FFFFFF00"/>
  </sheetPr>
  <dimension ref="A1:Q24"/>
  <sheetViews>
    <sheetView view="pageBreakPreview" zoomScale="55" zoomScaleNormal="100" zoomScaleSheetLayoutView="55" workbookViewId="0">
      <selection activeCell="K55" sqref="K55:K56"/>
    </sheetView>
  </sheetViews>
  <sheetFormatPr defaultRowHeight="13.5"/>
  <cols>
    <col min="1" max="1" width="15.6640625" customWidth="1"/>
    <col min="2" max="2" width="11.21875" customWidth="1"/>
    <col min="3" max="11" width="10.6640625" customWidth="1"/>
    <col min="12" max="12" width="7.6640625" customWidth="1"/>
    <col min="13" max="13" width="11.77734375" bestFit="1" customWidth="1"/>
  </cols>
  <sheetData>
    <row r="1" spans="1:17" ht="16.5">
      <c r="A1" s="385" t="s">
        <v>1958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</row>
    <row r="2" spans="1:17" ht="20.25">
      <c r="A2" s="288"/>
      <c r="B2" s="288"/>
      <c r="C2" s="288"/>
      <c r="D2" s="289"/>
      <c r="E2" s="289"/>
      <c r="F2" s="289"/>
      <c r="G2" s="289"/>
      <c r="H2" s="289"/>
      <c r="I2" s="289"/>
      <c r="J2" s="289"/>
      <c r="K2" s="289"/>
      <c r="L2" s="289"/>
    </row>
    <row r="3" spans="1:17" ht="31.5">
      <c r="A3" s="2216" t="s">
        <v>488</v>
      </c>
      <c r="B3" s="2216"/>
      <c r="C3" s="2216"/>
      <c r="D3" s="2216"/>
      <c r="E3" s="2216"/>
      <c r="F3" s="2216"/>
      <c r="G3" s="2216"/>
      <c r="H3" s="2216"/>
      <c r="I3" s="2216"/>
      <c r="J3" s="2216"/>
      <c r="K3" s="2216"/>
      <c r="L3" s="2216"/>
      <c r="N3" s="1668" t="s">
        <v>1953</v>
      </c>
    </row>
    <row r="4" spans="1:17" ht="20.25">
      <c r="A4" s="288"/>
      <c r="B4" s="288"/>
      <c r="C4" s="288"/>
      <c r="D4" s="289"/>
      <c r="E4" s="289"/>
      <c r="F4" s="289"/>
      <c r="G4" s="289"/>
      <c r="H4" s="289"/>
      <c r="I4" s="289"/>
      <c r="J4" s="289"/>
      <c r="K4" s="289"/>
      <c r="L4" s="291"/>
      <c r="N4" s="1667" t="s">
        <v>1954</v>
      </c>
    </row>
    <row r="5" spans="1:17" ht="25.15" customHeight="1">
      <c r="A5" s="2217" t="s">
        <v>469</v>
      </c>
      <c r="B5" s="2219" t="s">
        <v>470</v>
      </c>
      <c r="C5" s="2220"/>
      <c r="D5" s="2219" t="s">
        <v>471</v>
      </c>
      <c r="E5" s="2220"/>
      <c r="F5" s="2219" t="s">
        <v>472</v>
      </c>
      <c r="G5" s="2220"/>
      <c r="H5" s="2219" t="s">
        <v>473</v>
      </c>
      <c r="I5" s="2220"/>
      <c r="J5" s="2219" t="s">
        <v>474</v>
      </c>
      <c r="K5" s="2220"/>
      <c r="L5" s="2221" t="s">
        <v>1956</v>
      </c>
      <c r="N5" s="1667" t="s">
        <v>1955</v>
      </c>
    </row>
    <row r="6" spans="1:17" ht="25.15" customHeight="1">
      <c r="A6" s="2218"/>
      <c r="B6" s="292" t="s">
        <v>475</v>
      </c>
      <c r="C6" s="292" t="s">
        <v>476</v>
      </c>
      <c r="D6" s="292" t="s">
        <v>475</v>
      </c>
      <c r="E6" s="292" t="s">
        <v>476</v>
      </c>
      <c r="F6" s="292" t="s">
        <v>475</v>
      </c>
      <c r="G6" s="292" t="s">
        <v>476</v>
      </c>
      <c r="H6" s="292" t="s">
        <v>475</v>
      </c>
      <c r="I6" s="292" t="s">
        <v>476</v>
      </c>
      <c r="J6" s="292" t="s">
        <v>475</v>
      </c>
      <c r="K6" s="292" t="s">
        <v>476</v>
      </c>
      <c r="L6" s="2218"/>
      <c r="N6" s="1668"/>
    </row>
    <row r="7" spans="1:17" ht="40.15" customHeight="1">
      <c r="A7" s="1669" t="s">
        <v>1957</v>
      </c>
      <c r="B7" s="318">
        <v>0.60699999999999998</v>
      </c>
      <c r="C7" s="318">
        <v>9.7000000000000003E-2</v>
      </c>
      <c r="D7" s="318">
        <v>0.59</v>
      </c>
      <c r="E7" s="318">
        <v>9.4E-2</v>
      </c>
      <c r="F7" s="318">
        <v>0.57199999999999995</v>
      </c>
      <c r="G7" s="318">
        <v>9.2999999999999999E-2</v>
      </c>
      <c r="H7" s="318">
        <v>0.55400000000000005</v>
      </c>
      <c r="I7" s="318">
        <v>8.7999999999999995E-2</v>
      </c>
      <c r="J7" s="318">
        <v>0.53600000000000003</v>
      </c>
      <c r="K7" s="318">
        <v>8.5000000000000006E-2</v>
      </c>
      <c r="L7" s="1670">
        <v>2</v>
      </c>
      <c r="N7" s="1667"/>
    </row>
    <row r="8" spans="1:17" ht="18" customHeight="1">
      <c r="A8" s="287"/>
      <c r="B8" s="287"/>
      <c r="C8" s="287"/>
      <c r="D8" s="287"/>
      <c r="E8" s="287"/>
      <c r="F8" s="287"/>
      <c r="G8" s="287"/>
      <c r="H8" s="287"/>
      <c r="I8" s="287"/>
      <c r="J8" s="287"/>
      <c r="K8" s="287"/>
      <c r="L8" s="287"/>
    </row>
    <row r="9" spans="1:17" ht="18" customHeight="1">
      <c r="A9" s="293" t="s">
        <v>489</v>
      </c>
      <c r="B9" s="293"/>
      <c r="C9" s="293"/>
      <c r="D9" s="294"/>
      <c r="E9" s="293"/>
      <c r="F9" s="2214"/>
      <c r="G9" s="2214"/>
      <c r="H9" s="293"/>
      <c r="I9" s="293"/>
      <c r="J9" s="293"/>
      <c r="K9" s="293"/>
      <c r="L9" s="293"/>
    </row>
    <row r="10" spans="1:17" ht="18" customHeight="1">
      <c r="A10" s="287" t="s">
        <v>478</v>
      </c>
      <c r="B10" s="287"/>
      <c r="C10" s="287"/>
      <c r="D10" s="295"/>
      <c r="E10" s="287"/>
      <c r="F10" s="2215">
        <f>내역서!I7</f>
        <v>334651854</v>
      </c>
      <c r="G10" s="2215"/>
      <c r="H10" s="287" t="s">
        <v>344</v>
      </c>
      <c r="I10" s="287"/>
      <c r="J10" s="287"/>
      <c r="K10" s="287"/>
      <c r="L10" s="287"/>
    </row>
    <row r="11" spans="1:17" ht="18" customHeight="1">
      <c r="A11" s="287" t="s">
        <v>479</v>
      </c>
      <c r="B11" s="287"/>
      <c r="C11" s="287"/>
      <c r="D11" s="296"/>
      <c r="E11" s="287"/>
      <c r="F11" s="287"/>
      <c r="G11" s="296"/>
      <c r="H11" s="287"/>
      <c r="I11" s="297"/>
      <c r="J11" s="297"/>
      <c r="K11" s="297"/>
      <c r="L11" s="287"/>
    </row>
    <row r="12" spans="1:17" ht="18" customHeight="1">
      <c r="A12" s="287"/>
      <c r="B12" s="287"/>
      <c r="C12" s="287"/>
      <c r="D12" s="298" t="s">
        <v>480</v>
      </c>
      <c r="E12" s="287"/>
      <c r="F12" s="287"/>
      <c r="G12" s="287"/>
      <c r="H12" s="287"/>
      <c r="I12" s="287"/>
      <c r="J12" s="287"/>
      <c r="K12" s="287"/>
      <c r="L12" s="287"/>
    </row>
    <row r="13" spans="1:17" ht="18" customHeight="1">
      <c r="A13" s="287"/>
      <c r="B13" s="287"/>
      <c r="C13" s="287"/>
      <c r="D13" s="287" t="s">
        <v>481</v>
      </c>
      <c r="E13" s="319">
        <f>M13</f>
        <v>334651854</v>
      </c>
      <c r="F13" s="296" t="s">
        <v>490</v>
      </c>
      <c r="G13" s="296"/>
      <c r="H13" s="296"/>
      <c r="I13" s="287"/>
      <c r="J13" s="295"/>
      <c r="K13" s="295">
        <f>TRUNC(M13*(N13+O13*(P13/Q13)),0)</f>
        <v>2031336</v>
      </c>
      <c r="L13" s="287"/>
      <c r="M13" s="329">
        <f>IF(F10&lt;500000000,F10,500000000)</f>
        <v>334651854</v>
      </c>
      <c r="N13" s="300">
        <f>B7/100</f>
        <v>6.0699999999999999E-3</v>
      </c>
      <c r="O13" s="300">
        <f>C7/100</f>
        <v>9.7000000000000005E-4</v>
      </c>
      <c r="P13" s="299">
        <f>$I$18</f>
        <v>0</v>
      </c>
      <c r="Q13" s="299">
        <v>365</v>
      </c>
    </row>
    <row r="14" spans="1:17" ht="18" customHeight="1">
      <c r="A14" s="287"/>
      <c r="B14" s="287"/>
      <c r="C14" s="287"/>
      <c r="D14" s="287" t="s">
        <v>491</v>
      </c>
      <c r="E14" s="319">
        <f>M14</f>
        <v>0</v>
      </c>
      <c r="F14" s="296" t="s">
        <v>492</v>
      </c>
      <c r="G14" s="301"/>
      <c r="H14" s="296"/>
      <c r="I14" s="287"/>
      <c r="J14" s="295"/>
      <c r="K14" s="295">
        <f>TRUNC(M14*(N14+O14*(P14/Q14)),0)</f>
        <v>0</v>
      </c>
      <c r="L14" s="287"/>
      <c r="M14" s="329">
        <f>IF(F10&lt;500000000,0,IF(F10&lt;1000000000,F10-500000000,500000000))</f>
        <v>0</v>
      </c>
      <c r="N14" s="300">
        <f>D7/100</f>
        <v>5.8999999999999999E-3</v>
      </c>
      <c r="O14" s="300">
        <f>E7/100</f>
        <v>9.3999999999999997E-4</v>
      </c>
      <c r="P14" s="299">
        <f>$I$18</f>
        <v>0</v>
      </c>
      <c r="Q14" s="299">
        <v>365</v>
      </c>
    </row>
    <row r="15" spans="1:17" ht="18" customHeight="1">
      <c r="A15" s="287" t="s">
        <v>483</v>
      </c>
      <c r="B15" s="287"/>
      <c r="C15" s="287"/>
      <c r="D15" s="287"/>
      <c r="E15" s="287"/>
      <c r="F15" s="287"/>
      <c r="G15" s="287"/>
      <c r="H15" s="287"/>
      <c r="I15" s="287"/>
      <c r="J15" s="287"/>
      <c r="K15" s="287"/>
      <c r="L15" s="287"/>
    </row>
    <row r="16" spans="1:17" ht="18" customHeight="1">
      <c r="A16" s="287" t="s">
        <v>484</v>
      </c>
      <c r="B16" s="287"/>
      <c r="C16" s="287"/>
      <c r="D16" s="302"/>
      <c r="E16" s="287"/>
      <c r="F16" s="287"/>
      <c r="G16" s="302"/>
      <c r="H16" s="302" t="s">
        <v>1960</v>
      </c>
      <c r="I16" s="295">
        <f>I17+12</f>
        <v>24</v>
      </c>
      <c r="J16" s="287" t="s">
        <v>485</v>
      </c>
      <c r="L16" s="302"/>
      <c r="M16" s="1671" t="s">
        <v>1962</v>
      </c>
    </row>
    <row r="17" spans="1:13" ht="18" customHeight="1">
      <c r="A17" s="287"/>
      <c r="B17" s="287"/>
      <c r="C17" s="287"/>
      <c r="D17" s="302"/>
      <c r="E17" s="303"/>
      <c r="F17" s="287"/>
      <c r="G17" s="304"/>
      <c r="H17" s="302" t="s">
        <v>1961</v>
      </c>
      <c r="I17" s="295">
        <v>12</v>
      </c>
      <c r="J17" s="287" t="s">
        <v>485</v>
      </c>
      <c r="M17" s="1671" t="s">
        <v>1964</v>
      </c>
    </row>
    <row r="18" spans="1:13" ht="18" customHeight="1">
      <c r="A18" s="287"/>
      <c r="B18" s="287"/>
      <c r="C18" s="287"/>
      <c r="D18" s="302"/>
      <c r="E18" s="303"/>
      <c r="F18" s="287"/>
      <c r="G18" s="304"/>
      <c r="H18" s="302" t="s">
        <v>1963</v>
      </c>
      <c r="I18" s="295">
        <f>IF(I17-L7*12&gt;0,TRUNC((I17-L7*12)*30),0)</f>
        <v>0</v>
      </c>
      <c r="J18" s="304" t="s">
        <v>487</v>
      </c>
      <c r="K18" s="304"/>
      <c r="L18" s="304"/>
    </row>
    <row r="19" spans="1:13" ht="18" customHeight="1">
      <c r="A19" s="287"/>
      <c r="B19" s="287"/>
      <c r="C19" s="287"/>
      <c r="D19" s="302"/>
      <c r="E19" s="303"/>
      <c r="F19" s="287"/>
      <c r="G19" s="304"/>
      <c r="H19" s="302"/>
      <c r="I19" s="287"/>
      <c r="J19" s="287"/>
      <c r="K19" s="320">
        <f>ROUNDDOWN(K13+K14,-5)</f>
        <v>2000000</v>
      </c>
      <c r="L19" s="320" t="s">
        <v>351</v>
      </c>
    </row>
    <row r="20" spans="1:13" ht="18" customHeight="1">
      <c r="A20" s="305"/>
      <c r="B20" s="305"/>
      <c r="C20" s="305"/>
      <c r="D20" s="305"/>
      <c r="E20" s="305"/>
      <c r="F20" s="305"/>
      <c r="G20" s="305"/>
      <c r="H20" s="305"/>
      <c r="I20" s="305"/>
      <c r="J20" s="305"/>
      <c r="K20" s="321"/>
      <c r="L20" s="321"/>
    </row>
    <row r="21" spans="1:13" ht="18" customHeight="1">
      <c r="A21" s="322" t="s">
        <v>493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23"/>
      <c r="L21" s="323"/>
    </row>
    <row r="22" spans="1:13" ht="18" customHeight="1">
      <c r="A22" s="306"/>
      <c r="B22" s="290"/>
      <c r="C22" s="290"/>
      <c r="D22" s="290"/>
      <c r="E22" s="290"/>
      <c r="F22" s="290"/>
      <c r="G22" s="290"/>
      <c r="H22" s="290"/>
      <c r="I22" s="290"/>
      <c r="J22" s="290"/>
      <c r="K22" s="324">
        <f>ROUNDDOWN(F10*0.16/100,-5)</f>
        <v>500000</v>
      </c>
      <c r="L22" s="325" t="s">
        <v>482</v>
      </c>
    </row>
    <row r="23" spans="1:13" ht="18" customHeight="1">
      <c r="A23" s="306"/>
      <c r="B23" s="290"/>
      <c r="C23" s="290"/>
      <c r="D23" s="290"/>
      <c r="E23" s="290"/>
      <c r="F23" s="290"/>
      <c r="G23" s="290"/>
      <c r="H23" s="290"/>
      <c r="I23" s="290"/>
      <c r="J23" s="290"/>
      <c r="K23" s="323"/>
      <c r="L23" s="323"/>
    </row>
    <row r="24" spans="1:13" ht="18" customHeight="1">
      <c r="A24" s="285" t="s">
        <v>494</v>
      </c>
      <c r="B24" s="326"/>
      <c r="C24" s="326"/>
      <c r="D24" s="326"/>
      <c r="E24" s="326"/>
      <c r="F24" s="326"/>
      <c r="G24" s="326"/>
      <c r="H24" s="326"/>
      <c r="I24" s="326"/>
      <c r="J24" s="326"/>
      <c r="K24" s="327">
        <f>TRUNC(K19+K22)</f>
        <v>2500000</v>
      </c>
      <c r="L24" s="328" t="s">
        <v>351</v>
      </c>
    </row>
  </sheetData>
  <mergeCells count="10">
    <mergeCell ref="F9:G9"/>
    <mergeCell ref="F10:G10"/>
    <mergeCell ref="A3:L3"/>
    <mergeCell ref="A5:A6"/>
    <mergeCell ref="B5:C5"/>
    <mergeCell ref="D5:E5"/>
    <mergeCell ref="F5:G5"/>
    <mergeCell ref="H5:I5"/>
    <mergeCell ref="J5:K5"/>
    <mergeCell ref="L5:L6"/>
  </mergeCells>
  <phoneticPr fontId="181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95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16"/>
  <dimension ref="A1:M39"/>
  <sheetViews>
    <sheetView showGridLines="0" view="pageBreakPreview" zoomScale="85" zoomScaleNormal="100" zoomScaleSheetLayoutView="85" workbookViewId="0">
      <selection activeCell="C5" sqref="C5:C12"/>
    </sheetView>
  </sheetViews>
  <sheetFormatPr defaultColWidth="8.88671875" defaultRowHeight="13.5"/>
  <cols>
    <col min="1" max="1" width="21.88671875" style="3" customWidth="1"/>
    <col min="2" max="2" width="22.5546875" style="3" customWidth="1"/>
    <col min="3" max="3" width="28.5546875" style="3" customWidth="1"/>
    <col min="4" max="16384" width="8.88671875" style="3"/>
  </cols>
  <sheetData>
    <row r="1" spans="1:13" s="4" customFormat="1" ht="15" customHeight="1">
      <c r="A1" s="21" t="s">
        <v>1959</v>
      </c>
      <c r="B1" s="21"/>
      <c r="C1" s="21"/>
    </row>
    <row r="2" spans="1:13" ht="21" customHeight="1">
      <c r="A2" s="2222" t="s">
        <v>1988</v>
      </c>
      <c r="B2" s="2222"/>
      <c r="C2" s="2222"/>
    </row>
    <row r="3" spans="1:13" s="4" customFormat="1" ht="21" customHeight="1">
      <c r="A3" s="21"/>
      <c r="B3" s="21"/>
      <c r="C3" s="22" t="s">
        <v>82</v>
      </c>
    </row>
    <row r="4" spans="1:13" s="4" customFormat="1" ht="21" customHeight="1">
      <c r="A4" s="24" t="s">
        <v>148</v>
      </c>
      <c r="B4" s="25" t="s">
        <v>147</v>
      </c>
      <c r="C4" s="26" t="s">
        <v>163</v>
      </c>
    </row>
    <row r="5" spans="1:13" s="4" customFormat="1" ht="21" customHeight="1">
      <c r="A5" s="27" t="s">
        <v>48</v>
      </c>
      <c r="B5" s="23">
        <f>E5</f>
        <v>467217</v>
      </c>
      <c r="C5" s="2224" t="s">
        <v>1987</v>
      </c>
      <c r="E5" s="1643">
        <v>467217</v>
      </c>
    </row>
    <row r="6" spans="1:13" s="4" customFormat="1" ht="21" customHeight="1">
      <c r="A6" s="27" t="s">
        <v>140</v>
      </c>
      <c r="B6" s="23">
        <f t="shared" ref="B6:B12" si="0">E6</f>
        <v>373353</v>
      </c>
      <c r="C6" s="2225"/>
      <c r="E6" s="1643">
        <v>373353</v>
      </c>
    </row>
    <row r="7" spans="1:13" s="4" customFormat="1" ht="21" customHeight="1">
      <c r="A7" s="27" t="s">
        <v>145</v>
      </c>
      <c r="B7" s="23">
        <f t="shared" si="0"/>
        <v>310884</v>
      </c>
      <c r="C7" s="2225"/>
      <c r="D7" s="34"/>
      <c r="E7" s="1643">
        <v>310884</v>
      </c>
      <c r="F7" s="34"/>
      <c r="G7" s="34"/>
      <c r="H7" s="34"/>
      <c r="I7" s="34"/>
      <c r="J7" s="34"/>
      <c r="K7" s="34"/>
      <c r="L7" s="34"/>
      <c r="M7" s="34"/>
    </row>
    <row r="8" spans="1:13" s="4" customFormat="1" ht="21" customHeight="1">
      <c r="A8" s="27" t="s">
        <v>161</v>
      </c>
      <c r="B8" s="23">
        <f t="shared" si="0"/>
        <v>295138</v>
      </c>
      <c r="C8" s="2225"/>
      <c r="D8" s="34"/>
      <c r="E8" s="1643">
        <v>295138</v>
      </c>
      <c r="F8" s="34"/>
      <c r="G8" s="34"/>
      <c r="H8" s="34"/>
      <c r="I8" s="34"/>
      <c r="J8" s="34"/>
      <c r="K8" s="34"/>
      <c r="L8" s="34"/>
      <c r="M8" s="34"/>
    </row>
    <row r="9" spans="1:13" s="4" customFormat="1" ht="21" customHeight="1">
      <c r="A9" s="27" t="s">
        <v>159</v>
      </c>
      <c r="B9" s="23">
        <f t="shared" si="0"/>
        <v>235459</v>
      </c>
      <c r="C9" s="2225"/>
      <c r="D9" s="34"/>
      <c r="E9" s="1643">
        <v>235459</v>
      </c>
      <c r="F9" s="34"/>
      <c r="G9" s="34"/>
      <c r="H9" s="34"/>
      <c r="I9" s="34"/>
      <c r="J9" s="34"/>
      <c r="K9" s="34"/>
      <c r="L9" s="34"/>
      <c r="M9" s="34"/>
    </row>
    <row r="10" spans="1:13" s="4" customFormat="1" ht="21" customHeight="1">
      <c r="A10" s="27" t="s">
        <v>151</v>
      </c>
      <c r="B10" s="23">
        <f t="shared" si="0"/>
        <v>281075</v>
      </c>
      <c r="C10" s="2225"/>
      <c r="D10" s="34"/>
      <c r="E10" s="1643">
        <v>281075</v>
      </c>
      <c r="F10" s="34"/>
      <c r="G10" s="34"/>
      <c r="H10" s="34"/>
      <c r="I10" s="34"/>
      <c r="J10" s="34"/>
      <c r="K10" s="34"/>
      <c r="L10" s="34"/>
      <c r="M10" s="34"/>
    </row>
    <row r="11" spans="1:13" s="4" customFormat="1" ht="21" customHeight="1">
      <c r="A11" s="27" t="s">
        <v>166</v>
      </c>
      <c r="B11" s="23">
        <f t="shared" si="0"/>
        <v>250087</v>
      </c>
      <c r="C11" s="2225"/>
      <c r="D11" s="34"/>
      <c r="E11" s="1643">
        <v>250087</v>
      </c>
      <c r="F11" s="34"/>
      <c r="G11" s="34"/>
      <c r="H11" s="34"/>
      <c r="I11" s="34"/>
      <c r="J11" s="34"/>
      <c r="K11" s="34"/>
      <c r="L11" s="34"/>
      <c r="M11" s="34"/>
    </row>
    <row r="12" spans="1:13" s="4" customFormat="1" ht="21" customHeight="1">
      <c r="A12" s="28" t="s">
        <v>158</v>
      </c>
      <c r="B12" s="29">
        <f t="shared" si="0"/>
        <v>218142</v>
      </c>
      <c r="C12" s="2226"/>
      <c r="D12" s="34"/>
      <c r="E12" s="1643">
        <v>218142</v>
      </c>
      <c r="F12" s="34"/>
      <c r="G12" s="34"/>
      <c r="H12" s="34"/>
      <c r="I12" s="34"/>
      <c r="J12" s="34"/>
      <c r="K12" s="34"/>
      <c r="L12" s="34"/>
      <c r="M12" s="34"/>
    </row>
    <row r="13" spans="1:13" s="4" customFormat="1" ht="21" customHeight="1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</row>
    <row r="14" spans="1:13" ht="21" customHeight="1">
      <c r="A14" s="2222"/>
      <c r="B14" s="2222"/>
      <c r="C14" s="2222"/>
    </row>
    <row r="15" spans="1:13" s="4" customFormat="1" ht="21" customHeight="1">
      <c r="A15" s="1644"/>
      <c r="B15" s="33"/>
      <c r="C15" s="22"/>
    </row>
    <row r="16" spans="1:13" s="4" customFormat="1" ht="25.5" customHeight="1">
      <c r="A16" s="1645"/>
      <c r="B16" s="1645"/>
      <c r="C16" s="1645"/>
    </row>
    <row r="17" spans="1:3" s="4" customFormat="1" ht="25.5" customHeight="1">
      <c r="A17" s="30"/>
      <c r="B17" s="33"/>
      <c r="C17" s="2223"/>
    </row>
    <row r="18" spans="1:3" s="4" customFormat="1" ht="25.5" customHeight="1">
      <c r="A18" s="30"/>
      <c r="B18" s="33"/>
      <c r="C18" s="2223"/>
    </row>
    <row r="19" spans="1:3" s="4" customFormat="1" ht="25.5" customHeight="1">
      <c r="A19" s="30"/>
      <c r="B19" s="33"/>
      <c r="C19" s="2223"/>
    </row>
    <row r="20" spans="1:3" s="4" customFormat="1" ht="25.5" customHeight="1">
      <c r="A20" s="30"/>
      <c r="B20" s="33"/>
      <c r="C20" s="2223"/>
    </row>
    <row r="21" spans="1:3" s="4" customFormat="1" ht="25.5" customHeight="1">
      <c r="A21" s="30"/>
      <c r="B21" s="33"/>
      <c r="C21" s="2223"/>
    </row>
    <row r="22" spans="1:3" s="4" customFormat="1" ht="21" customHeight="1">
      <c r="A22" s="30"/>
      <c r="B22" s="33"/>
      <c r="C22" s="1673"/>
    </row>
    <row r="23" spans="1:3" ht="21" customHeight="1">
      <c r="A23" s="2222"/>
      <c r="B23" s="2222"/>
      <c r="C23" s="2222"/>
    </row>
    <row r="24" spans="1:3" s="4" customFormat="1" ht="21" customHeight="1">
      <c r="A24" s="30"/>
      <c r="B24" s="33"/>
      <c r="C24" s="22"/>
    </row>
    <row r="25" spans="1:3" s="4" customFormat="1" ht="21" customHeight="1">
      <c r="A25" s="1645"/>
      <c r="B25" s="1645"/>
      <c r="C25" s="1645"/>
    </row>
    <row r="26" spans="1:3" s="4" customFormat="1" ht="21" customHeight="1">
      <c r="A26" s="30"/>
      <c r="B26" s="33"/>
      <c r="C26" s="2223"/>
    </row>
    <row r="27" spans="1:3" s="4" customFormat="1" ht="21" customHeight="1">
      <c r="A27" s="30"/>
      <c r="B27" s="33"/>
      <c r="C27" s="2223"/>
    </row>
    <row r="28" spans="1:3" s="4" customFormat="1" ht="21" customHeight="1">
      <c r="A28" s="30"/>
      <c r="B28" s="33"/>
      <c r="C28" s="2223"/>
    </row>
    <row r="29" spans="1:3" s="4" customFormat="1" ht="21" customHeight="1">
      <c r="A29" s="30"/>
      <c r="B29" s="33"/>
      <c r="C29" s="2223"/>
    </row>
    <row r="30" spans="1:3" s="4" customFormat="1" ht="21" customHeight="1">
      <c r="A30" s="30"/>
      <c r="B30" s="33"/>
      <c r="C30" s="2223"/>
    </row>
    <row r="31" spans="1:3" s="4" customFormat="1" ht="21" customHeight="1">
      <c r="A31" s="30"/>
      <c r="B31" s="1674"/>
      <c r="C31" s="2223"/>
    </row>
    <row r="32" spans="1:3" ht="21" customHeight="1">
      <c r="A32" s="31"/>
      <c r="B32" s="32"/>
      <c r="C32" s="31"/>
    </row>
    <row r="33" spans="1:3" ht="25.5" customHeight="1">
      <c r="A33" s="2222"/>
      <c r="B33" s="2222"/>
      <c r="C33" s="2222"/>
    </row>
    <row r="34" spans="1:3" s="4" customFormat="1" ht="25.5" customHeight="1">
      <c r="A34" s="1644"/>
      <c r="B34" s="33"/>
      <c r="C34" s="22"/>
    </row>
    <row r="35" spans="1:3" s="4" customFormat="1" ht="27.75" customHeight="1">
      <c r="A35" s="1645"/>
      <c r="B35" s="1645"/>
      <c r="C35" s="1645"/>
    </row>
    <row r="36" spans="1:3" s="4" customFormat="1" ht="27.75" customHeight="1">
      <c r="A36" s="30"/>
      <c r="B36" s="33"/>
      <c r="C36" s="2223"/>
    </row>
    <row r="37" spans="1:3" s="4" customFormat="1" ht="27.75" customHeight="1">
      <c r="A37" s="30"/>
      <c r="B37" s="33"/>
      <c r="C37" s="2223"/>
    </row>
    <row r="38" spans="1:3" s="4" customFormat="1" ht="27.75" customHeight="1">
      <c r="A38" s="30"/>
      <c r="B38" s="33"/>
      <c r="C38" s="2223"/>
    </row>
    <row r="39" spans="1:3" s="4" customFormat="1" ht="27.75" customHeight="1">
      <c r="A39" s="30"/>
      <c r="B39" s="33"/>
      <c r="C39" s="2223"/>
    </row>
  </sheetData>
  <mergeCells count="8">
    <mergeCell ref="A33:C33"/>
    <mergeCell ref="C36:C39"/>
    <mergeCell ref="A2:C2"/>
    <mergeCell ref="A23:C23"/>
    <mergeCell ref="C26:C31"/>
    <mergeCell ref="C17:C21"/>
    <mergeCell ref="C5:C12"/>
    <mergeCell ref="A14:C14"/>
  </mergeCells>
  <phoneticPr fontId="181" type="noConversion"/>
  <printOptions horizontalCentered="1"/>
  <pageMargins left="0.74777776002883911" right="0.74777776002883911" top="0.98416668176651001" bottom="0.98416668176651001" header="0.51166665554046631" footer="0.51166665554046631"/>
  <pageSetup paperSize="9" fitToHeight="0" orientation="portrait" r:id="rId1"/>
  <rowBreaks count="1" manualBreakCount="1">
    <brk id="31" max="2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14"/>
  <dimension ref="A1:K29"/>
  <sheetViews>
    <sheetView view="pageBreakPreview" zoomScaleNormal="100" zoomScaleSheetLayoutView="100" workbookViewId="0">
      <selection activeCell="J12" sqref="J12"/>
    </sheetView>
  </sheetViews>
  <sheetFormatPr defaultColWidth="8.88671875" defaultRowHeight="13.5"/>
  <cols>
    <col min="1" max="1" width="2.77734375" style="260" customWidth="1"/>
    <col min="2" max="2" width="8.33203125" style="260" customWidth="1"/>
    <col min="3" max="3" width="12.77734375" style="260" customWidth="1"/>
    <col min="4" max="4" width="20.77734375" style="260" customWidth="1"/>
    <col min="5" max="5" width="17.6640625" style="260" customWidth="1"/>
    <col min="6" max="6" width="10.77734375" style="260" customWidth="1"/>
    <col min="7" max="7" width="5.6640625" style="261" customWidth="1"/>
    <col min="8" max="8" width="18.88671875" style="260" bestFit="1" customWidth="1"/>
    <col min="9" max="9" width="9.88671875" style="260" bestFit="1" customWidth="1"/>
    <col min="10" max="10" width="11" style="260" customWidth="1"/>
    <col min="11" max="11" width="42.21875" style="260" customWidth="1"/>
    <col min="12" max="12" width="13.109375" style="260" bestFit="1" customWidth="1"/>
    <col min="13" max="16384" width="8.88671875" style="260"/>
  </cols>
  <sheetData>
    <row r="1" spans="1:11" ht="30" customHeight="1" thickBot="1">
      <c r="A1" s="259" t="s">
        <v>398</v>
      </c>
    </row>
    <row r="2" spans="1:11" s="262" customFormat="1" ht="30" customHeight="1" thickTop="1" thickBot="1">
      <c r="B2" s="2233" t="s">
        <v>399</v>
      </c>
      <c r="C2" s="2234"/>
      <c r="D2" s="263" t="s">
        <v>400</v>
      </c>
      <c r="E2" s="263" t="s">
        <v>401</v>
      </c>
      <c r="F2" s="264" t="s">
        <v>402</v>
      </c>
      <c r="G2" s="265"/>
      <c r="H2" s="1596" t="s">
        <v>1810</v>
      </c>
      <c r="I2" s="1597" t="s">
        <v>1749</v>
      </c>
      <c r="J2" s="1597" t="s">
        <v>1941</v>
      </c>
      <c r="K2" s="1598" t="s">
        <v>1811</v>
      </c>
    </row>
    <row r="3" spans="1:11" s="262" customFormat="1" ht="30" customHeight="1" thickTop="1">
      <c r="B3" s="2235" t="s">
        <v>1838</v>
      </c>
      <c r="C3" s="2236"/>
      <c r="D3" s="266" t="s">
        <v>1839</v>
      </c>
      <c r="E3" s="267">
        <f>J5*1000000</f>
        <v>120000000000</v>
      </c>
      <c r="F3" s="268"/>
      <c r="G3" s="265"/>
      <c r="H3" s="1599" t="s">
        <v>1812</v>
      </c>
      <c r="I3" s="1600"/>
      <c r="J3" s="1601">
        <v>27106</v>
      </c>
      <c r="K3" s="1602"/>
    </row>
    <row r="4" spans="1:11" s="262" customFormat="1" ht="30" customHeight="1">
      <c r="B4" s="2237" t="s">
        <v>1840</v>
      </c>
      <c r="C4" s="2238"/>
      <c r="D4" s="1445" t="s">
        <v>1841</v>
      </c>
      <c r="E4" s="269">
        <f t="shared" ref="E4:E9" si="0">J8*1000000</f>
        <v>30000000000</v>
      </c>
      <c r="F4" s="270"/>
      <c r="G4" s="265"/>
      <c r="H4" s="1603" t="s">
        <v>1813</v>
      </c>
      <c r="I4" s="1604"/>
      <c r="J4" s="1605">
        <v>310000</v>
      </c>
      <c r="K4" s="1606"/>
    </row>
    <row r="5" spans="1:11" s="262" customFormat="1" ht="30" customHeight="1">
      <c r="B5" s="2237" t="s">
        <v>1842</v>
      </c>
      <c r="C5" s="2238"/>
      <c r="D5" s="1446" t="s">
        <v>1843</v>
      </c>
      <c r="E5" s="269">
        <f t="shared" si="0"/>
        <v>0</v>
      </c>
      <c r="F5" s="270"/>
      <c r="G5" s="265"/>
      <c r="H5" s="2243" t="s">
        <v>1814</v>
      </c>
      <c r="I5" s="2227" t="s">
        <v>1934</v>
      </c>
      <c r="J5" s="2230">
        <v>120000</v>
      </c>
      <c r="K5" s="1607" t="s">
        <v>1815</v>
      </c>
    </row>
    <row r="6" spans="1:11" s="262" customFormat="1" ht="30" customHeight="1">
      <c r="B6" s="2239" t="s">
        <v>1844</v>
      </c>
      <c r="C6" s="2240"/>
      <c r="D6" s="1445" t="s">
        <v>1845</v>
      </c>
      <c r="E6" s="269">
        <f t="shared" si="0"/>
        <v>0</v>
      </c>
      <c r="F6" s="270"/>
      <c r="G6" s="265"/>
      <c r="H6" s="2244"/>
      <c r="I6" s="2228"/>
      <c r="J6" s="2231"/>
      <c r="K6" s="1608" t="s">
        <v>1816</v>
      </c>
    </row>
    <row r="7" spans="1:11" s="262" customFormat="1" ht="30" customHeight="1">
      <c r="B7" s="2237" t="s">
        <v>1846</v>
      </c>
      <c r="C7" s="2238"/>
      <c r="D7" s="1446" t="s">
        <v>1847</v>
      </c>
      <c r="E7" s="269">
        <f t="shared" si="0"/>
        <v>160000000000</v>
      </c>
      <c r="F7" s="270"/>
      <c r="G7" s="265"/>
      <c r="H7" s="2245"/>
      <c r="I7" s="2229"/>
      <c r="J7" s="2232"/>
      <c r="K7" s="1608" t="s">
        <v>1817</v>
      </c>
    </row>
    <row r="8" spans="1:11" s="262" customFormat="1" ht="30" customHeight="1">
      <c r="B8" s="2246" t="s">
        <v>1848</v>
      </c>
      <c r="C8" s="2247"/>
      <c r="D8" s="1446" t="s">
        <v>1849</v>
      </c>
      <c r="E8" s="269">
        <f t="shared" si="0"/>
        <v>0</v>
      </c>
      <c r="F8" s="270"/>
      <c r="G8" s="265"/>
      <c r="H8" s="1603" t="s">
        <v>1821</v>
      </c>
      <c r="I8" s="1609" t="s">
        <v>1940</v>
      </c>
      <c r="J8" s="1605">
        <v>30000</v>
      </c>
      <c r="K8" s="1608" t="s">
        <v>1818</v>
      </c>
    </row>
    <row r="9" spans="1:11" s="262" customFormat="1" ht="30" customHeight="1">
      <c r="B9" s="2237" t="s">
        <v>1850</v>
      </c>
      <c r="C9" s="2238"/>
      <c r="D9" s="1446" t="s">
        <v>1851</v>
      </c>
      <c r="E9" s="269">
        <f t="shared" si="0"/>
        <v>0</v>
      </c>
      <c r="F9" s="270"/>
      <c r="G9" s="265"/>
      <c r="H9" s="1603" t="s">
        <v>1822</v>
      </c>
      <c r="I9" s="1609" t="s">
        <v>1936</v>
      </c>
      <c r="J9" s="1604">
        <v>0</v>
      </c>
      <c r="K9" s="1608" t="s">
        <v>1819</v>
      </c>
    </row>
    <row r="10" spans="1:11" s="262" customFormat="1" ht="30" customHeight="1">
      <c r="B10" s="2241" t="s">
        <v>235</v>
      </c>
      <c r="C10" s="2242"/>
      <c r="D10" s="271"/>
      <c r="E10" s="272">
        <f>SUM(E3:E9)</f>
        <v>310000000000</v>
      </c>
      <c r="F10" s="273"/>
      <c r="G10" s="265"/>
      <c r="H10" s="1603" t="s">
        <v>1823</v>
      </c>
      <c r="I10" s="1609" t="s">
        <v>1936</v>
      </c>
      <c r="J10" s="1604">
        <v>0</v>
      </c>
      <c r="K10" s="1610" t="s">
        <v>1820</v>
      </c>
    </row>
    <row r="11" spans="1:11" s="262" customFormat="1" ht="30" customHeight="1">
      <c r="B11" s="274" t="s">
        <v>1935</v>
      </c>
      <c r="G11" s="265"/>
      <c r="H11" s="1603" t="s">
        <v>1824</v>
      </c>
      <c r="I11" s="1609" t="s">
        <v>1937</v>
      </c>
      <c r="J11" s="1605">
        <v>160000</v>
      </c>
      <c r="K11" s="1607" t="s">
        <v>1825</v>
      </c>
    </row>
    <row r="12" spans="1:11" s="262" customFormat="1" ht="30" customHeight="1">
      <c r="C12" s="275"/>
      <c r="D12" s="276"/>
      <c r="E12" s="277"/>
      <c r="F12" s="275"/>
      <c r="G12" s="265"/>
      <c r="H12" s="1603" t="s">
        <v>1827</v>
      </c>
      <c r="I12" s="1609" t="s">
        <v>1936</v>
      </c>
      <c r="J12" s="1605">
        <v>0</v>
      </c>
      <c r="K12" s="1610" t="s">
        <v>1826</v>
      </c>
    </row>
    <row r="13" spans="1:11" s="262" customFormat="1" ht="30" customHeight="1">
      <c r="B13" s="279"/>
      <c r="C13" s="279"/>
      <c r="D13" s="279"/>
      <c r="F13" s="278"/>
      <c r="G13" s="265"/>
      <c r="H13" s="1603" t="s">
        <v>1828</v>
      </c>
      <c r="I13" s="1609" t="s">
        <v>37</v>
      </c>
      <c r="J13" s="1605">
        <v>0</v>
      </c>
      <c r="K13" s="1606" t="s">
        <v>1938</v>
      </c>
    </row>
    <row r="14" spans="1:11" s="262" customFormat="1" ht="30" customHeight="1">
      <c r="B14" s="279"/>
      <c r="C14" s="279"/>
      <c r="D14" s="279"/>
      <c r="G14" s="265"/>
      <c r="H14" s="1603" t="s">
        <v>1829</v>
      </c>
      <c r="I14" s="1609" t="s">
        <v>37</v>
      </c>
      <c r="J14" s="1604">
        <v>0</v>
      </c>
      <c r="K14" s="1606" t="s">
        <v>1830</v>
      </c>
    </row>
    <row r="15" spans="1:11" s="262" customFormat="1" ht="42" customHeight="1">
      <c r="B15" s="279"/>
      <c r="C15" s="279"/>
      <c r="D15" s="279"/>
      <c r="G15" s="265"/>
      <c r="H15" s="2243" t="s">
        <v>1831</v>
      </c>
      <c r="I15" s="1611" t="s">
        <v>1832</v>
      </c>
      <c r="J15" s="2230">
        <v>10000</v>
      </c>
      <c r="K15" s="2248" t="s">
        <v>1834</v>
      </c>
    </row>
    <row r="16" spans="1:11" s="262" customFormat="1" ht="30" customHeight="1">
      <c r="B16" s="279"/>
      <c r="C16" s="279"/>
      <c r="D16" s="279"/>
      <c r="G16" s="265"/>
      <c r="H16" s="2245"/>
      <c r="I16" s="1612" t="s">
        <v>1833</v>
      </c>
      <c r="J16" s="2232"/>
      <c r="K16" s="2249"/>
    </row>
    <row r="17" spans="2:11" s="262" customFormat="1" ht="30" customHeight="1">
      <c r="B17" s="279"/>
      <c r="C17" s="279"/>
      <c r="D17" s="279"/>
      <c r="G17" s="265"/>
      <c r="H17" s="2243" t="s">
        <v>1835</v>
      </c>
      <c r="I17" s="2227" t="s">
        <v>37</v>
      </c>
      <c r="J17" s="2230">
        <v>31000</v>
      </c>
      <c r="K17" s="2250" t="s">
        <v>1938</v>
      </c>
    </row>
    <row r="18" spans="2:11" s="262" customFormat="1" ht="30" customHeight="1">
      <c r="B18" s="279"/>
      <c r="C18" s="279"/>
      <c r="D18" s="279"/>
      <c r="G18" s="265"/>
      <c r="H18" s="2245"/>
      <c r="I18" s="2229"/>
      <c r="J18" s="2232"/>
      <c r="K18" s="2251"/>
    </row>
    <row r="19" spans="2:11" s="262" customFormat="1" ht="30" customHeight="1" thickBot="1">
      <c r="B19" s="279"/>
      <c r="C19" s="279"/>
      <c r="D19" s="279"/>
      <c r="G19" s="265"/>
      <c r="H19" s="1613" t="s">
        <v>1836</v>
      </c>
      <c r="I19" s="1614" t="s">
        <v>1837</v>
      </c>
      <c r="J19" s="1615">
        <v>37200</v>
      </c>
      <c r="K19" s="1616" t="s">
        <v>1939</v>
      </c>
    </row>
    <row r="20" spans="2:11" s="262" customFormat="1" ht="30" customHeight="1" thickTop="1">
      <c r="B20" s="279"/>
      <c r="C20" s="279"/>
      <c r="D20" s="279"/>
      <c r="G20" s="265"/>
    </row>
    <row r="21" spans="2:11" s="262" customFormat="1" ht="30" customHeight="1">
      <c r="B21" s="279"/>
      <c r="C21" s="279"/>
      <c r="D21" s="279"/>
      <c r="G21" s="265"/>
    </row>
    <row r="22" spans="2:11" s="262" customFormat="1" ht="30" customHeight="1">
      <c r="B22" s="279"/>
      <c r="C22" s="279"/>
      <c r="D22" s="279"/>
      <c r="G22" s="265"/>
    </row>
    <row r="23" spans="2:11" ht="30" customHeight="1">
      <c r="B23" s="279"/>
      <c r="C23" s="279"/>
      <c r="D23" s="279"/>
    </row>
    <row r="24" spans="2:11" ht="30" customHeight="1">
      <c r="B24" s="279"/>
      <c r="C24" s="279"/>
      <c r="D24" s="279"/>
    </row>
    <row r="25" spans="2:11" ht="30" customHeight="1"/>
    <row r="26" spans="2:11" ht="30" customHeight="1"/>
    <row r="27" spans="2:11" ht="30" customHeight="1"/>
    <row r="28" spans="2:11" ht="30" customHeight="1"/>
    <row r="29" spans="2:11" ht="30" customHeight="1"/>
  </sheetData>
  <mergeCells count="19">
    <mergeCell ref="J15:J16"/>
    <mergeCell ref="K15:K16"/>
    <mergeCell ref="H17:H18"/>
    <mergeCell ref="I17:I18"/>
    <mergeCell ref="J17:J18"/>
    <mergeCell ref="K17:K18"/>
    <mergeCell ref="B9:C9"/>
    <mergeCell ref="B10:C10"/>
    <mergeCell ref="H5:H7"/>
    <mergeCell ref="B8:C8"/>
    <mergeCell ref="H15:H16"/>
    <mergeCell ref="I5:I7"/>
    <mergeCell ref="J5:J7"/>
    <mergeCell ref="B2:C2"/>
    <mergeCell ref="B3:C3"/>
    <mergeCell ref="B4:C4"/>
    <mergeCell ref="B7:C7"/>
    <mergeCell ref="B5:C5"/>
    <mergeCell ref="B6:C6"/>
  </mergeCells>
  <phoneticPr fontId="181" type="noConversion"/>
  <pageMargins left="0.7" right="0.7" top="0.75" bottom="0.75" header="0.3" footer="0.3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4D98-C9C0-45C5-8656-3560E9AE37DA}">
  <dimension ref="A1:AL92"/>
  <sheetViews>
    <sheetView zoomScaleNormal="100" workbookViewId="0">
      <selection activeCell="P40" sqref="P40"/>
    </sheetView>
  </sheetViews>
  <sheetFormatPr defaultColWidth="8.77734375" defaultRowHeight="12"/>
  <cols>
    <col min="1" max="1" width="3" style="1466" bestFit="1" customWidth="1"/>
    <col min="2" max="2" width="6" style="1466" bestFit="1" customWidth="1"/>
    <col min="3" max="3" width="8.77734375" style="1466"/>
    <col min="4" max="4" width="8.109375" style="1466" bestFit="1" customWidth="1"/>
    <col min="5" max="6" width="8.77734375" style="1466"/>
    <col min="7" max="8" width="6.21875" style="1466" bestFit="1" customWidth="1"/>
    <col min="9" max="9" width="7" style="1466" bestFit="1" customWidth="1"/>
    <col min="10" max="10" width="7" style="1466" customWidth="1"/>
    <col min="11" max="11" width="48.88671875" style="1474" bestFit="1" customWidth="1"/>
    <col min="12" max="12" width="33.44140625" style="1474" bestFit="1" customWidth="1"/>
    <col min="13" max="13" width="3.6640625" style="1466" customWidth="1"/>
    <col min="14" max="14" width="14.21875" style="1466" customWidth="1"/>
    <col min="15" max="15" width="9.88671875" style="1466" bestFit="1" customWidth="1"/>
    <col min="16" max="16" width="11.44140625" style="1466" bestFit="1" customWidth="1"/>
    <col min="17" max="17" width="17.21875" style="1466" bestFit="1" customWidth="1"/>
    <col min="18" max="18" width="19.88671875" style="1474" bestFit="1" customWidth="1"/>
    <col min="19" max="20" width="11.44140625" style="1474" bestFit="1" customWidth="1"/>
    <col min="21" max="21" width="10.88671875" style="1466" bestFit="1" customWidth="1"/>
    <col min="22" max="22" width="14.21875" style="1466" bestFit="1" customWidth="1"/>
    <col min="23" max="23" width="6" style="1466" bestFit="1" customWidth="1"/>
    <col min="24" max="24" width="8.77734375" style="1466"/>
    <col min="25" max="25" width="13.5546875" style="1466" bestFit="1" customWidth="1"/>
    <col min="26" max="26" width="14.44140625" style="1466" bestFit="1" customWidth="1"/>
    <col min="27" max="27" width="11.44140625" style="1466" bestFit="1" customWidth="1"/>
    <col min="28" max="37" width="8.77734375" style="1466"/>
    <col min="38" max="38" width="19.6640625" style="1466" bestFit="1" customWidth="1"/>
    <col min="39" max="16384" width="8.77734375" style="1466"/>
  </cols>
  <sheetData>
    <row r="1" spans="1:38" ht="12.75" thickBot="1">
      <c r="N1" s="1465" t="s">
        <v>1445</v>
      </c>
    </row>
    <row r="2" spans="1:38" ht="12.75" thickTop="1">
      <c r="A2" s="2300" t="s">
        <v>1748</v>
      </c>
      <c r="B2" s="2301"/>
      <c r="C2" s="2301"/>
      <c r="D2" s="2302"/>
      <c r="E2" s="2306" t="s">
        <v>1749</v>
      </c>
      <c r="F2" s="2302"/>
      <c r="G2" s="2308" t="s">
        <v>46</v>
      </c>
      <c r="H2" s="1530" t="s">
        <v>38</v>
      </c>
      <c r="I2" s="1530" t="s">
        <v>1750</v>
      </c>
      <c r="J2" s="1555"/>
      <c r="K2" s="1555"/>
      <c r="L2" s="2310" t="s">
        <v>47</v>
      </c>
      <c r="N2" s="1465" t="s">
        <v>1446</v>
      </c>
      <c r="Y2" s="1465" t="s">
        <v>1608</v>
      </c>
      <c r="AL2" s="1465" t="s">
        <v>1745</v>
      </c>
    </row>
    <row r="3" spans="1:38" ht="12.75" thickBot="1">
      <c r="A3" s="2303"/>
      <c r="B3" s="2304"/>
      <c r="C3" s="2304"/>
      <c r="D3" s="2305"/>
      <c r="E3" s="2307"/>
      <c r="F3" s="2305"/>
      <c r="G3" s="2309"/>
      <c r="H3" s="1531" t="s">
        <v>1751</v>
      </c>
      <c r="I3" s="1531" t="s">
        <v>1752</v>
      </c>
      <c r="J3" s="1556"/>
      <c r="K3" s="1556"/>
      <c r="L3" s="2311"/>
      <c r="N3" s="1466" t="s">
        <v>1508</v>
      </c>
      <c r="Y3" s="1466" t="s">
        <v>1508</v>
      </c>
    </row>
    <row r="4" spans="1:38" ht="13.5" thickTop="1" thickBot="1">
      <c r="A4" s="2312" t="s">
        <v>1753</v>
      </c>
      <c r="B4" s="2313"/>
      <c r="C4" s="2313"/>
      <c r="D4" s="2314"/>
      <c r="E4" s="2315"/>
      <c r="F4" s="2314"/>
      <c r="G4" s="1532"/>
      <c r="H4" s="1532"/>
      <c r="I4" s="1533">
        <f>L5+I29+I30+I31+I33</f>
        <v>27105.867309999998</v>
      </c>
      <c r="J4" s="1533">
        <f>SUM(J5,J28:J33)</f>
        <v>27105.784150000003</v>
      </c>
      <c r="K4" s="1582"/>
      <c r="L4" s="1534"/>
      <c r="N4" s="1466" t="s">
        <v>1476</v>
      </c>
      <c r="R4" s="1526">
        <f>SUM(R7:R9)</f>
        <v>1515</v>
      </c>
      <c r="T4" s="1579">
        <f>R4+AC4</f>
        <v>2565</v>
      </c>
      <c r="AC4" s="1526">
        <f>SUM(AC8,AC14)</f>
        <v>1050</v>
      </c>
      <c r="AD4" s="1527">
        <f>285*2</f>
        <v>570</v>
      </c>
      <c r="AL4" s="1527" t="s">
        <v>1747</v>
      </c>
    </row>
    <row r="5" spans="1:38" ht="12.75" thickTop="1">
      <c r="A5" s="1476" t="s">
        <v>1754</v>
      </c>
      <c r="B5" s="2283" t="s">
        <v>1755</v>
      </c>
      <c r="C5" s="2284"/>
      <c r="D5" s="2285"/>
      <c r="E5" s="2283"/>
      <c r="F5" s="2285"/>
      <c r="G5" s="1535"/>
      <c r="H5" s="1535"/>
      <c r="I5" s="1536">
        <f>I6+I13+I26+I27</f>
        <v>18171.302199999998</v>
      </c>
      <c r="J5" s="1557">
        <f>SUM(J6,J13,J26,J27)</f>
        <v>18171.223000000002</v>
      </c>
      <c r="K5" s="1583"/>
      <c r="L5" s="1537">
        <f>I6+I13+I26+I27+I28</f>
        <v>20147.302199999998</v>
      </c>
      <c r="N5" s="2273" t="s">
        <v>1448</v>
      </c>
      <c r="O5" s="2276" t="s">
        <v>1449</v>
      </c>
      <c r="P5" s="2276" t="s">
        <v>1450</v>
      </c>
      <c r="Q5" s="2276" t="s">
        <v>1469</v>
      </c>
      <c r="R5" s="2276" t="s">
        <v>1470</v>
      </c>
      <c r="S5" s="2316" t="s">
        <v>1447</v>
      </c>
      <c r="T5" s="2318"/>
      <c r="U5" s="1485" t="s">
        <v>1451</v>
      </c>
      <c r="V5" s="1485" t="s">
        <v>1452</v>
      </c>
      <c r="W5" s="1486" t="s">
        <v>1454</v>
      </c>
      <c r="Y5" s="1482" t="s">
        <v>1609</v>
      </c>
      <c r="Z5" s="2276" t="s">
        <v>1450</v>
      </c>
      <c r="AA5" s="2276" t="s">
        <v>1611</v>
      </c>
      <c r="AB5" s="1485" t="s">
        <v>1612</v>
      </c>
      <c r="AC5" s="1485" t="s">
        <v>1613</v>
      </c>
      <c r="AD5" s="2316" t="s">
        <v>1614</v>
      </c>
      <c r="AE5" s="2318"/>
      <c r="AF5" s="2316" t="s">
        <v>1615</v>
      </c>
      <c r="AG5" s="2318"/>
      <c r="AH5" s="2316" t="s">
        <v>1648</v>
      </c>
      <c r="AI5" s="2335"/>
      <c r="AJ5" s="1485" t="s">
        <v>1454</v>
      </c>
      <c r="AL5" s="1527" t="s">
        <v>1746</v>
      </c>
    </row>
    <row r="6" spans="1:38" ht="12.75" thickBot="1">
      <c r="A6" s="1476" t="s">
        <v>1756</v>
      </c>
      <c r="B6" s="1483" t="s">
        <v>1757</v>
      </c>
      <c r="C6" s="2295" t="s">
        <v>1758</v>
      </c>
      <c r="D6" s="2296"/>
      <c r="E6" s="2295"/>
      <c r="F6" s="2296"/>
      <c r="G6" s="1538"/>
      <c r="H6" s="1538"/>
      <c r="I6" s="1539">
        <f>SUM(I7:I11)</f>
        <v>7021.2262000000001</v>
      </c>
      <c r="J6" s="1558">
        <f>SUM(J7:J11)</f>
        <v>7020.7470000000003</v>
      </c>
      <c r="K6" s="1584"/>
      <c r="L6" s="1540"/>
      <c r="N6" s="2275"/>
      <c r="O6" s="2278"/>
      <c r="P6" s="2278"/>
      <c r="Q6" s="2278"/>
      <c r="R6" s="2278"/>
      <c r="S6" s="1481" t="s">
        <v>1456</v>
      </c>
      <c r="T6" s="1481" t="s">
        <v>1457</v>
      </c>
      <c r="U6" s="1487" t="s">
        <v>321</v>
      </c>
      <c r="V6" s="1487" t="s">
        <v>1453</v>
      </c>
      <c r="W6" s="1488" t="s">
        <v>1455</v>
      </c>
      <c r="Y6" s="1506" t="s">
        <v>1610</v>
      </c>
      <c r="Z6" s="2277"/>
      <c r="AA6" s="2277"/>
      <c r="AB6" s="1492" t="s">
        <v>1513</v>
      </c>
      <c r="AC6" s="1492" t="s">
        <v>321</v>
      </c>
      <c r="AD6" s="1494" t="s">
        <v>1616</v>
      </c>
      <c r="AE6" s="1494" t="s">
        <v>1618</v>
      </c>
      <c r="AF6" s="1494" t="s">
        <v>1616</v>
      </c>
      <c r="AG6" s="1494" t="s">
        <v>1618</v>
      </c>
      <c r="AH6" s="2336" t="s">
        <v>1619</v>
      </c>
      <c r="AI6" s="2337" t="s">
        <v>1452</v>
      </c>
      <c r="AJ6" s="1492" t="s">
        <v>1455</v>
      </c>
    </row>
    <row r="7" spans="1:38" ht="13.5" thickTop="1" thickBot="1">
      <c r="A7" s="1476" t="s">
        <v>1759</v>
      </c>
      <c r="B7" s="1483" t="s">
        <v>1760</v>
      </c>
      <c r="C7" s="2283" t="s">
        <v>1761</v>
      </c>
      <c r="D7" s="2285"/>
      <c r="E7" s="2286">
        <v>1997.4</v>
      </c>
      <c r="F7" s="2287"/>
      <c r="G7" s="1535" t="s">
        <v>1762</v>
      </c>
      <c r="H7" s="1541">
        <v>2508</v>
      </c>
      <c r="I7" s="1541">
        <f>H7*E7/1000</f>
        <v>5009.4791999999998</v>
      </c>
      <c r="J7" s="1559">
        <f>INT(E7*H7/1000)</f>
        <v>5009</v>
      </c>
      <c r="K7" s="1581" t="s">
        <v>1809</v>
      </c>
      <c r="L7" s="2297" t="s">
        <v>1800</v>
      </c>
      <c r="N7" s="2270" t="s">
        <v>1458</v>
      </c>
      <c r="O7" s="1515" t="s">
        <v>1471</v>
      </c>
      <c r="P7" s="1515" t="s">
        <v>1459</v>
      </c>
      <c r="Q7" s="1515" t="s">
        <v>1460</v>
      </c>
      <c r="R7" s="1515">
        <v>535</v>
      </c>
      <c r="S7" s="1524">
        <v>7.0023148148148147E-4</v>
      </c>
      <c r="T7" s="1524">
        <v>7.175925925925927E-4</v>
      </c>
      <c r="U7" s="1515">
        <v>4</v>
      </c>
      <c r="V7" s="1515" t="s">
        <v>1461</v>
      </c>
      <c r="W7" s="1516" t="s">
        <v>1462</v>
      </c>
      <c r="Y7" s="1507"/>
      <c r="Z7" s="2278"/>
      <c r="AA7" s="2278"/>
      <c r="AB7" s="1495"/>
      <c r="AC7" s="1495"/>
      <c r="AD7" s="1487" t="s">
        <v>1617</v>
      </c>
      <c r="AE7" s="1487" t="s">
        <v>1649</v>
      </c>
      <c r="AF7" s="1487" t="s">
        <v>1617</v>
      </c>
      <c r="AG7" s="1487" t="s">
        <v>1649</v>
      </c>
      <c r="AH7" s="2278"/>
      <c r="AI7" s="2338"/>
      <c r="AJ7" s="1495"/>
    </row>
    <row r="8" spans="1:38" ht="12.75" thickTop="1">
      <c r="A8" s="1476"/>
      <c r="B8" s="1483" t="s">
        <v>1754</v>
      </c>
      <c r="C8" s="2283" t="s">
        <v>1763</v>
      </c>
      <c r="D8" s="2285"/>
      <c r="E8" s="2283">
        <v>666</v>
      </c>
      <c r="F8" s="2285"/>
      <c r="G8" s="1535" t="s">
        <v>1762</v>
      </c>
      <c r="H8" s="1541">
        <v>1073</v>
      </c>
      <c r="I8" s="1541">
        <f t="shared" ref="I8:I11" si="0">H8*E8/1000</f>
        <v>714.61800000000005</v>
      </c>
      <c r="J8" s="1559">
        <f t="shared" ref="J8:J11" si="1">E8*H8/1000</f>
        <v>714.61800000000005</v>
      </c>
      <c r="K8" s="1581" t="s">
        <v>1808</v>
      </c>
      <c r="L8" s="2298"/>
      <c r="N8" s="2271"/>
      <c r="O8" s="1520" t="s">
        <v>1472</v>
      </c>
      <c r="P8" s="1520" t="s">
        <v>1463</v>
      </c>
      <c r="Q8" s="1520" t="s">
        <v>1464</v>
      </c>
      <c r="R8" s="1520">
        <v>75</v>
      </c>
      <c r="S8" s="1525">
        <v>7.0023148148148147E-4</v>
      </c>
      <c r="T8" s="1525">
        <v>7.175925925925927E-4</v>
      </c>
      <c r="U8" s="1520">
        <v>4</v>
      </c>
      <c r="V8" s="1520" t="s">
        <v>1461</v>
      </c>
      <c r="W8" s="1521" t="s">
        <v>1465</v>
      </c>
      <c r="Y8" s="1475" t="s">
        <v>1620</v>
      </c>
      <c r="Z8" s="2332" t="s">
        <v>1463</v>
      </c>
      <c r="AA8" s="1517" t="s">
        <v>1650</v>
      </c>
      <c r="AB8" s="1517" t="s">
        <v>1621</v>
      </c>
      <c r="AC8" s="2332">
        <v>480</v>
      </c>
      <c r="AD8" s="1517" t="s">
        <v>1623</v>
      </c>
      <c r="AE8" s="1517" t="s">
        <v>1624</v>
      </c>
      <c r="AF8" s="1517" t="s">
        <v>1625</v>
      </c>
      <c r="AG8" s="1517" t="s">
        <v>1626</v>
      </c>
      <c r="AH8" s="2332" t="s">
        <v>942</v>
      </c>
      <c r="AI8" s="2333" t="s">
        <v>1627</v>
      </c>
      <c r="AJ8" s="2334" t="s">
        <v>1462</v>
      </c>
    </row>
    <row r="9" spans="1:38">
      <c r="A9" s="1478"/>
      <c r="B9" s="1493"/>
      <c r="C9" s="2283" t="s">
        <v>1764</v>
      </c>
      <c r="D9" s="2285"/>
      <c r="E9" s="2286">
        <v>1274</v>
      </c>
      <c r="F9" s="2287"/>
      <c r="G9" s="1535" t="s">
        <v>1762</v>
      </c>
      <c r="H9" s="1542">
        <v>891</v>
      </c>
      <c r="I9" s="1541">
        <f t="shared" si="0"/>
        <v>1135.134</v>
      </c>
      <c r="J9" s="1559">
        <f t="shared" si="1"/>
        <v>1135.134</v>
      </c>
      <c r="K9" s="1581" t="s">
        <v>1807</v>
      </c>
      <c r="L9" s="2298"/>
      <c r="N9" s="2271"/>
      <c r="O9" s="1520" t="s">
        <v>1473</v>
      </c>
      <c r="P9" s="1520" t="s">
        <v>1459</v>
      </c>
      <c r="Q9" s="1520" t="s">
        <v>1466</v>
      </c>
      <c r="R9" s="1520">
        <v>905</v>
      </c>
      <c r="S9" s="1525">
        <v>7.0023148148148147E-4</v>
      </c>
      <c r="T9" s="1525">
        <v>7.175925925925927E-4</v>
      </c>
      <c r="U9" s="1520">
        <v>4</v>
      </c>
      <c r="V9" s="1520" t="s">
        <v>1461</v>
      </c>
      <c r="W9" s="1521" t="s">
        <v>1465</v>
      </c>
      <c r="Y9" s="1476" t="s">
        <v>1651</v>
      </c>
      <c r="Z9" s="2327"/>
      <c r="AA9" s="1518" t="s">
        <v>1652</v>
      </c>
      <c r="AB9" s="1518" t="s">
        <v>1622</v>
      </c>
      <c r="AC9" s="2327"/>
      <c r="AD9" s="1518">
        <v>3.79</v>
      </c>
      <c r="AE9" s="1518">
        <v>14.18</v>
      </c>
      <c r="AF9" s="1518">
        <v>7.51</v>
      </c>
      <c r="AG9" s="1518">
        <v>38.409999999999997</v>
      </c>
      <c r="AH9" s="2327"/>
      <c r="AI9" s="2329"/>
      <c r="AJ9" s="2331"/>
    </row>
    <row r="10" spans="1:38">
      <c r="A10" s="1478"/>
      <c r="B10" s="1493"/>
      <c r="C10" s="2283" t="s">
        <v>1765</v>
      </c>
      <c r="D10" s="2285"/>
      <c r="E10" s="2283">
        <v>5</v>
      </c>
      <c r="F10" s="2285"/>
      <c r="G10" s="1535" t="s">
        <v>40</v>
      </c>
      <c r="H10" s="1541">
        <v>13071</v>
      </c>
      <c r="I10" s="1541">
        <f t="shared" si="0"/>
        <v>65.355000000000004</v>
      </c>
      <c r="J10" s="1559">
        <f t="shared" si="1"/>
        <v>65.355000000000004</v>
      </c>
      <c r="K10" s="1581"/>
      <c r="L10" s="2298"/>
      <c r="N10" s="2271"/>
      <c r="O10" s="1470" t="s">
        <v>1474</v>
      </c>
      <c r="P10" s="1470" t="s">
        <v>1459</v>
      </c>
      <c r="Q10" s="1470" t="s">
        <v>1467</v>
      </c>
      <c r="R10" s="1470">
        <v>300</v>
      </c>
      <c r="S10" s="1479">
        <v>7.0023148148148147E-4</v>
      </c>
      <c r="T10" s="1479">
        <v>7.175925925925927E-4</v>
      </c>
      <c r="U10" s="1470">
        <v>4</v>
      </c>
      <c r="V10" s="1470" t="s">
        <v>1461</v>
      </c>
      <c r="W10" s="1471" t="s">
        <v>1468</v>
      </c>
      <c r="Y10" s="2271"/>
      <c r="Z10" s="2261" t="s">
        <v>1463</v>
      </c>
      <c r="AA10" s="1508" t="s">
        <v>1650</v>
      </c>
      <c r="AB10" s="1508" t="s">
        <v>1628</v>
      </c>
      <c r="AC10" s="2261">
        <v>105</v>
      </c>
      <c r="AD10" s="1508" t="s">
        <v>1630</v>
      </c>
      <c r="AE10" s="1508" t="s">
        <v>1631</v>
      </c>
      <c r="AF10" s="1508" t="s">
        <v>1625</v>
      </c>
      <c r="AG10" s="1508" t="s">
        <v>1631</v>
      </c>
      <c r="AH10" s="2261" t="s">
        <v>942</v>
      </c>
      <c r="AI10" s="2297" t="s">
        <v>1627</v>
      </c>
      <c r="AJ10" s="2324" t="s">
        <v>1468</v>
      </c>
    </row>
    <row r="11" spans="1:38" ht="12.75" thickBot="1">
      <c r="A11" s="1478"/>
      <c r="B11" s="1493"/>
      <c r="C11" s="2283" t="s">
        <v>1766</v>
      </c>
      <c r="D11" s="2285"/>
      <c r="E11" s="2283">
        <v>4</v>
      </c>
      <c r="F11" s="2285"/>
      <c r="G11" s="1535" t="s">
        <v>40</v>
      </c>
      <c r="H11" s="1541">
        <v>24160</v>
      </c>
      <c r="I11" s="1541">
        <f t="shared" si="0"/>
        <v>96.64</v>
      </c>
      <c r="J11" s="1559">
        <f t="shared" si="1"/>
        <v>96.64</v>
      </c>
      <c r="K11" s="1581"/>
      <c r="L11" s="2298"/>
      <c r="N11" s="2272"/>
      <c r="O11" s="2342" t="s">
        <v>39</v>
      </c>
      <c r="P11" s="2343"/>
      <c r="Q11" s="1489" t="s">
        <v>1475</v>
      </c>
      <c r="R11" s="1490">
        <v>1815</v>
      </c>
      <c r="S11" s="2267"/>
      <c r="T11" s="2268"/>
      <c r="U11" s="2268"/>
      <c r="V11" s="2268"/>
      <c r="W11" s="2341"/>
      <c r="Y11" s="2271"/>
      <c r="Z11" s="2262"/>
      <c r="AA11" s="1477" t="s">
        <v>1653</v>
      </c>
      <c r="AB11" s="1477" t="s">
        <v>1629</v>
      </c>
      <c r="AC11" s="2262"/>
      <c r="AD11" s="1477">
        <v>3.78</v>
      </c>
      <c r="AE11" s="1477">
        <v>14.11</v>
      </c>
      <c r="AF11" s="1477">
        <v>6.26</v>
      </c>
      <c r="AG11" s="1477">
        <v>33.49</v>
      </c>
      <c r="AH11" s="2262"/>
      <c r="AI11" s="2299"/>
      <c r="AJ11" s="2325"/>
    </row>
    <row r="12" spans="1:38" ht="12.75" thickTop="1">
      <c r="A12" s="1478"/>
      <c r="B12" s="1493"/>
      <c r="C12" s="2283"/>
      <c r="D12" s="2285"/>
      <c r="E12" s="2283"/>
      <c r="F12" s="2285"/>
      <c r="G12" s="1484"/>
      <c r="H12" s="1543"/>
      <c r="I12" s="1543"/>
      <c r="J12" s="1560"/>
      <c r="K12" s="1546"/>
      <c r="L12" s="2299"/>
      <c r="Y12" s="2271"/>
      <c r="Z12" s="2261" t="s">
        <v>1463</v>
      </c>
      <c r="AA12" s="1508" t="s">
        <v>1650</v>
      </c>
      <c r="AB12" s="1508" t="s">
        <v>1632</v>
      </c>
      <c r="AC12" s="2261">
        <v>545</v>
      </c>
      <c r="AD12" s="1508" t="s">
        <v>1634</v>
      </c>
      <c r="AE12" s="1508" t="s">
        <v>1635</v>
      </c>
      <c r="AF12" s="1508" t="s">
        <v>1634</v>
      </c>
      <c r="AG12" s="1508" t="s">
        <v>1636</v>
      </c>
      <c r="AH12" s="2261" t="s">
        <v>942</v>
      </c>
      <c r="AI12" s="2297" t="s">
        <v>1627</v>
      </c>
      <c r="AJ12" s="2324" t="s">
        <v>1468</v>
      </c>
    </row>
    <row r="13" spans="1:38" ht="12.75" thickBot="1">
      <c r="A13" s="1478"/>
      <c r="B13" s="1508" t="s">
        <v>1767</v>
      </c>
      <c r="C13" s="2295" t="s">
        <v>1758</v>
      </c>
      <c r="D13" s="2296"/>
      <c r="E13" s="2295"/>
      <c r="F13" s="2296"/>
      <c r="G13" s="1538"/>
      <c r="H13" s="1544"/>
      <c r="I13" s="1539">
        <f>I14+I20</f>
        <v>2881.076</v>
      </c>
      <c r="J13" s="1561">
        <f>SUM(J14,J20)</f>
        <v>2881.076</v>
      </c>
      <c r="K13" s="1585"/>
      <c r="L13" s="1545"/>
      <c r="N13" s="1466" t="s">
        <v>1477</v>
      </c>
      <c r="R13" s="1526">
        <f>SUM(S15:S18)</f>
        <v>546</v>
      </c>
      <c r="Y13" s="2271"/>
      <c r="Z13" s="2262"/>
      <c r="AA13" s="1477" t="s">
        <v>1654</v>
      </c>
      <c r="AB13" s="1477" t="s">
        <v>1633</v>
      </c>
      <c r="AC13" s="2262"/>
      <c r="AD13" s="1477">
        <v>3.98</v>
      </c>
      <c r="AE13" s="1477">
        <v>14.2</v>
      </c>
      <c r="AF13" s="1477">
        <v>8.61</v>
      </c>
      <c r="AG13" s="1477">
        <v>37.86</v>
      </c>
      <c r="AH13" s="2262"/>
      <c r="AI13" s="2299"/>
      <c r="AJ13" s="2325"/>
    </row>
    <row r="14" spans="1:38" ht="13.5" thickTop="1" thickBot="1">
      <c r="A14" s="1478"/>
      <c r="B14" s="1483" t="s">
        <v>1768</v>
      </c>
      <c r="C14" s="2293" t="s">
        <v>1444</v>
      </c>
      <c r="D14" s="2294"/>
      <c r="E14" s="2284"/>
      <c r="F14" s="2284"/>
      <c r="G14" s="1546"/>
      <c r="H14" s="1542"/>
      <c r="I14" s="1547">
        <f>SUM(I15:I19)</f>
        <v>2159.52</v>
      </c>
      <c r="J14" s="1562">
        <f>SUM(J15:J19)</f>
        <v>2159.52</v>
      </c>
      <c r="K14" s="1586"/>
      <c r="L14" s="1545"/>
      <c r="N14" s="1467" t="s">
        <v>1448</v>
      </c>
      <c r="O14" s="1468" t="s">
        <v>1449</v>
      </c>
      <c r="P14" s="1468" t="s">
        <v>1450</v>
      </c>
      <c r="Q14" s="1468" t="s">
        <v>1469</v>
      </c>
      <c r="R14" s="1468" t="s">
        <v>1447</v>
      </c>
      <c r="S14" s="1468" t="s">
        <v>1470</v>
      </c>
      <c r="T14" s="1468" t="s">
        <v>42</v>
      </c>
      <c r="U14" s="1469" t="s">
        <v>1478</v>
      </c>
      <c r="Y14" s="2271"/>
      <c r="Z14" s="2326" t="s">
        <v>1459</v>
      </c>
      <c r="AA14" s="1519" t="s">
        <v>1650</v>
      </c>
      <c r="AB14" s="1519" t="s">
        <v>1621</v>
      </c>
      <c r="AC14" s="2326">
        <v>570</v>
      </c>
      <c r="AD14" s="1519" t="s">
        <v>1630</v>
      </c>
      <c r="AE14" s="1519" t="s">
        <v>1624</v>
      </c>
      <c r="AF14" s="1519" t="s">
        <v>1625</v>
      </c>
      <c r="AG14" s="1519" t="s">
        <v>1626</v>
      </c>
      <c r="AH14" s="2326" t="s">
        <v>942</v>
      </c>
      <c r="AI14" s="2328" t="s">
        <v>1627</v>
      </c>
      <c r="AJ14" s="2330" t="s">
        <v>1462</v>
      </c>
    </row>
    <row r="15" spans="1:38" ht="12.75" thickTop="1">
      <c r="A15" s="1478"/>
      <c r="B15" s="1483" t="s">
        <v>1754</v>
      </c>
      <c r="C15" s="1548"/>
      <c r="D15" s="1535" t="s">
        <v>1769</v>
      </c>
      <c r="E15" s="2283">
        <v>220</v>
      </c>
      <c r="F15" s="2285"/>
      <c r="G15" s="1535" t="s">
        <v>1762</v>
      </c>
      <c r="H15" s="1541">
        <v>4230</v>
      </c>
      <c r="I15" s="1541">
        <f t="shared" ref="I15:I17" si="2">H15*E15/1000</f>
        <v>930.6</v>
      </c>
      <c r="J15" s="1563">
        <f t="shared" ref="J15:J25" si="3">E15*H15/1000</f>
        <v>930.6</v>
      </c>
      <c r="K15" s="1587"/>
      <c r="L15" s="1545" t="s">
        <v>1770</v>
      </c>
      <c r="N15" s="2270" t="s">
        <v>1458</v>
      </c>
      <c r="O15" s="1515" t="s">
        <v>1486</v>
      </c>
      <c r="P15" s="1515" t="s">
        <v>1463</v>
      </c>
      <c r="Q15" s="1515" t="s">
        <v>1479</v>
      </c>
      <c r="R15" s="1524">
        <v>7.0023148148148147E-4</v>
      </c>
      <c r="S15" s="1515">
        <v>125</v>
      </c>
      <c r="T15" s="1515" t="s">
        <v>1480</v>
      </c>
      <c r="U15" s="1516" t="s">
        <v>1462</v>
      </c>
      <c r="Y15" s="2271"/>
      <c r="Z15" s="2327"/>
      <c r="AA15" s="1518" t="s">
        <v>1655</v>
      </c>
      <c r="AB15" s="1518" t="s">
        <v>1637</v>
      </c>
      <c r="AC15" s="2327"/>
      <c r="AD15" s="1518">
        <v>3.79</v>
      </c>
      <c r="AE15" s="1518">
        <v>14.18</v>
      </c>
      <c r="AF15" s="1518">
        <v>7.51</v>
      </c>
      <c r="AG15" s="1518">
        <v>38.409999999999997</v>
      </c>
      <c r="AH15" s="2327"/>
      <c r="AI15" s="2329"/>
      <c r="AJ15" s="2331"/>
    </row>
    <row r="16" spans="1:38">
      <c r="A16" s="1478"/>
      <c r="B16" s="1493"/>
      <c r="C16" s="1548"/>
      <c r="D16" s="1535" t="s">
        <v>1771</v>
      </c>
      <c r="E16" s="2283">
        <v>18</v>
      </c>
      <c r="F16" s="2285"/>
      <c r="G16" s="1535" t="s">
        <v>40</v>
      </c>
      <c r="H16" s="1541">
        <v>20925</v>
      </c>
      <c r="I16" s="1541">
        <f t="shared" si="2"/>
        <v>376.65</v>
      </c>
      <c r="J16" s="1563">
        <f t="shared" si="3"/>
        <v>376.65</v>
      </c>
      <c r="K16" s="1587"/>
      <c r="L16" s="1545" t="s">
        <v>1772</v>
      </c>
      <c r="N16" s="2271"/>
      <c r="O16" s="1520" t="s">
        <v>1487</v>
      </c>
      <c r="P16" s="1520" t="s">
        <v>1463</v>
      </c>
      <c r="Q16" s="1520" t="s">
        <v>1481</v>
      </c>
      <c r="R16" s="1525">
        <v>7.0023148148148147E-4</v>
      </c>
      <c r="S16" s="1520">
        <v>270</v>
      </c>
      <c r="T16" s="1520" t="s">
        <v>1480</v>
      </c>
      <c r="U16" s="1521" t="s">
        <v>1465</v>
      </c>
      <c r="Y16" s="2271"/>
      <c r="Z16" s="2261" t="s">
        <v>1459</v>
      </c>
      <c r="AA16" s="1508" t="s">
        <v>1650</v>
      </c>
      <c r="AB16" s="1508" t="s">
        <v>1638</v>
      </c>
      <c r="AC16" s="2261">
        <v>50</v>
      </c>
      <c r="AD16" s="1508" t="s">
        <v>1640</v>
      </c>
      <c r="AE16" s="1508" t="s">
        <v>1641</v>
      </c>
      <c r="AF16" s="1508" t="s">
        <v>1642</v>
      </c>
      <c r="AG16" s="1508" t="s">
        <v>1641</v>
      </c>
      <c r="AH16" s="2261" t="s">
        <v>942</v>
      </c>
      <c r="AI16" s="2297" t="s">
        <v>1627</v>
      </c>
      <c r="AJ16" s="2324" t="s">
        <v>1468</v>
      </c>
    </row>
    <row r="17" spans="1:36">
      <c r="A17" s="1478"/>
      <c r="B17" s="1493"/>
      <c r="C17" s="1548"/>
      <c r="D17" s="1535" t="s">
        <v>1773</v>
      </c>
      <c r="E17" s="2283">
        <v>410</v>
      </c>
      <c r="F17" s="2285"/>
      <c r="G17" s="1535" t="s">
        <v>1762</v>
      </c>
      <c r="H17" s="1542">
        <v>97</v>
      </c>
      <c r="I17" s="1541">
        <f t="shared" si="2"/>
        <v>39.770000000000003</v>
      </c>
      <c r="J17" s="1563">
        <f t="shared" si="3"/>
        <v>39.770000000000003</v>
      </c>
      <c r="K17" s="1587"/>
      <c r="L17" s="1545" t="s">
        <v>1774</v>
      </c>
      <c r="N17" s="2271"/>
      <c r="O17" s="1520" t="s">
        <v>1488</v>
      </c>
      <c r="P17" s="1520" t="s">
        <v>1463</v>
      </c>
      <c r="Q17" s="1520" t="s">
        <v>1482</v>
      </c>
      <c r="R17" s="1525">
        <v>7.175925925925927E-4</v>
      </c>
      <c r="S17" s="1520">
        <v>70</v>
      </c>
      <c r="T17" s="1520" t="s">
        <v>1483</v>
      </c>
      <c r="U17" s="1521" t="s">
        <v>1465</v>
      </c>
      <c r="Y17" s="2271"/>
      <c r="Z17" s="2262"/>
      <c r="AA17" s="1477" t="s">
        <v>1656</v>
      </c>
      <c r="AB17" s="1477" t="s">
        <v>1639</v>
      </c>
      <c r="AC17" s="2262"/>
      <c r="AD17" s="1477">
        <v>3.36</v>
      </c>
      <c r="AE17" s="1477">
        <v>13.69</v>
      </c>
      <c r="AF17" s="1477">
        <v>6.72</v>
      </c>
      <c r="AG17" s="1477">
        <v>31.43</v>
      </c>
      <c r="AH17" s="2262"/>
      <c r="AI17" s="2299"/>
      <c r="AJ17" s="2325"/>
    </row>
    <row r="18" spans="1:36">
      <c r="A18" s="1478"/>
      <c r="B18" s="1493"/>
      <c r="C18" s="1548"/>
      <c r="D18" s="1535" t="s">
        <v>1775</v>
      </c>
      <c r="E18" s="2283">
        <v>1</v>
      </c>
      <c r="F18" s="2285"/>
      <c r="G18" s="1535" t="s">
        <v>56</v>
      </c>
      <c r="H18" s="1542">
        <v>250</v>
      </c>
      <c r="I18" s="1541">
        <v>250</v>
      </c>
      <c r="J18" s="1563">
        <f>E18*H18</f>
        <v>250</v>
      </c>
      <c r="K18" s="1587"/>
      <c r="L18" s="1545"/>
      <c r="N18" s="2271"/>
      <c r="O18" s="1520" t="s">
        <v>1489</v>
      </c>
      <c r="P18" s="1520" t="s">
        <v>1463</v>
      </c>
      <c r="Q18" s="1520" t="s">
        <v>1484</v>
      </c>
      <c r="R18" s="1525">
        <v>7.175925925925927E-4</v>
      </c>
      <c r="S18" s="1520">
        <v>81</v>
      </c>
      <c r="T18" s="1520" t="s">
        <v>1483</v>
      </c>
      <c r="U18" s="1521" t="s">
        <v>1465</v>
      </c>
      <c r="Y18" s="2271"/>
      <c r="Z18" s="2261" t="s">
        <v>1459</v>
      </c>
      <c r="AA18" s="1508" t="s">
        <v>1650</v>
      </c>
      <c r="AB18" s="1508" t="s">
        <v>1643</v>
      </c>
      <c r="AC18" s="2261">
        <v>65</v>
      </c>
      <c r="AD18" s="1508" t="s">
        <v>1645</v>
      </c>
      <c r="AE18" s="1508" t="s">
        <v>1635</v>
      </c>
      <c r="AF18" s="1508" t="s">
        <v>1646</v>
      </c>
      <c r="AG18" s="1508" t="s">
        <v>1647</v>
      </c>
      <c r="AH18" s="2261" t="s">
        <v>942</v>
      </c>
      <c r="AI18" s="2297" t="s">
        <v>1627</v>
      </c>
      <c r="AJ18" s="2324" t="s">
        <v>1468</v>
      </c>
    </row>
    <row r="19" spans="1:36" ht="12.75" thickBot="1">
      <c r="A19" s="1478"/>
      <c r="B19" s="1493"/>
      <c r="C19" s="1535"/>
      <c r="D19" s="1546" t="s">
        <v>1776</v>
      </c>
      <c r="E19" s="2284">
        <v>250</v>
      </c>
      <c r="F19" s="2285"/>
      <c r="G19" s="1535" t="s">
        <v>1762</v>
      </c>
      <c r="H19" s="1541">
        <v>2250</v>
      </c>
      <c r="I19" s="1541">
        <f t="shared" ref="I19" si="4">H19*E19/1000</f>
        <v>562.5</v>
      </c>
      <c r="J19" s="1563">
        <f t="shared" si="3"/>
        <v>562.5</v>
      </c>
      <c r="K19" s="1587"/>
      <c r="L19" s="1545" t="s">
        <v>1777</v>
      </c>
      <c r="N19" s="2271"/>
      <c r="O19" s="1470" t="s">
        <v>1490</v>
      </c>
      <c r="P19" s="1470" t="s">
        <v>1463</v>
      </c>
      <c r="Q19" s="1470" t="s">
        <v>1485</v>
      </c>
      <c r="R19" s="1479">
        <v>7.0023148148148147E-4</v>
      </c>
      <c r="S19" s="1470">
        <v>120</v>
      </c>
      <c r="T19" s="1470" t="s">
        <v>1461</v>
      </c>
      <c r="U19" s="1471" t="s">
        <v>1468</v>
      </c>
      <c r="Y19" s="2272"/>
      <c r="Z19" s="2322"/>
      <c r="AA19" s="1509" t="s">
        <v>1657</v>
      </c>
      <c r="AB19" s="1509" t="s">
        <v>1644</v>
      </c>
      <c r="AC19" s="2322"/>
      <c r="AD19" s="1509">
        <v>3.37</v>
      </c>
      <c r="AE19" s="1509">
        <v>13.66</v>
      </c>
      <c r="AF19" s="1509">
        <v>7.34</v>
      </c>
      <c r="AG19" s="1509">
        <v>32.21</v>
      </c>
      <c r="AH19" s="2322"/>
      <c r="AI19" s="2323"/>
      <c r="AJ19" s="2272"/>
    </row>
    <row r="20" spans="1:36" ht="13.5" thickTop="1" thickBot="1">
      <c r="A20" s="1478"/>
      <c r="B20" s="1493"/>
      <c r="C20" s="2293" t="s">
        <v>1778</v>
      </c>
      <c r="D20" s="2294"/>
      <c r="E20" s="2294"/>
      <c r="F20" s="1546"/>
      <c r="G20" s="1546"/>
      <c r="H20" s="1542"/>
      <c r="I20" s="1547">
        <f>SUM(I21:I25)</f>
        <v>721.55600000000004</v>
      </c>
      <c r="J20" s="1562">
        <f>SUM(J21:J25)</f>
        <v>721.55600000000004</v>
      </c>
      <c r="K20" s="1586"/>
      <c r="L20" s="1545"/>
      <c r="N20" s="2272"/>
      <c r="O20" s="2342" t="s">
        <v>39</v>
      </c>
      <c r="P20" s="2343"/>
      <c r="Q20" s="1489" t="s">
        <v>1491</v>
      </c>
      <c r="R20" s="1489"/>
      <c r="S20" s="1489">
        <v>666</v>
      </c>
      <c r="T20" s="1489"/>
      <c r="U20" s="1491"/>
    </row>
    <row r="21" spans="1:36" ht="12.75" thickTop="1">
      <c r="A21" s="1478"/>
      <c r="B21" s="1493"/>
      <c r="C21" s="1548"/>
      <c r="D21" s="1535" t="s">
        <v>1769</v>
      </c>
      <c r="E21" s="2283">
        <v>50</v>
      </c>
      <c r="F21" s="2285"/>
      <c r="G21" s="1535" t="s">
        <v>1762</v>
      </c>
      <c r="H21" s="1541">
        <v>4230</v>
      </c>
      <c r="I21" s="1541">
        <f t="shared" ref="I21:I23" si="5">H21*E21/1000</f>
        <v>211.5</v>
      </c>
      <c r="J21" s="1563">
        <f t="shared" si="3"/>
        <v>211.5</v>
      </c>
      <c r="K21" s="1587"/>
      <c r="L21" s="1545" t="s">
        <v>1779</v>
      </c>
      <c r="AA21" s="1466" t="s">
        <v>1805</v>
      </c>
      <c r="AB21" s="1466">
        <v>9</v>
      </c>
      <c r="AC21" s="1466">
        <v>50</v>
      </c>
      <c r="AD21" s="1466">
        <f>AB21*AC21</f>
        <v>450</v>
      </c>
    </row>
    <row r="22" spans="1:36" ht="12.75" thickBot="1">
      <c r="A22" s="1478"/>
      <c r="B22" s="1493"/>
      <c r="C22" s="1548"/>
      <c r="D22" s="1535" t="s">
        <v>1771</v>
      </c>
      <c r="E22" s="2283">
        <v>6</v>
      </c>
      <c r="F22" s="2285"/>
      <c r="G22" s="1535" t="s">
        <v>40</v>
      </c>
      <c r="H22" s="1541">
        <v>20925</v>
      </c>
      <c r="I22" s="1541">
        <f t="shared" si="5"/>
        <v>125.55</v>
      </c>
      <c r="J22" s="1563">
        <f t="shared" si="3"/>
        <v>125.55</v>
      </c>
      <c r="K22" s="1587"/>
      <c r="L22" s="1545" t="s">
        <v>1780</v>
      </c>
      <c r="N22" s="1466" t="s">
        <v>1507</v>
      </c>
      <c r="R22" s="1526">
        <f>SUM(S24:S29)</f>
        <v>1114</v>
      </c>
      <c r="AB22" s="1466">
        <v>1</v>
      </c>
      <c r="AC22" s="1466">
        <v>36</v>
      </c>
      <c r="AD22" s="1466">
        <f>AB22*AC22</f>
        <v>36</v>
      </c>
    </row>
    <row r="23" spans="1:36" ht="13.5" thickTop="1" thickBot="1">
      <c r="A23" s="1478"/>
      <c r="B23" s="1493"/>
      <c r="C23" s="1548"/>
      <c r="D23" s="1535" t="s">
        <v>1773</v>
      </c>
      <c r="E23" s="2283">
        <v>98</v>
      </c>
      <c r="F23" s="2285"/>
      <c r="G23" s="1535" t="s">
        <v>1762</v>
      </c>
      <c r="H23" s="1542">
        <v>97</v>
      </c>
      <c r="I23" s="1541">
        <f t="shared" si="5"/>
        <v>9.5060000000000002</v>
      </c>
      <c r="J23" s="1563">
        <f t="shared" si="3"/>
        <v>9.5060000000000002</v>
      </c>
      <c r="K23" s="1587"/>
      <c r="L23" s="1545" t="s">
        <v>1781</v>
      </c>
      <c r="N23" s="1467" t="s">
        <v>1448</v>
      </c>
      <c r="O23" s="1468" t="s">
        <v>1449</v>
      </c>
      <c r="P23" s="1468" t="s">
        <v>1450</v>
      </c>
      <c r="Q23" s="1468" t="s">
        <v>1469</v>
      </c>
      <c r="R23" s="1468" t="s">
        <v>1447</v>
      </c>
      <c r="S23" s="1468" t="s">
        <v>1470</v>
      </c>
      <c r="T23" s="1468" t="s">
        <v>42</v>
      </c>
      <c r="U23" s="1469" t="s">
        <v>1478</v>
      </c>
      <c r="AD23" s="1466">
        <f>SUM(AD21:AD22)</f>
        <v>486</v>
      </c>
    </row>
    <row r="24" spans="1:36" ht="12.75" thickTop="1">
      <c r="A24" s="1478"/>
      <c r="B24" s="1493"/>
      <c r="C24" s="1548"/>
      <c r="D24" s="1535" t="s">
        <v>1775</v>
      </c>
      <c r="E24" s="2283">
        <v>1</v>
      </c>
      <c r="F24" s="2285"/>
      <c r="G24" s="1535" t="s">
        <v>56</v>
      </c>
      <c r="H24" s="1542">
        <v>200</v>
      </c>
      <c r="I24" s="1541">
        <v>200</v>
      </c>
      <c r="J24" s="1563">
        <f>E24*H24</f>
        <v>200</v>
      </c>
      <c r="K24" s="1587"/>
      <c r="L24" s="1545"/>
      <c r="N24" s="2270" t="s">
        <v>1458</v>
      </c>
      <c r="O24" s="1515" t="s">
        <v>1500</v>
      </c>
      <c r="P24" s="1515" t="s">
        <v>1463</v>
      </c>
      <c r="Q24" s="1515" t="s">
        <v>1492</v>
      </c>
      <c r="R24" s="1524">
        <v>7.0023148148148147E-4</v>
      </c>
      <c r="S24" s="1515">
        <v>50</v>
      </c>
      <c r="T24" s="1515" t="s">
        <v>1461</v>
      </c>
      <c r="U24" s="1516" t="s">
        <v>1462</v>
      </c>
    </row>
    <row r="25" spans="1:36">
      <c r="A25" s="1478"/>
      <c r="B25" s="1549"/>
      <c r="C25" s="1535"/>
      <c r="D25" s="1535" t="s">
        <v>1776</v>
      </c>
      <c r="E25" s="2283">
        <v>100</v>
      </c>
      <c r="F25" s="2285"/>
      <c r="G25" s="1535" t="s">
        <v>1762</v>
      </c>
      <c r="H25" s="1541">
        <v>1750</v>
      </c>
      <c r="I25" s="1541">
        <f t="shared" ref="I25" si="6">H25*E25/1000</f>
        <v>175</v>
      </c>
      <c r="J25" s="1563">
        <f t="shared" si="3"/>
        <v>175</v>
      </c>
      <c r="K25" s="1587"/>
      <c r="L25" s="1545" t="s">
        <v>1777</v>
      </c>
      <c r="N25" s="2271"/>
      <c r="O25" s="1520" t="s">
        <v>1501</v>
      </c>
      <c r="P25" s="1520" t="s">
        <v>1463</v>
      </c>
      <c r="Q25" s="1520" t="s">
        <v>1493</v>
      </c>
      <c r="R25" s="1525">
        <v>7.175925925925927E-4</v>
      </c>
      <c r="S25" s="1520">
        <v>100</v>
      </c>
      <c r="T25" s="1520" t="s">
        <v>1483</v>
      </c>
      <c r="U25" s="1521" t="s">
        <v>1465</v>
      </c>
      <c r="AA25" s="1466" t="s">
        <v>1806</v>
      </c>
      <c r="AB25" s="1466">
        <v>5</v>
      </c>
      <c r="AC25" s="1466">
        <v>50</v>
      </c>
      <c r="AD25" s="1466">
        <f>AB25*AC25</f>
        <v>250</v>
      </c>
    </row>
    <row r="26" spans="1:36">
      <c r="A26" s="1478"/>
      <c r="B26" s="2292" t="s">
        <v>1782</v>
      </c>
      <c r="C26" s="2290"/>
      <c r="D26" s="2291"/>
      <c r="E26" s="2292">
        <v>100</v>
      </c>
      <c r="F26" s="2291"/>
      <c r="G26" s="1571" t="s">
        <v>1783</v>
      </c>
      <c r="H26" s="1572">
        <v>29.7</v>
      </c>
      <c r="I26" s="1573">
        <v>5937</v>
      </c>
      <c r="J26" s="1567">
        <f>I26</f>
        <v>5937</v>
      </c>
      <c r="K26" s="1588"/>
      <c r="L26" s="1540" t="s">
        <v>1784</v>
      </c>
      <c r="N26" s="2271"/>
      <c r="O26" s="1520" t="s">
        <v>1502</v>
      </c>
      <c r="P26" s="1520" t="s">
        <v>1459</v>
      </c>
      <c r="Q26" s="1520" t="s">
        <v>1494</v>
      </c>
      <c r="R26" s="1525">
        <v>7.175925925925927E-4</v>
      </c>
      <c r="S26" s="1520">
        <v>285</v>
      </c>
      <c r="T26" s="1520" t="s">
        <v>1483</v>
      </c>
      <c r="U26" s="1521" t="s">
        <v>1465</v>
      </c>
      <c r="AB26" s="1466">
        <v>1</v>
      </c>
      <c r="AC26" s="1466">
        <v>35</v>
      </c>
      <c r="AD26" s="1466">
        <f>AB26*AC26</f>
        <v>35</v>
      </c>
    </row>
    <row r="27" spans="1:36">
      <c r="A27" s="1480"/>
      <c r="B27" s="2283" t="s">
        <v>1785</v>
      </c>
      <c r="C27" s="2284"/>
      <c r="D27" s="2285"/>
      <c r="E27" s="2286">
        <v>1190</v>
      </c>
      <c r="F27" s="2287"/>
      <c r="G27" s="1484" t="s">
        <v>1762</v>
      </c>
      <c r="H27" s="1543">
        <v>1.96</v>
      </c>
      <c r="I27" s="1550">
        <v>2332</v>
      </c>
      <c r="J27" s="1564">
        <f>E27*H27</f>
        <v>2332.4</v>
      </c>
      <c r="K27" s="1568"/>
      <c r="L27" s="1545" t="s">
        <v>1786</v>
      </c>
      <c r="N27" s="2271"/>
      <c r="O27" s="1520" t="s">
        <v>1503</v>
      </c>
      <c r="P27" s="1520" t="s">
        <v>1463</v>
      </c>
      <c r="Q27" s="1520" t="s">
        <v>1495</v>
      </c>
      <c r="R27" s="1525">
        <v>7.175925925925927E-4</v>
      </c>
      <c r="S27" s="1520">
        <v>120</v>
      </c>
      <c r="T27" s="1520" t="s">
        <v>1483</v>
      </c>
      <c r="U27" s="1521" t="s">
        <v>1465</v>
      </c>
      <c r="AD27" s="1466">
        <v>285</v>
      </c>
    </row>
    <row r="28" spans="1:36" ht="14.45" customHeight="1">
      <c r="A28" s="2289" t="s">
        <v>1787</v>
      </c>
      <c r="B28" s="2290"/>
      <c r="C28" s="2290"/>
      <c r="D28" s="2291"/>
      <c r="E28" s="1574"/>
      <c r="F28" s="1575"/>
      <c r="G28" s="1576"/>
      <c r="H28" s="1577"/>
      <c r="I28" s="1578">
        <v>1976</v>
      </c>
      <c r="J28" s="1570">
        <f>I28</f>
        <v>1976</v>
      </c>
      <c r="K28" s="1589"/>
      <c r="L28" s="1551" t="s">
        <v>1801</v>
      </c>
      <c r="N28" s="2271"/>
      <c r="O28" s="1520" t="s">
        <v>1504</v>
      </c>
      <c r="P28" s="1520" t="s">
        <v>1463</v>
      </c>
      <c r="Q28" s="1520" t="s">
        <v>1496</v>
      </c>
      <c r="R28" s="1525">
        <v>7.0023148148148147E-4</v>
      </c>
      <c r="S28" s="1520">
        <v>109</v>
      </c>
      <c r="T28" s="1520" t="s">
        <v>1497</v>
      </c>
      <c r="U28" s="1521" t="s">
        <v>1465</v>
      </c>
    </row>
    <row r="29" spans="1:36">
      <c r="A29" s="2288" t="s">
        <v>1788</v>
      </c>
      <c r="B29" s="2284"/>
      <c r="C29" s="2284"/>
      <c r="D29" s="2285"/>
      <c r="E29" s="2286">
        <v>24690</v>
      </c>
      <c r="F29" s="2287"/>
      <c r="G29" s="1484" t="s">
        <v>1789</v>
      </c>
      <c r="H29" s="1543">
        <v>63</v>
      </c>
      <c r="I29" s="1550">
        <v>2500</v>
      </c>
      <c r="J29" s="1565">
        <f>I29</f>
        <v>2500</v>
      </c>
      <c r="K29" s="1569"/>
      <c r="L29" s="1551" t="s">
        <v>1790</v>
      </c>
      <c r="N29" s="2271"/>
      <c r="O29" s="1520" t="s">
        <v>1505</v>
      </c>
      <c r="P29" s="1520" t="s">
        <v>1463</v>
      </c>
      <c r="Q29" s="1520" t="s">
        <v>1498</v>
      </c>
      <c r="R29" s="1525">
        <v>7.0023148148148147E-4</v>
      </c>
      <c r="S29" s="1520">
        <v>450</v>
      </c>
      <c r="T29" s="1520" t="s">
        <v>1461</v>
      </c>
      <c r="U29" s="1521" t="s">
        <v>1465</v>
      </c>
    </row>
    <row r="30" spans="1:36">
      <c r="A30" s="2288" t="s">
        <v>1791</v>
      </c>
      <c r="B30" s="2284"/>
      <c r="C30" s="2284"/>
      <c r="D30" s="2285"/>
      <c r="E30" s="2283">
        <v>1</v>
      </c>
      <c r="F30" s="2285"/>
      <c r="G30" s="1484" t="s">
        <v>56</v>
      </c>
      <c r="H30" s="1543">
        <v>793</v>
      </c>
      <c r="I30" s="1550">
        <f>I5*0.05</f>
        <v>908.56511</v>
      </c>
      <c r="J30" s="1565">
        <f>J5*0.05</f>
        <v>908.56115000000011</v>
      </c>
      <c r="K30" s="1569"/>
      <c r="L30" s="1551" t="s">
        <v>1792</v>
      </c>
      <c r="N30" s="2271"/>
      <c r="O30" s="1470" t="s">
        <v>1506</v>
      </c>
      <c r="P30" s="1470" t="s">
        <v>1459</v>
      </c>
      <c r="Q30" s="1470" t="s">
        <v>1499</v>
      </c>
      <c r="R30" s="1479">
        <v>7.0023148148148147E-4</v>
      </c>
      <c r="S30" s="1470">
        <v>160</v>
      </c>
      <c r="T30" s="1470" t="s">
        <v>1461</v>
      </c>
      <c r="U30" s="1471" t="s">
        <v>1468</v>
      </c>
    </row>
    <row r="31" spans="1:36" ht="12.75" thickBot="1">
      <c r="A31" s="1476" t="s">
        <v>1793</v>
      </c>
      <c r="B31" s="2255" t="s">
        <v>1794</v>
      </c>
      <c r="C31" s="2256"/>
      <c r="D31" s="2257"/>
      <c r="E31" s="2255">
        <v>1</v>
      </c>
      <c r="F31" s="2257"/>
      <c r="G31" s="2261" t="s">
        <v>56</v>
      </c>
      <c r="H31" s="2263"/>
      <c r="I31" s="2265">
        <v>1600</v>
      </c>
      <c r="J31" s="2252">
        <f>I31</f>
        <v>1600</v>
      </c>
      <c r="K31" s="1568"/>
      <c r="L31" s="1540" t="s">
        <v>1795</v>
      </c>
      <c r="N31" s="2272"/>
      <c r="O31" s="1489" t="s">
        <v>39</v>
      </c>
      <c r="P31" s="1489"/>
      <c r="Q31" s="1489"/>
      <c r="R31" s="1489"/>
      <c r="S31" s="1490">
        <v>1274</v>
      </c>
      <c r="T31" s="1489"/>
      <c r="U31" s="1491"/>
    </row>
    <row r="32" spans="1:36" ht="12.75" thickTop="1">
      <c r="A32" s="1476" t="s">
        <v>1796</v>
      </c>
      <c r="B32" s="2258"/>
      <c r="C32" s="2259"/>
      <c r="D32" s="2260"/>
      <c r="E32" s="2258"/>
      <c r="F32" s="2260"/>
      <c r="G32" s="2262"/>
      <c r="H32" s="2264"/>
      <c r="I32" s="2266"/>
      <c r="J32" s="2253"/>
      <c r="K32" s="1568"/>
      <c r="L32" s="1540" t="s">
        <v>1797</v>
      </c>
    </row>
    <row r="33" spans="1:34" ht="12.75" thickBot="1">
      <c r="A33" s="1514" t="s">
        <v>1798</v>
      </c>
      <c r="B33" s="2267" t="s">
        <v>1799</v>
      </c>
      <c r="C33" s="2268"/>
      <c r="D33" s="2269"/>
      <c r="E33" s="2267">
        <v>1</v>
      </c>
      <c r="F33" s="2269"/>
      <c r="G33" s="1552" t="s">
        <v>56</v>
      </c>
      <c r="H33" s="1552"/>
      <c r="I33" s="1553">
        <v>1950</v>
      </c>
      <c r="J33" s="1566">
        <f>I33</f>
        <v>1950</v>
      </c>
      <c r="K33" s="1590"/>
      <c r="L33" s="1554"/>
      <c r="N33" s="1466" t="s">
        <v>1509</v>
      </c>
      <c r="W33" s="1580" t="s">
        <v>1802</v>
      </c>
      <c r="Y33" s="1466" t="s">
        <v>1509</v>
      </c>
    </row>
    <row r="34" spans="1:34" ht="13.5" thickTop="1" thickBot="1">
      <c r="N34" s="1466" t="s">
        <v>1542</v>
      </c>
      <c r="P34" s="1466">
        <v>7</v>
      </c>
      <c r="Q34" s="1466" t="s">
        <v>213</v>
      </c>
      <c r="W34" s="1580">
        <v>5</v>
      </c>
      <c r="AA34" s="1466">
        <v>1</v>
      </c>
      <c r="AB34" s="1466" t="s">
        <v>213</v>
      </c>
    </row>
    <row r="35" spans="1:34" ht="12.75" thickTop="1">
      <c r="N35" s="2273" t="s">
        <v>1510</v>
      </c>
      <c r="O35" s="2276" t="s">
        <v>1450</v>
      </c>
      <c r="P35" s="2276" t="s">
        <v>1511</v>
      </c>
      <c r="Q35" s="1485" t="s">
        <v>1512</v>
      </c>
      <c r="R35" s="1485" t="s">
        <v>1514</v>
      </c>
      <c r="S35" s="1485" t="s">
        <v>1515</v>
      </c>
      <c r="T35" s="2279" t="s">
        <v>1518</v>
      </c>
      <c r="U35" s="2280"/>
      <c r="V35" s="2344" t="s">
        <v>47</v>
      </c>
      <c r="Y35" s="2319" t="s">
        <v>1658</v>
      </c>
      <c r="Z35" s="2308" t="s">
        <v>1511</v>
      </c>
      <c r="AA35" s="1510" t="s">
        <v>1512</v>
      </c>
      <c r="AB35" s="2308" t="s">
        <v>1450</v>
      </c>
      <c r="AC35" s="1510" t="s">
        <v>1660</v>
      </c>
      <c r="AD35" s="1510" t="s">
        <v>1661</v>
      </c>
      <c r="AE35" s="1510" t="s">
        <v>1662</v>
      </c>
      <c r="AF35" s="2306" t="s">
        <v>1672</v>
      </c>
      <c r="AG35" s="2302"/>
      <c r="AH35" s="1511" t="s">
        <v>1454</v>
      </c>
    </row>
    <row r="36" spans="1:34">
      <c r="N36" s="2274"/>
      <c r="O36" s="2277"/>
      <c r="P36" s="2277"/>
      <c r="Q36" s="1492" t="s">
        <v>1513</v>
      </c>
      <c r="R36" s="1492" t="s">
        <v>1532</v>
      </c>
      <c r="S36" s="1492" t="s">
        <v>1516</v>
      </c>
      <c r="T36" s="2281"/>
      <c r="U36" s="2282"/>
      <c r="V36" s="2345"/>
      <c r="Y36" s="2271"/>
      <c r="Z36" s="2321"/>
      <c r="AA36" s="1483" t="s">
        <v>1659</v>
      </c>
      <c r="AB36" s="2321"/>
      <c r="AC36" s="1483" t="s">
        <v>1673</v>
      </c>
      <c r="AD36" s="1483" t="s">
        <v>1673</v>
      </c>
      <c r="AE36" s="1483" t="s">
        <v>1674</v>
      </c>
      <c r="AF36" s="2258"/>
      <c r="AG36" s="2260"/>
      <c r="AH36" s="1512" t="s">
        <v>1455</v>
      </c>
    </row>
    <row r="37" spans="1:34">
      <c r="N37" s="2274"/>
      <c r="O37" s="2277"/>
      <c r="P37" s="2277"/>
      <c r="Q37" s="1493"/>
      <c r="R37" s="1492" t="s">
        <v>1533</v>
      </c>
      <c r="S37" s="1492" t="s">
        <v>1517</v>
      </c>
      <c r="T37" s="1494" t="s">
        <v>1519</v>
      </c>
      <c r="U37" s="1494" t="s">
        <v>1521</v>
      </c>
      <c r="V37" s="2345"/>
      <c r="Y37" s="2271"/>
      <c r="Z37" s="2321"/>
      <c r="AA37" s="1493"/>
      <c r="AB37" s="2321"/>
      <c r="AC37" s="1483" t="s">
        <v>1675</v>
      </c>
      <c r="AD37" s="1483" t="s">
        <v>1675</v>
      </c>
      <c r="AE37" s="1493"/>
      <c r="AF37" s="1508" t="s">
        <v>1663</v>
      </c>
      <c r="AG37" s="1508" t="s">
        <v>1665</v>
      </c>
      <c r="AH37" s="1497"/>
    </row>
    <row r="38" spans="1:34" ht="12.75" thickBot="1">
      <c r="N38" s="2275"/>
      <c r="O38" s="2278"/>
      <c r="P38" s="2278"/>
      <c r="Q38" s="1495"/>
      <c r="R38" s="1495"/>
      <c r="S38" s="1495"/>
      <c r="T38" s="1487" t="s">
        <v>1520</v>
      </c>
      <c r="U38" s="1487" t="s">
        <v>1534</v>
      </c>
      <c r="V38" s="2338"/>
      <c r="Y38" s="2320"/>
      <c r="Z38" s="2309"/>
      <c r="AA38" s="1495"/>
      <c r="AB38" s="2309"/>
      <c r="AC38" s="1495"/>
      <c r="AD38" s="1495"/>
      <c r="AE38" s="1495"/>
      <c r="AF38" s="1513" t="s">
        <v>1664</v>
      </c>
      <c r="AG38" s="1513" t="s">
        <v>1664</v>
      </c>
      <c r="AH38" s="1498"/>
    </row>
    <row r="39" spans="1:34" ht="12.75" thickTop="1">
      <c r="N39" s="2270" t="s">
        <v>1458</v>
      </c>
      <c r="O39" s="1515" t="s">
        <v>1463</v>
      </c>
      <c r="P39" s="1515" t="s">
        <v>1535</v>
      </c>
      <c r="Q39" s="1515" t="s">
        <v>1522</v>
      </c>
      <c r="R39" s="1515">
        <v>500</v>
      </c>
      <c r="S39" s="1515">
        <v>7.0000000000000001E-3</v>
      </c>
      <c r="T39" s="1515">
        <v>0.06</v>
      </c>
      <c r="U39" s="1515">
        <v>800</v>
      </c>
      <c r="V39" s="1516"/>
      <c r="Y39" s="1475" t="s">
        <v>1676</v>
      </c>
      <c r="Z39" s="1515" t="s">
        <v>1677</v>
      </c>
      <c r="AA39" s="1515" t="s">
        <v>1666</v>
      </c>
      <c r="AB39" s="1515" t="s">
        <v>1463</v>
      </c>
      <c r="AC39" s="1515" t="s">
        <v>1667</v>
      </c>
      <c r="AD39" s="1515" t="s">
        <v>1668</v>
      </c>
      <c r="AE39" s="1515">
        <v>0.65</v>
      </c>
      <c r="AF39" s="1515">
        <v>0.39</v>
      </c>
      <c r="AG39" s="1515">
        <v>0.5</v>
      </c>
      <c r="AH39" s="1516" t="s">
        <v>1462</v>
      </c>
    </row>
    <row r="40" spans="1:34" ht="12.75" thickBot="1">
      <c r="N40" s="2271"/>
      <c r="O40" s="1520" t="s">
        <v>1459</v>
      </c>
      <c r="P40" s="1520" t="s">
        <v>1536</v>
      </c>
      <c r="Q40" s="1520" t="s">
        <v>1523</v>
      </c>
      <c r="R40" s="1520">
        <v>400</v>
      </c>
      <c r="S40" s="1520">
        <v>2.1999999999999999E-2</v>
      </c>
      <c r="T40" s="1520">
        <v>7.0000000000000007E-2</v>
      </c>
      <c r="U40" s="1520">
        <v>800</v>
      </c>
      <c r="V40" s="1521"/>
      <c r="Y40" s="1514"/>
      <c r="Z40" s="1472" t="s">
        <v>1678</v>
      </c>
      <c r="AA40" s="1472" t="s">
        <v>1669</v>
      </c>
      <c r="AB40" s="1472" t="s">
        <v>1463</v>
      </c>
      <c r="AC40" s="1472" t="s">
        <v>1670</v>
      </c>
      <c r="AD40" s="1472" t="s">
        <v>1671</v>
      </c>
      <c r="AE40" s="1472">
        <v>3.87</v>
      </c>
      <c r="AF40" s="1472">
        <v>2.3199999999999998</v>
      </c>
      <c r="AG40" s="1472">
        <v>3</v>
      </c>
      <c r="AH40" s="1473" t="s">
        <v>1468</v>
      </c>
    </row>
    <row r="41" spans="1:34" ht="12.75" thickTop="1">
      <c r="N41" s="2271"/>
      <c r="O41" s="1520" t="s">
        <v>1459</v>
      </c>
      <c r="P41" s="1520" t="s">
        <v>1537</v>
      </c>
      <c r="Q41" s="1520" t="s">
        <v>1524</v>
      </c>
      <c r="R41" s="1520" t="s">
        <v>1525</v>
      </c>
      <c r="S41" s="1520">
        <v>2.6040000000000001</v>
      </c>
      <c r="T41" s="1520">
        <v>20.93</v>
      </c>
      <c r="U41" s="1520" t="s">
        <v>1526</v>
      </c>
      <c r="V41" s="1521"/>
    </row>
    <row r="42" spans="1:34">
      <c r="N42" s="2271"/>
      <c r="O42" s="1520" t="s">
        <v>1463</v>
      </c>
      <c r="P42" s="1520" t="s">
        <v>1538</v>
      </c>
      <c r="Q42" s="1520" t="s">
        <v>1527</v>
      </c>
      <c r="R42" s="1520">
        <v>500</v>
      </c>
      <c r="S42" s="1520">
        <v>1.2999999999999999E-2</v>
      </c>
      <c r="T42" s="1520">
        <v>0.11</v>
      </c>
      <c r="U42" s="1520">
        <v>800</v>
      </c>
      <c r="V42" s="1521"/>
    </row>
    <row r="43" spans="1:34">
      <c r="N43" s="2271"/>
      <c r="O43" s="1520" t="s">
        <v>1463</v>
      </c>
      <c r="P43" s="1520" t="s">
        <v>1539</v>
      </c>
      <c r="Q43" s="1520" t="s">
        <v>1528</v>
      </c>
      <c r="R43" s="1520">
        <v>500</v>
      </c>
      <c r="S43" s="1520">
        <v>1.4E-2</v>
      </c>
      <c r="T43" s="1520">
        <v>0.12</v>
      </c>
      <c r="U43" s="1520">
        <v>800</v>
      </c>
      <c r="V43" s="1521"/>
    </row>
    <row r="44" spans="1:34">
      <c r="N44" s="2271"/>
      <c r="O44" s="1520" t="s">
        <v>1459</v>
      </c>
      <c r="P44" s="1520" t="s">
        <v>1540</v>
      </c>
      <c r="Q44" s="1520" t="s">
        <v>1529</v>
      </c>
      <c r="R44" s="1520">
        <v>800</v>
      </c>
      <c r="S44" s="1520">
        <v>0.13700000000000001</v>
      </c>
      <c r="T44" s="1520">
        <v>1.1000000000000001</v>
      </c>
      <c r="U44" s="1520" t="s">
        <v>1530</v>
      </c>
      <c r="V44" s="1521"/>
    </row>
    <row r="45" spans="1:34" ht="12.75" thickBot="1">
      <c r="N45" s="2272"/>
      <c r="O45" s="1522" t="s">
        <v>1459</v>
      </c>
      <c r="P45" s="1522" t="s">
        <v>1541</v>
      </c>
      <c r="Q45" s="1522" t="s">
        <v>1531</v>
      </c>
      <c r="R45" s="1522">
        <v>600</v>
      </c>
      <c r="S45" s="1522">
        <v>1.2999999999999999E-2</v>
      </c>
      <c r="T45" s="1522">
        <v>0.05</v>
      </c>
      <c r="U45" s="1522">
        <v>800</v>
      </c>
      <c r="V45" s="1523"/>
    </row>
    <row r="46" spans="1:34" ht="12.75" thickTop="1"/>
    <row r="47" spans="1:34" ht="12.75" thickBot="1">
      <c r="N47" s="1466" t="s">
        <v>1543</v>
      </c>
      <c r="P47" s="1527">
        <v>5</v>
      </c>
      <c r="Q47" s="1527" t="s">
        <v>213</v>
      </c>
    </row>
    <row r="48" spans="1:34" ht="12.75" thickTop="1">
      <c r="N48" s="2273" t="s">
        <v>1510</v>
      </c>
      <c r="O48" s="2276" t="s">
        <v>1450</v>
      </c>
      <c r="P48" s="2276" t="s">
        <v>1511</v>
      </c>
      <c r="Q48" s="1485" t="s">
        <v>1512</v>
      </c>
      <c r="R48" s="1485" t="s">
        <v>1514</v>
      </c>
      <c r="S48" s="1485" t="s">
        <v>1515</v>
      </c>
      <c r="T48" s="2279" t="s">
        <v>1518</v>
      </c>
      <c r="U48" s="2280"/>
      <c r="V48" s="2276" t="s">
        <v>47</v>
      </c>
      <c r="W48" s="1486" t="s">
        <v>1454</v>
      </c>
    </row>
    <row r="49" spans="14:36">
      <c r="N49" s="2274"/>
      <c r="O49" s="2277"/>
      <c r="P49" s="2277"/>
      <c r="Q49" s="1492" t="s">
        <v>1513</v>
      </c>
      <c r="R49" s="1492" t="s">
        <v>1532</v>
      </c>
      <c r="S49" s="1492" t="s">
        <v>1516</v>
      </c>
      <c r="T49" s="2281"/>
      <c r="U49" s="2282"/>
      <c r="V49" s="2277"/>
      <c r="W49" s="1496" t="s">
        <v>1455</v>
      </c>
    </row>
    <row r="50" spans="14:36">
      <c r="N50" s="2274"/>
      <c r="O50" s="2277"/>
      <c r="P50" s="2277"/>
      <c r="Q50" s="1493"/>
      <c r="R50" s="1492" t="s">
        <v>1533</v>
      </c>
      <c r="S50" s="1492" t="s">
        <v>1517</v>
      </c>
      <c r="T50" s="1494" t="s">
        <v>1519</v>
      </c>
      <c r="U50" s="1494" t="s">
        <v>1521</v>
      </c>
      <c r="V50" s="2277"/>
      <c r="W50" s="1497"/>
    </row>
    <row r="51" spans="14:36" ht="12.75" thickBot="1">
      <c r="N51" s="2275"/>
      <c r="O51" s="2278"/>
      <c r="P51" s="2278"/>
      <c r="Q51" s="1495"/>
      <c r="R51" s="1495"/>
      <c r="S51" s="1495"/>
      <c r="T51" s="1487" t="s">
        <v>1520</v>
      </c>
      <c r="U51" s="1487" t="s">
        <v>1534</v>
      </c>
      <c r="V51" s="2278"/>
      <c r="W51" s="1498"/>
    </row>
    <row r="52" spans="14:36" ht="12.75" thickTop="1">
      <c r="N52" s="2270" t="s">
        <v>1458</v>
      </c>
      <c r="O52" s="1515" t="s">
        <v>1459</v>
      </c>
      <c r="P52" s="1515" t="s">
        <v>1552</v>
      </c>
      <c r="Q52" s="1515" t="s">
        <v>1544</v>
      </c>
      <c r="R52" s="1515">
        <v>800</v>
      </c>
      <c r="S52" s="1515">
        <v>0.02</v>
      </c>
      <c r="T52" s="1515">
        <v>7.0000000000000007E-2</v>
      </c>
      <c r="U52" s="1515" t="s">
        <v>1545</v>
      </c>
      <c r="V52" s="1515" t="s">
        <v>1471</v>
      </c>
      <c r="W52" s="1516" t="s">
        <v>1462</v>
      </c>
    </row>
    <row r="53" spans="14:36">
      <c r="N53" s="2271"/>
      <c r="O53" s="1520" t="s">
        <v>1459</v>
      </c>
      <c r="P53" s="1520" t="s">
        <v>1553</v>
      </c>
      <c r="Q53" s="1520" t="s">
        <v>1546</v>
      </c>
      <c r="R53" s="1520">
        <v>1200</v>
      </c>
      <c r="S53" s="1520">
        <v>0.05</v>
      </c>
      <c r="T53" s="1520">
        <v>0.17</v>
      </c>
      <c r="U53" s="1520" t="s">
        <v>1547</v>
      </c>
      <c r="V53" s="1520" t="s">
        <v>1473</v>
      </c>
      <c r="W53" s="1521" t="s">
        <v>1462</v>
      </c>
    </row>
    <row r="54" spans="14:36">
      <c r="N54" s="2271"/>
      <c r="O54" s="1520" t="s">
        <v>1459</v>
      </c>
      <c r="P54" s="1520" t="s">
        <v>1554</v>
      </c>
      <c r="Q54" s="1520" t="s">
        <v>1548</v>
      </c>
      <c r="R54" s="1520">
        <v>1000</v>
      </c>
      <c r="S54" s="1520">
        <v>0.05</v>
      </c>
      <c r="T54" s="1520">
        <v>0.17</v>
      </c>
      <c r="U54" s="1520" t="s">
        <v>1549</v>
      </c>
      <c r="V54" s="1520" t="s">
        <v>1473</v>
      </c>
      <c r="W54" s="1521" t="s">
        <v>1462</v>
      </c>
    </row>
    <row r="55" spans="14:36">
      <c r="N55" s="2271"/>
      <c r="O55" s="1520" t="s">
        <v>1459</v>
      </c>
      <c r="P55" s="1520" t="s">
        <v>1555</v>
      </c>
      <c r="Q55" s="1520" t="s">
        <v>1550</v>
      </c>
      <c r="R55" s="1520">
        <v>800</v>
      </c>
      <c r="S55" s="1520">
        <v>6.4000000000000001E-2</v>
      </c>
      <c r="T55" s="1520">
        <v>0.22</v>
      </c>
      <c r="U55" s="1520" t="s">
        <v>1545</v>
      </c>
      <c r="V55" s="1520" t="s">
        <v>1473</v>
      </c>
      <c r="W55" s="1521" t="s">
        <v>1462</v>
      </c>
    </row>
    <row r="56" spans="14:36" ht="12.75" thickBot="1">
      <c r="N56" s="2272"/>
      <c r="O56" s="1522" t="s">
        <v>1459</v>
      </c>
      <c r="P56" s="1522" t="s">
        <v>1556</v>
      </c>
      <c r="Q56" s="1522" t="s">
        <v>1551</v>
      </c>
      <c r="R56" s="1522">
        <v>800</v>
      </c>
      <c r="S56" s="1522">
        <v>2.3E-2</v>
      </c>
      <c r="T56" s="1522">
        <v>0.15</v>
      </c>
      <c r="U56" s="1522" t="s">
        <v>1545</v>
      </c>
      <c r="V56" s="1522" t="s">
        <v>1473</v>
      </c>
      <c r="W56" s="1523" t="s">
        <v>1462</v>
      </c>
    </row>
    <row r="57" spans="14:36" ht="12.75" thickTop="1"/>
    <row r="58" spans="14:36" ht="12.75" thickBot="1">
      <c r="N58" s="1466" t="s">
        <v>1557</v>
      </c>
      <c r="O58" s="1504" t="s">
        <v>1591</v>
      </c>
      <c r="P58" s="1466">
        <v>8</v>
      </c>
      <c r="Q58" s="1466" t="s">
        <v>213</v>
      </c>
      <c r="R58" s="1504" t="s">
        <v>1592</v>
      </c>
      <c r="S58" s="1504">
        <v>2</v>
      </c>
      <c r="T58" s="1505" t="s">
        <v>213</v>
      </c>
      <c r="W58" s="2254" t="s">
        <v>1802</v>
      </c>
      <c r="X58" s="2254"/>
      <c r="Y58" s="1466" t="s">
        <v>1557</v>
      </c>
      <c r="Z58" s="1504" t="s">
        <v>1591</v>
      </c>
      <c r="AA58" s="1466">
        <v>2</v>
      </c>
      <c r="AB58" s="1466" t="s">
        <v>213</v>
      </c>
    </row>
    <row r="59" spans="14:36" ht="12.75" thickTop="1">
      <c r="N59" s="2350" t="s">
        <v>1510</v>
      </c>
      <c r="O59" s="1499" t="s">
        <v>1558</v>
      </c>
      <c r="P59" s="2346" t="s">
        <v>1559</v>
      </c>
      <c r="Q59" s="1499" t="s">
        <v>1560</v>
      </c>
      <c r="R59" s="2353" t="s">
        <v>1579</v>
      </c>
      <c r="S59" s="2354"/>
      <c r="T59" s="1499" t="s">
        <v>1563</v>
      </c>
      <c r="U59" s="2346" t="s">
        <v>47</v>
      </c>
      <c r="V59" s="1500" t="s">
        <v>1454</v>
      </c>
      <c r="W59" s="1580" t="s">
        <v>1803</v>
      </c>
      <c r="X59" s="1580" t="s">
        <v>1804</v>
      </c>
      <c r="Y59" s="2273" t="s">
        <v>1658</v>
      </c>
      <c r="Z59" s="2276" t="s">
        <v>1679</v>
      </c>
      <c r="AA59" s="1485" t="s">
        <v>1512</v>
      </c>
      <c r="AB59" s="2316" t="s">
        <v>1681</v>
      </c>
      <c r="AC59" s="2317"/>
      <c r="AD59" s="2318"/>
      <c r="AE59" s="2316" t="s">
        <v>1682</v>
      </c>
      <c r="AF59" s="2317"/>
      <c r="AG59" s="2317"/>
      <c r="AH59" s="2318"/>
      <c r="AI59" s="2276" t="s">
        <v>42</v>
      </c>
      <c r="AJ59" s="1486" t="s">
        <v>1454</v>
      </c>
    </row>
    <row r="60" spans="14:36">
      <c r="N60" s="2351"/>
      <c r="O60" s="1492" t="s">
        <v>1513</v>
      </c>
      <c r="P60" s="2277"/>
      <c r="Q60" s="1492" t="s">
        <v>1561</v>
      </c>
      <c r="R60" s="2281"/>
      <c r="S60" s="2282"/>
      <c r="T60" s="1492" t="s">
        <v>321</v>
      </c>
      <c r="U60" s="2277"/>
      <c r="V60" s="1501" t="s">
        <v>1455</v>
      </c>
      <c r="W60" s="1580">
        <v>9</v>
      </c>
      <c r="X60" s="1580">
        <v>3</v>
      </c>
      <c r="Y60" s="2274"/>
      <c r="Z60" s="2277"/>
      <c r="AA60" s="1492" t="s">
        <v>1680</v>
      </c>
      <c r="AB60" s="1494" t="s">
        <v>1665</v>
      </c>
      <c r="AC60" s="1494" t="s">
        <v>1684</v>
      </c>
      <c r="AD60" s="1494" t="s">
        <v>1685</v>
      </c>
      <c r="AE60" s="1494" t="s">
        <v>1665</v>
      </c>
      <c r="AF60" s="1494" t="s">
        <v>1687</v>
      </c>
      <c r="AG60" s="1494" t="s">
        <v>1684</v>
      </c>
      <c r="AH60" s="1494" t="s">
        <v>1689</v>
      </c>
      <c r="AI60" s="2277"/>
      <c r="AJ60" s="1496" t="s">
        <v>1455</v>
      </c>
    </row>
    <row r="61" spans="14:36" ht="12.75" thickBot="1">
      <c r="N61" s="2352"/>
      <c r="O61" s="1495"/>
      <c r="P61" s="2278"/>
      <c r="Q61" s="1487" t="s">
        <v>1562</v>
      </c>
      <c r="R61" s="1481" t="s">
        <v>1564</v>
      </c>
      <c r="S61" s="1481" t="s">
        <v>1560</v>
      </c>
      <c r="T61" s="1495"/>
      <c r="U61" s="2278"/>
      <c r="V61" s="1502"/>
      <c r="Y61" s="2274"/>
      <c r="Z61" s="2277"/>
      <c r="AA61" s="1493"/>
      <c r="AB61" s="1492" t="s">
        <v>1683</v>
      </c>
      <c r="AC61" s="1492" t="s">
        <v>1613</v>
      </c>
      <c r="AD61" s="1492" t="s">
        <v>1686</v>
      </c>
      <c r="AE61" s="1492" t="s">
        <v>1561</v>
      </c>
      <c r="AF61" s="1492" t="s">
        <v>321</v>
      </c>
      <c r="AG61" s="1492" t="s">
        <v>1688</v>
      </c>
      <c r="AH61" s="1492" t="s">
        <v>1686</v>
      </c>
      <c r="AI61" s="2277"/>
      <c r="AJ61" s="1497"/>
    </row>
    <row r="62" spans="14:36" ht="13.5" thickTop="1" thickBot="1">
      <c r="N62" s="2347" t="s">
        <v>1458</v>
      </c>
      <c r="O62" s="1515" t="s">
        <v>1565</v>
      </c>
      <c r="P62" s="1515" t="s">
        <v>1580</v>
      </c>
      <c r="Q62" s="1515">
        <v>80.03</v>
      </c>
      <c r="R62" s="1515">
        <v>10.9</v>
      </c>
      <c r="S62" s="1515">
        <v>25</v>
      </c>
      <c r="T62" s="1515">
        <v>3</v>
      </c>
      <c r="U62" s="1515" t="s">
        <v>1566</v>
      </c>
      <c r="V62" s="1528" t="s">
        <v>1462</v>
      </c>
      <c r="Y62" s="2275"/>
      <c r="Z62" s="2278"/>
      <c r="AA62" s="1495"/>
      <c r="AB62" s="1487" t="s">
        <v>321</v>
      </c>
      <c r="AC62" s="1487" t="s">
        <v>321</v>
      </c>
      <c r="AD62" s="1495"/>
      <c r="AE62" s="1487" t="s">
        <v>1562</v>
      </c>
      <c r="AF62" s="1495"/>
      <c r="AG62" s="1487" t="s">
        <v>321</v>
      </c>
      <c r="AH62" s="1495"/>
      <c r="AI62" s="2278"/>
      <c r="AJ62" s="1498"/>
    </row>
    <row r="63" spans="14:36" ht="12.75" thickTop="1">
      <c r="N63" s="2348"/>
      <c r="O63" s="1520" t="s">
        <v>1567</v>
      </c>
      <c r="P63" s="1520" t="s">
        <v>1581</v>
      </c>
      <c r="Q63" s="1520">
        <v>81.88</v>
      </c>
      <c r="R63" s="1520">
        <v>12.08</v>
      </c>
      <c r="S63" s="1520">
        <v>25</v>
      </c>
      <c r="T63" s="1520">
        <v>3.2</v>
      </c>
      <c r="U63" s="1520" t="s">
        <v>1568</v>
      </c>
      <c r="V63" s="1529" t="s">
        <v>1465</v>
      </c>
      <c r="Y63" s="1475" t="s">
        <v>1676</v>
      </c>
      <c r="Z63" s="1515" t="s">
        <v>1699</v>
      </c>
      <c r="AA63" s="1515" t="s">
        <v>1690</v>
      </c>
      <c r="AB63" s="1515">
        <v>16</v>
      </c>
      <c r="AC63" s="1515">
        <v>6.2</v>
      </c>
      <c r="AD63" s="1515" t="s">
        <v>1691</v>
      </c>
      <c r="AE63" s="1515">
        <v>96.01</v>
      </c>
      <c r="AF63" s="1515">
        <v>0.6</v>
      </c>
      <c r="AG63" s="1515">
        <v>95.81</v>
      </c>
      <c r="AH63" s="1515" t="s">
        <v>1691</v>
      </c>
      <c r="AI63" s="1515" t="s">
        <v>1590</v>
      </c>
      <c r="AJ63" s="1516" t="s">
        <v>1455</v>
      </c>
    </row>
    <row r="64" spans="14:36">
      <c r="N64" s="2348"/>
      <c r="O64" s="1520" t="s">
        <v>1569</v>
      </c>
      <c r="P64" s="1520" t="s">
        <v>1582</v>
      </c>
      <c r="Q64" s="1520">
        <v>82.1</v>
      </c>
      <c r="R64" s="1520">
        <v>17.829999999999998</v>
      </c>
      <c r="S64" s="1520">
        <v>25</v>
      </c>
      <c r="T64" s="1520">
        <v>3.5</v>
      </c>
      <c r="U64" s="1520" t="s">
        <v>1566</v>
      </c>
      <c r="V64" s="1529" t="s">
        <v>1465</v>
      </c>
      <c r="Y64" s="1476"/>
      <c r="Z64" s="1520" t="s">
        <v>1700</v>
      </c>
      <c r="AA64" s="1520" t="s">
        <v>1692</v>
      </c>
      <c r="AB64" s="1520">
        <v>16</v>
      </c>
      <c r="AC64" s="1520">
        <v>7</v>
      </c>
      <c r="AD64" s="1520" t="s">
        <v>1691</v>
      </c>
      <c r="AE64" s="1520">
        <v>103.06</v>
      </c>
      <c r="AF64" s="1520">
        <v>0.6</v>
      </c>
      <c r="AG64" s="1520">
        <v>103.74</v>
      </c>
      <c r="AH64" s="1520" t="s">
        <v>1693</v>
      </c>
      <c r="AI64" s="1520" t="s">
        <v>1590</v>
      </c>
      <c r="AJ64" s="1521" t="s">
        <v>1465</v>
      </c>
    </row>
    <row r="65" spans="14:36">
      <c r="N65" s="2348"/>
      <c r="O65" s="1520" t="s">
        <v>1570</v>
      </c>
      <c r="P65" s="1520" t="s">
        <v>1583</v>
      </c>
      <c r="Q65" s="1520">
        <v>83.15</v>
      </c>
      <c r="R65" s="1520">
        <v>16.899999999999999</v>
      </c>
      <c r="S65" s="1520">
        <v>25</v>
      </c>
      <c r="T65" s="1520">
        <v>6</v>
      </c>
      <c r="U65" s="1520" t="s">
        <v>1568</v>
      </c>
      <c r="V65" s="1529" t="s">
        <v>1465</v>
      </c>
      <c r="Y65" s="1476"/>
      <c r="Z65" s="1470" t="s">
        <v>1701</v>
      </c>
      <c r="AA65" s="1470" t="s">
        <v>1694</v>
      </c>
      <c r="AB65" s="1470">
        <v>16</v>
      </c>
      <c r="AC65" s="1470">
        <v>3.5</v>
      </c>
      <c r="AD65" s="1470" t="s">
        <v>1691</v>
      </c>
      <c r="AE65" s="1470">
        <v>106.53</v>
      </c>
      <c r="AF65" s="1470">
        <v>0.6</v>
      </c>
      <c r="AG65" s="1470">
        <v>106.04</v>
      </c>
      <c r="AH65" s="1470" t="s">
        <v>1691</v>
      </c>
      <c r="AI65" s="1470" t="s">
        <v>1590</v>
      </c>
      <c r="AJ65" s="1471" t="s">
        <v>1468</v>
      </c>
    </row>
    <row r="66" spans="14:36">
      <c r="N66" s="2348"/>
      <c r="O66" s="1520" t="s">
        <v>1571</v>
      </c>
      <c r="P66" s="1520" t="s">
        <v>1584</v>
      </c>
      <c r="Q66" s="1520">
        <v>85.79</v>
      </c>
      <c r="R66" s="1520">
        <v>20.9</v>
      </c>
      <c r="S66" s="1520">
        <v>25</v>
      </c>
      <c r="T66" s="1520">
        <v>3.5</v>
      </c>
      <c r="U66" s="1520" t="s">
        <v>1568</v>
      </c>
      <c r="V66" s="1529" t="s">
        <v>1465</v>
      </c>
      <c r="Y66" s="1476"/>
      <c r="Z66" s="1470" t="s">
        <v>1702</v>
      </c>
      <c r="AA66" s="1470" t="s">
        <v>1695</v>
      </c>
      <c r="AB66" s="1470">
        <v>16</v>
      </c>
      <c r="AC66" s="1470">
        <v>15.5</v>
      </c>
      <c r="AD66" s="1470" t="s">
        <v>1691</v>
      </c>
      <c r="AE66" s="1470">
        <v>108.54</v>
      </c>
      <c r="AF66" s="1470">
        <v>0.6</v>
      </c>
      <c r="AG66" s="1470">
        <v>107.61</v>
      </c>
      <c r="AH66" s="1470" t="s">
        <v>1691</v>
      </c>
      <c r="AI66" s="1470" t="s">
        <v>1590</v>
      </c>
      <c r="AJ66" s="1471" t="s">
        <v>1468</v>
      </c>
    </row>
    <row r="67" spans="14:36">
      <c r="N67" s="2348"/>
      <c r="O67" s="1520" t="s">
        <v>1572</v>
      </c>
      <c r="P67" s="1520" t="s">
        <v>1585</v>
      </c>
      <c r="Q67" s="1520">
        <v>86.56</v>
      </c>
      <c r="R67" s="1520">
        <v>21.2</v>
      </c>
      <c r="S67" s="1520">
        <v>25</v>
      </c>
      <c r="T67" s="1520">
        <v>4.2</v>
      </c>
      <c r="U67" s="1520" t="s">
        <v>1568</v>
      </c>
      <c r="V67" s="1529" t="s">
        <v>1465</v>
      </c>
      <c r="Y67" s="1476"/>
      <c r="Z67" s="1470" t="s">
        <v>1703</v>
      </c>
      <c r="AA67" s="1470" t="s">
        <v>1622</v>
      </c>
      <c r="AB67" s="1470">
        <v>16</v>
      </c>
      <c r="AC67" s="1470">
        <v>4.0999999999999996</v>
      </c>
      <c r="AD67" s="1470" t="s">
        <v>1691</v>
      </c>
      <c r="AE67" s="1470">
        <v>109.1</v>
      </c>
      <c r="AF67" s="1470">
        <v>0.6</v>
      </c>
      <c r="AG67" s="1470">
        <v>108.74</v>
      </c>
      <c r="AH67" s="1470" t="s">
        <v>1691</v>
      </c>
      <c r="AI67" s="1470" t="s">
        <v>1590</v>
      </c>
      <c r="AJ67" s="1471" t="s">
        <v>1468</v>
      </c>
    </row>
    <row r="68" spans="14:36">
      <c r="N68" s="2348"/>
      <c r="O68" s="1520" t="s">
        <v>1573</v>
      </c>
      <c r="P68" s="1520" t="s">
        <v>1586</v>
      </c>
      <c r="Q68" s="1520">
        <v>94.08</v>
      </c>
      <c r="R68" s="1520">
        <v>17.760000000000002</v>
      </c>
      <c r="S68" s="1520">
        <v>25</v>
      </c>
      <c r="T68" s="1520">
        <v>6</v>
      </c>
      <c r="U68" s="1520" t="s">
        <v>1568</v>
      </c>
      <c r="V68" s="1529" t="s">
        <v>1465</v>
      </c>
      <c r="Y68" s="1476"/>
      <c r="Z68" s="1470" t="s">
        <v>1704</v>
      </c>
      <c r="AA68" s="1470" t="s">
        <v>1696</v>
      </c>
      <c r="AB68" s="1470">
        <v>12</v>
      </c>
      <c r="AC68" s="1470">
        <v>3.2</v>
      </c>
      <c r="AD68" s="1470" t="s">
        <v>1691</v>
      </c>
      <c r="AE68" s="1470">
        <v>111.7</v>
      </c>
      <c r="AF68" s="1470">
        <v>0.6</v>
      </c>
      <c r="AG68" s="1470">
        <v>111.85</v>
      </c>
      <c r="AH68" s="1470" t="s">
        <v>1691</v>
      </c>
      <c r="AI68" s="1470" t="s">
        <v>1590</v>
      </c>
      <c r="AJ68" s="1471" t="s">
        <v>1468</v>
      </c>
    </row>
    <row r="69" spans="14:36">
      <c r="N69" s="2348"/>
      <c r="O69" s="1520" t="s">
        <v>1574</v>
      </c>
      <c r="P69" s="1520" t="s">
        <v>1587</v>
      </c>
      <c r="Q69" s="1520">
        <v>100.29</v>
      </c>
      <c r="R69" s="1520">
        <v>7.82</v>
      </c>
      <c r="S69" s="1520">
        <v>20</v>
      </c>
      <c r="T69" s="1520">
        <v>4.5</v>
      </c>
      <c r="U69" s="1520" t="s">
        <v>1568</v>
      </c>
      <c r="V69" s="1529" t="s">
        <v>1465</v>
      </c>
      <c r="Y69" s="1476"/>
      <c r="Z69" s="1470" t="s">
        <v>1705</v>
      </c>
      <c r="AA69" s="1470" t="s">
        <v>1697</v>
      </c>
      <c r="AB69" s="1470">
        <v>12</v>
      </c>
      <c r="AC69" s="1470">
        <v>5.3</v>
      </c>
      <c r="AD69" s="1470" t="s">
        <v>1691</v>
      </c>
      <c r="AE69" s="1470">
        <v>136.27000000000001</v>
      </c>
      <c r="AF69" s="1470">
        <v>0.6</v>
      </c>
      <c r="AG69" s="1470">
        <v>136.75</v>
      </c>
      <c r="AH69" s="1470" t="s">
        <v>1691</v>
      </c>
      <c r="AI69" s="1470" t="s">
        <v>1590</v>
      </c>
      <c r="AJ69" s="1471" t="s">
        <v>1468</v>
      </c>
    </row>
    <row r="70" spans="14:36" ht="12.75" thickBot="1">
      <c r="N70" s="2348"/>
      <c r="O70" s="1520" t="s">
        <v>1575</v>
      </c>
      <c r="P70" s="1520" t="s">
        <v>1588</v>
      </c>
      <c r="Q70" s="1520">
        <v>104.51</v>
      </c>
      <c r="R70" s="1520">
        <v>5.3</v>
      </c>
      <c r="S70" s="1520">
        <v>20</v>
      </c>
      <c r="T70" s="1520">
        <v>5.5</v>
      </c>
      <c r="U70" s="1520" t="s">
        <v>1568</v>
      </c>
      <c r="V70" s="1529" t="s">
        <v>1465</v>
      </c>
      <c r="Y70" s="1514"/>
      <c r="Z70" s="1472" t="s">
        <v>1706</v>
      </c>
      <c r="AA70" s="1472" t="s">
        <v>1698</v>
      </c>
      <c r="AB70" s="1472">
        <v>12</v>
      </c>
      <c r="AC70" s="1472">
        <v>4.4000000000000004</v>
      </c>
      <c r="AD70" s="1472" t="s">
        <v>1691</v>
      </c>
      <c r="AE70" s="1472">
        <v>149.76</v>
      </c>
      <c r="AF70" s="1472">
        <v>0.6</v>
      </c>
      <c r="AG70" s="1472">
        <v>149.54</v>
      </c>
      <c r="AH70" s="1472" t="s">
        <v>1691</v>
      </c>
      <c r="AI70" s="1472" t="s">
        <v>1590</v>
      </c>
      <c r="AJ70" s="1473" t="s">
        <v>1468</v>
      </c>
    </row>
    <row r="71" spans="14:36" ht="12.75" thickTop="1">
      <c r="N71" s="2348"/>
      <c r="O71" s="1520" t="s">
        <v>1576</v>
      </c>
      <c r="P71" s="1520" t="s">
        <v>1577</v>
      </c>
      <c r="Q71" s="1520">
        <v>111.32</v>
      </c>
      <c r="R71" s="1520">
        <v>12.07</v>
      </c>
      <c r="S71" s="1520">
        <v>20</v>
      </c>
      <c r="T71" s="1520">
        <v>2.5</v>
      </c>
      <c r="U71" s="1520" t="s">
        <v>1568</v>
      </c>
      <c r="V71" s="1529" t="s">
        <v>1465</v>
      </c>
    </row>
    <row r="72" spans="14:36" ht="12.75" thickBot="1">
      <c r="N72" s="2349"/>
      <c r="O72" s="1472" t="s">
        <v>1578</v>
      </c>
      <c r="P72" s="1472" t="s">
        <v>1589</v>
      </c>
      <c r="Q72" s="1472">
        <v>125.95</v>
      </c>
      <c r="R72" s="1472">
        <v>6.71</v>
      </c>
      <c r="S72" s="1472">
        <v>15</v>
      </c>
      <c r="T72" s="1472">
        <v>4</v>
      </c>
      <c r="U72" s="1472" t="s">
        <v>1568</v>
      </c>
      <c r="V72" s="1503" t="s">
        <v>1468</v>
      </c>
    </row>
    <row r="73" spans="14:36" ht="12.75" thickTop="1"/>
    <row r="74" spans="14:36" ht="12.75" thickBot="1">
      <c r="N74" s="1466" t="s">
        <v>1593</v>
      </c>
      <c r="P74" s="1466">
        <v>3</v>
      </c>
      <c r="Q74" s="1466" t="s">
        <v>213</v>
      </c>
      <c r="W74" s="1580" t="s">
        <v>1802</v>
      </c>
      <c r="Y74" s="1466" t="s">
        <v>1593</v>
      </c>
      <c r="AA74" s="1466">
        <v>14</v>
      </c>
      <c r="AB74" s="1466" t="s">
        <v>213</v>
      </c>
    </row>
    <row r="75" spans="14:36" ht="12.75" thickTop="1">
      <c r="N75" s="2273" t="s">
        <v>1510</v>
      </c>
      <c r="O75" s="2276" t="s">
        <v>1594</v>
      </c>
      <c r="P75" s="1485" t="s">
        <v>1595</v>
      </c>
      <c r="Q75" s="2316" t="s">
        <v>1596</v>
      </c>
      <c r="R75" s="2317"/>
      <c r="S75" s="2318"/>
      <c r="T75" s="2276" t="s">
        <v>47</v>
      </c>
      <c r="U75" s="1486" t="s">
        <v>1454</v>
      </c>
      <c r="W75" s="1580">
        <v>4</v>
      </c>
      <c r="Y75" s="2273" t="s">
        <v>1658</v>
      </c>
      <c r="Z75" s="2276" t="s">
        <v>1707</v>
      </c>
      <c r="AA75" s="1485" t="s">
        <v>1512</v>
      </c>
      <c r="AB75" s="2316" t="s">
        <v>1613</v>
      </c>
      <c r="AC75" s="2317"/>
      <c r="AD75" s="2318"/>
      <c r="AE75" s="1485" t="s">
        <v>1708</v>
      </c>
      <c r="AF75" s="2276" t="s">
        <v>1710</v>
      </c>
      <c r="AG75" s="2276" t="s">
        <v>1711</v>
      </c>
      <c r="AH75" s="2276" t="s">
        <v>42</v>
      </c>
      <c r="AI75" s="1486" t="s">
        <v>1454</v>
      </c>
    </row>
    <row r="76" spans="14:36">
      <c r="N76" s="2274"/>
      <c r="O76" s="2277"/>
      <c r="P76" s="1492" t="s">
        <v>1513</v>
      </c>
      <c r="Q76" s="2339" t="s">
        <v>1603</v>
      </c>
      <c r="R76" s="2340"/>
      <c r="S76" s="1494" t="s">
        <v>1560</v>
      </c>
      <c r="T76" s="2277"/>
      <c r="U76" s="1496" t="s">
        <v>1455</v>
      </c>
      <c r="Y76" s="2274"/>
      <c r="Z76" s="2277"/>
      <c r="AA76" s="1492" t="s">
        <v>1680</v>
      </c>
      <c r="AB76" s="1494" t="s">
        <v>1712</v>
      </c>
      <c r="AC76" s="1494" t="s">
        <v>1663</v>
      </c>
      <c r="AD76" s="1494" t="s">
        <v>1689</v>
      </c>
      <c r="AE76" s="1492" t="s">
        <v>1709</v>
      </c>
      <c r="AF76" s="2277"/>
      <c r="AG76" s="2277"/>
      <c r="AH76" s="2277"/>
      <c r="AI76" s="1496" t="s">
        <v>1455</v>
      </c>
    </row>
    <row r="77" spans="14:36" ht="12.75" thickBot="1">
      <c r="N77" s="2274"/>
      <c r="O77" s="2277"/>
      <c r="P77" s="1493"/>
      <c r="Q77" s="2281"/>
      <c r="R77" s="2282"/>
      <c r="S77" s="1492" t="s">
        <v>1561</v>
      </c>
      <c r="T77" s="2277"/>
      <c r="U77" s="1497"/>
      <c r="Y77" s="2275"/>
      <c r="Z77" s="2278"/>
      <c r="AA77" s="1495"/>
      <c r="AB77" s="1487" t="s">
        <v>321</v>
      </c>
      <c r="AC77" s="1487" t="s">
        <v>321</v>
      </c>
      <c r="AD77" s="1487" t="s">
        <v>1686</v>
      </c>
      <c r="AE77" s="1495"/>
      <c r="AF77" s="2278"/>
      <c r="AG77" s="2278"/>
      <c r="AH77" s="2278"/>
      <c r="AI77" s="1498"/>
    </row>
    <row r="78" spans="14:36" ht="13.5" thickTop="1" thickBot="1">
      <c r="N78" s="2275"/>
      <c r="O78" s="2278"/>
      <c r="P78" s="1495"/>
      <c r="Q78" s="1481" t="s">
        <v>1597</v>
      </c>
      <c r="R78" s="1481" t="s">
        <v>1598</v>
      </c>
      <c r="S78" s="1487" t="s">
        <v>1562</v>
      </c>
      <c r="T78" s="2278"/>
      <c r="U78" s="1498"/>
      <c r="Y78" s="1475" t="s">
        <v>1676</v>
      </c>
      <c r="Z78" s="1515" t="s">
        <v>1730</v>
      </c>
      <c r="AA78" s="1515" t="s">
        <v>1713</v>
      </c>
      <c r="AB78" s="1515">
        <v>5.17</v>
      </c>
      <c r="AC78" s="1515">
        <v>14.01</v>
      </c>
      <c r="AD78" s="1515" t="s">
        <v>1691</v>
      </c>
      <c r="AE78" s="1515" t="s">
        <v>1714</v>
      </c>
      <c r="AF78" s="1515" t="s">
        <v>1715</v>
      </c>
      <c r="AG78" s="1515" t="s">
        <v>1716</v>
      </c>
      <c r="AH78" s="1515" t="s">
        <v>1590</v>
      </c>
      <c r="AI78" s="1516" t="s">
        <v>1455</v>
      </c>
    </row>
    <row r="79" spans="14:36" ht="12.75" thickTop="1">
      <c r="N79" s="2270" t="s">
        <v>1458</v>
      </c>
      <c r="O79" s="1515" t="s">
        <v>1744</v>
      </c>
      <c r="P79" s="1515" t="s">
        <v>1599</v>
      </c>
      <c r="Q79" s="1515">
        <v>0.5</v>
      </c>
      <c r="R79" s="1515">
        <v>11.89</v>
      </c>
      <c r="S79" s="1515">
        <v>81.239999999999995</v>
      </c>
      <c r="T79" s="1515" t="s">
        <v>1604</v>
      </c>
      <c r="U79" s="1516" t="s">
        <v>1462</v>
      </c>
      <c r="Y79" s="1476"/>
      <c r="Z79" s="1470" t="s">
        <v>1731</v>
      </c>
      <c r="AA79" s="1470" t="s">
        <v>1717</v>
      </c>
      <c r="AB79" s="1470">
        <v>3.2</v>
      </c>
      <c r="AC79" s="1470">
        <v>6.67</v>
      </c>
      <c r="AD79" s="1470" t="s">
        <v>1691</v>
      </c>
      <c r="AE79" s="1470" t="s">
        <v>1714</v>
      </c>
      <c r="AF79" s="1470" t="s">
        <v>1715</v>
      </c>
      <c r="AG79" s="1470" t="s">
        <v>1716</v>
      </c>
      <c r="AH79" s="1470" t="s">
        <v>1590</v>
      </c>
      <c r="AI79" s="1471" t="s">
        <v>1465</v>
      </c>
    </row>
    <row r="80" spans="14:36">
      <c r="N80" s="2271"/>
      <c r="O80" s="1520" t="s">
        <v>1605</v>
      </c>
      <c r="P80" s="1520" t="s">
        <v>1600</v>
      </c>
      <c r="Q80" s="1520">
        <v>1.5</v>
      </c>
      <c r="R80" s="1520">
        <v>27.43</v>
      </c>
      <c r="S80" s="1520">
        <v>89.31</v>
      </c>
      <c r="T80" s="1520" t="s">
        <v>1604</v>
      </c>
      <c r="U80" s="1521" t="s">
        <v>1465</v>
      </c>
      <c r="Y80" s="1476"/>
      <c r="Z80" s="1470" t="s">
        <v>1732</v>
      </c>
      <c r="AA80" s="1470" t="s">
        <v>1718</v>
      </c>
      <c r="AB80" s="1470">
        <v>3.5</v>
      </c>
      <c r="AC80" s="1470">
        <v>8</v>
      </c>
      <c r="AD80" s="1470" t="s">
        <v>1691</v>
      </c>
      <c r="AE80" s="1470" t="s">
        <v>1714</v>
      </c>
      <c r="AF80" s="1470" t="s">
        <v>1715</v>
      </c>
      <c r="AG80" s="1470" t="s">
        <v>1716</v>
      </c>
      <c r="AH80" s="1470" t="s">
        <v>1590</v>
      </c>
      <c r="AI80" s="1471" t="s">
        <v>1465</v>
      </c>
    </row>
    <row r="81" spans="14:35">
      <c r="N81" s="2271"/>
      <c r="O81" s="1520" t="s">
        <v>1606</v>
      </c>
      <c r="P81" s="1520" t="s">
        <v>1601</v>
      </c>
      <c r="Q81" s="1520">
        <v>2</v>
      </c>
      <c r="R81" s="1520">
        <v>19.920000000000002</v>
      </c>
      <c r="S81" s="1520">
        <v>93.44</v>
      </c>
      <c r="T81" s="1520" t="s">
        <v>1604</v>
      </c>
      <c r="U81" s="1521" t="s">
        <v>1465</v>
      </c>
      <c r="Y81" s="1476"/>
      <c r="Z81" s="1470" t="s">
        <v>1733</v>
      </c>
      <c r="AA81" s="1470" t="s">
        <v>1719</v>
      </c>
      <c r="AB81" s="1470">
        <v>3.2</v>
      </c>
      <c r="AC81" s="1470">
        <v>8.2899999999999991</v>
      </c>
      <c r="AD81" s="1470" t="s">
        <v>1691</v>
      </c>
      <c r="AE81" s="1470" t="s">
        <v>1714</v>
      </c>
      <c r="AF81" s="1470" t="s">
        <v>1715</v>
      </c>
      <c r="AG81" s="1470" t="s">
        <v>1716</v>
      </c>
      <c r="AH81" s="1470" t="s">
        <v>1590</v>
      </c>
      <c r="AI81" s="1471" t="s">
        <v>1465</v>
      </c>
    </row>
    <row r="82" spans="14:35" ht="12.75" thickBot="1">
      <c r="N82" s="2272"/>
      <c r="O82" s="1472" t="s">
        <v>1607</v>
      </c>
      <c r="P82" s="1472" t="s">
        <v>1602</v>
      </c>
      <c r="Q82" s="1472">
        <v>0.4</v>
      </c>
      <c r="R82" s="1472">
        <v>8.1199999999999992</v>
      </c>
      <c r="S82" s="1472">
        <v>111.88</v>
      </c>
      <c r="T82" s="1472" t="s">
        <v>1604</v>
      </c>
      <c r="U82" s="1473" t="s">
        <v>1468</v>
      </c>
      <c r="Y82" s="1476"/>
      <c r="Z82" s="1470" t="s">
        <v>1734</v>
      </c>
      <c r="AA82" s="1470" t="s">
        <v>1720</v>
      </c>
      <c r="AB82" s="1470">
        <v>3.2</v>
      </c>
      <c r="AC82" s="1470">
        <v>9.69</v>
      </c>
      <c r="AD82" s="1470" t="s">
        <v>1691</v>
      </c>
      <c r="AE82" s="1470" t="s">
        <v>1714</v>
      </c>
      <c r="AF82" s="1470" t="s">
        <v>1715</v>
      </c>
      <c r="AG82" s="1470" t="s">
        <v>1716</v>
      </c>
      <c r="AH82" s="1470" t="s">
        <v>1590</v>
      </c>
      <c r="AI82" s="1471" t="s">
        <v>1465</v>
      </c>
    </row>
    <row r="83" spans="14:35" ht="12.75" thickTop="1">
      <c r="Y83" s="1476"/>
      <c r="Z83" s="1470" t="s">
        <v>1735</v>
      </c>
      <c r="AA83" s="1470" t="s">
        <v>1721</v>
      </c>
      <c r="AB83" s="1470">
        <v>3.64</v>
      </c>
      <c r="AC83" s="1470">
        <v>7.44</v>
      </c>
      <c r="AD83" s="1470" t="s">
        <v>1691</v>
      </c>
      <c r="AE83" s="1470" t="s">
        <v>1714</v>
      </c>
      <c r="AF83" s="1470" t="s">
        <v>1715</v>
      </c>
      <c r="AG83" s="1470" t="s">
        <v>1716</v>
      </c>
      <c r="AH83" s="1470" t="s">
        <v>1590</v>
      </c>
      <c r="AI83" s="1471" t="s">
        <v>1465</v>
      </c>
    </row>
    <row r="84" spans="14:35">
      <c r="Y84" s="1476"/>
      <c r="Z84" s="1470" t="s">
        <v>1736</v>
      </c>
      <c r="AA84" s="1470" t="s">
        <v>1722</v>
      </c>
      <c r="AB84" s="1470">
        <v>3.5</v>
      </c>
      <c r="AC84" s="1470">
        <v>8.4600000000000009</v>
      </c>
      <c r="AD84" s="1470" t="s">
        <v>1691</v>
      </c>
      <c r="AE84" s="1470" t="s">
        <v>1714</v>
      </c>
      <c r="AF84" s="1470" t="s">
        <v>1715</v>
      </c>
      <c r="AG84" s="1470" t="s">
        <v>1716</v>
      </c>
      <c r="AH84" s="1470" t="s">
        <v>1590</v>
      </c>
      <c r="AI84" s="1471" t="s">
        <v>1465</v>
      </c>
    </row>
    <row r="85" spans="14:35">
      <c r="Y85" s="1476"/>
      <c r="Z85" s="1470" t="s">
        <v>1737</v>
      </c>
      <c r="AA85" s="1470" t="s">
        <v>1723</v>
      </c>
      <c r="AB85" s="1470">
        <v>3.6</v>
      </c>
      <c r="AC85" s="1470">
        <v>5.81</v>
      </c>
      <c r="AD85" s="1470" t="s">
        <v>1691</v>
      </c>
      <c r="AE85" s="1470" t="s">
        <v>1714</v>
      </c>
      <c r="AF85" s="1470" t="s">
        <v>1715</v>
      </c>
      <c r="AG85" s="1470" t="s">
        <v>1716</v>
      </c>
      <c r="AH85" s="1470" t="s">
        <v>1590</v>
      </c>
      <c r="AI85" s="1471" t="s">
        <v>1465</v>
      </c>
    </row>
    <row r="86" spans="14:35">
      <c r="Y86" s="1476"/>
      <c r="Z86" s="1470" t="s">
        <v>1738</v>
      </c>
      <c r="AA86" s="1470" t="s">
        <v>1724</v>
      </c>
      <c r="AB86" s="1470">
        <v>3.5</v>
      </c>
      <c r="AC86" s="1470">
        <v>5.46</v>
      </c>
      <c r="AD86" s="1470" t="s">
        <v>1691</v>
      </c>
      <c r="AE86" s="1470" t="s">
        <v>1714</v>
      </c>
      <c r="AF86" s="1470" t="s">
        <v>1715</v>
      </c>
      <c r="AG86" s="1470" t="s">
        <v>1716</v>
      </c>
      <c r="AH86" s="1470" t="s">
        <v>1590</v>
      </c>
      <c r="AI86" s="1471" t="s">
        <v>1465</v>
      </c>
    </row>
    <row r="87" spans="14:35">
      <c r="Y87" s="1476"/>
      <c r="Z87" s="1470" t="s">
        <v>1739</v>
      </c>
      <c r="AA87" s="1470" t="s">
        <v>1725</v>
      </c>
      <c r="AB87" s="1470">
        <v>3.6</v>
      </c>
      <c r="AC87" s="1470">
        <v>6.58</v>
      </c>
      <c r="AD87" s="1470" t="s">
        <v>1691</v>
      </c>
      <c r="AE87" s="1470" t="s">
        <v>1714</v>
      </c>
      <c r="AF87" s="1470" t="s">
        <v>1715</v>
      </c>
      <c r="AG87" s="1470" t="s">
        <v>1716</v>
      </c>
      <c r="AH87" s="1470" t="s">
        <v>1590</v>
      </c>
      <c r="AI87" s="1471" t="s">
        <v>1465</v>
      </c>
    </row>
    <row r="88" spans="14:35">
      <c r="Y88" s="1476"/>
      <c r="Z88" s="1470" t="s">
        <v>1740</v>
      </c>
      <c r="AA88" s="1470" t="s">
        <v>1726</v>
      </c>
      <c r="AB88" s="1470">
        <v>3.5</v>
      </c>
      <c r="AC88" s="1470">
        <v>6.93</v>
      </c>
      <c r="AD88" s="1470" t="s">
        <v>1691</v>
      </c>
      <c r="AE88" s="1470" t="s">
        <v>1714</v>
      </c>
      <c r="AF88" s="1470" t="s">
        <v>1715</v>
      </c>
      <c r="AG88" s="1470" t="s">
        <v>1716</v>
      </c>
      <c r="AH88" s="1470" t="s">
        <v>1590</v>
      </c>
      <c r="AI88" s="1471" t="s">
        <v>1465</v>
      </c>
    </row>
    <row r="89" spans="14:35">
      <c r="Y89" s="1476"/>
      <c r="Z89" s="1470" t="s">
        <v>1741</v>
      </c>
      <c r="AA89" s="1470" t="s">
        <v>1727</v>
      </c>
      <c r="AB89" s="1470">
        <v>3.6</v>
      </c>
      <c r="AC89" s="1470">
        <v>5.4</v>
      </c>
      <c r="AD89" s="1470" t="s">
        <v>1691</v>
      </c>
      <c r="AE89" s="1470" t="s">
        <v>1714</v>
      </c>
      <c r="AF89" s="1470" t="s">
        <v>1715</v>
      </c>
      <c r="AG89" s="1470" t="s">
        <v>1716</v>
      </c>
      <c r="AH89" s="1470" t="s">
        <v>1590</v>
      </c>
      <c r="AI89" s="1471" t="s">
        <v>1465</v>
      </c>
    </row>
    <row r="90" spans="14:35">
      <c r="Y90" s="1476"/>
      <c r="Z90" s="1470" t="s">
        <v>1742</v>
      </c>
      <c r="AA90" s="1470" t="s">
        <v>1728</v>
      </c>
      <c r="AB90" s="1470">
        <v>3.5</v>
      </c>
      <c r="AC90" s="1470">
        <v>6.44</v>
      </c>
      <c r="AD90" s="1470" t="s">
        <v>1691</v>
      </c>
      <c r="AE90" s="1470" t="s">
        <v>1714</v>
      </c>
      <c r="AF90" s="1470" t="s">
        <v>1715</v>
      </c>
      <c r="AG90" s="1470" t="s">
        <v>1716</v>
      </c>
      <c r="AH90" s="1470" t="s">
        <v>1590</v>
      </c>
      <c r="AI90" s="1471" t="s">
        <v>1465</v>
      </c>
    </row>
    <row r="91" spans="14:35" ht="12.75" thickBot="1">
      <c r="Y91" s="1514"/>
      <c r="Z91" s="1472" t="s">
        <v>1743</v>
      </c>
      <c r="AA91" s="1472" t="s">
        <v>1729</v>
      </c>
      <c r="AB91" s="1472">
        <v>3.57</v>
      </c>
      <c r="AC91" s="1472">
        <v>7.01</v>
      </c>
      <c r="AD91" s="1472" t="s">
        <v>1691</v>
      </c>
      <c r="AE91" s="1472" t="s">
        <v>1714</v>
      </c>
      <c r="AF91" s="1472" t="s">
        <v>1715</v>
      </c>
      <c r="AG91" s="1472" t="s">
        <v>1716</v>
      </c>
      <c r="AH91" s="1472" t="s">
        <v>1590</v>
      </c>
      <c r="AI91" s="1473" t="s">
        <v>1465</v>
      </c>
    </row>
    <row r="92" spans="14:35" ht="12.75" thickTop="1"/>
  </sheetData>
  <mergeCells count="148">
    <mergeCell ref="AA5:AA7"/>
    <mergeCell ref="AD5:AE5"/>
    <mergeCell ref="Q5:Q6"/>
    <mergeCell ref="R5:R6"/>
    <mergeCell ref="S5:T5"/>
    <mergeCell ref="N7:N11"/>
    <mergeCell ref="O11:P11"/>
    <mergeCell ref="N79:N82"/>
    <mergeCell ref="N52:N56"/>
    <mergeCell ref="N59:N61"/>
    <mergeCell ref="P59:P61"/>
    <mergeCell ref="R59:S60"/>
    <mergeCell ref="AF5:AG5"/>
    <mergeCell ref="AH5:AI5"/>
    <mergeCell ref="AH6:AH7"/>
    <mergeCell ref="AI6:AI7"/>
    <mergeCell ref="N75:N78"/>
    <mergeCell ref="O75:O78"/>
    <mergeCell ref="Q75:S75"/>
    <mergeCell ref="T75:T78"/>
    <mergeCell ref="Q76:R77"/>
    <mergeCell ref="V48:V51"/>
    <mergeCell ref="S11:W11"/>
    <mergeCell ref="N15:N20"/>
    <mergeCell ref="O20:P20"/>
    <mergeCell ref="N24:N31"/>
    <mergeCell ref="N35:N38"/>
    <mergeCell ref="O35:O38"/>
    <mergeCell ref="P35:P38"/>
    <mergeCell ref="T35:U36"/>
    <mergeCell ref="V35:V38"/>
    <mergeCell ref="N5:N6"/>
    <mergeCell ref="O5:O6"/>
    <mergeCell ref="P5:P6"/>
    <mergeCell ref="U59:U61"/>
    <mergeCell ref="N62:N72"/>
    <mergeCell ref="AJ10:AJ11"/>
    <mergeCell ref="Y12:Y13"/>
    <mergeCell ref="Z12:Z13"/>
    <mergeCell ref="AC12:AC13"/>
    <mergeCell ref="AH12:AH13"/>
    <mergeCell ref="AI12:AI13"/>
    <mergeCell ref="AJ12:AJ13"/>
    <mergeCell ref="Z8:Z9"/>
    <mergeCell ref="AC8:AC9"/>
    <mergeCell ref="AH8:AH9"/>
    <mergeCell ref="AI8:AI9"/>
    <mergeCell ref="AJ8:AJ9"/>
    <mergeCell ref="Y10:Y11"/>
    <mergeCell ref="Z10:Z11"/>
    <mergeCell ref="AC10:AC11"/>
    <mergeCell ref="AH10:AH11"/>
    <mergeCell ref="AI10:AI11"/>
    <mergeCell ref="AJ18:AJ19"/>
    <mergeCell ref="Y16:Y17"/>
    <mergeCell ref="Z16:Z17"/>
    <mergeCell ref="AC16:AC17"/>
    <mergeCell ref="AH16:AH17"/>
    <mergeCell ref="AI16:AI17"/>
    <mergeCell ref="AJ16:AJ17"/>
    <mergeCell ref="Y14:Y15"/>
    <mergeCell ref="Z14:Z15"/>
    <mergeCell ref="AC14:AC15"/>
    <mergeCell ref="AH14:AH15"/>
    <mergeCell ref="AI14:AI15"/>
    <mergeCell ref="AJ14:AJ15"/>
    <mergeCell ref="L2:L3"/>
    <mergeCell ref="A4:D4"/>
    <mergeCell ref="E4:F4"/>
    <mergeCell ref="AI59:AI62"/>
    <mergeCell ref="Y75:Y77"/>
    <mergeCell ref="Z75:Z77"/>
    <mergeCell ref="AB75:AD75"/>
    <mergeCell ref="AF75:AF77"/>
    <mergeCell ref="AG75:AG77"/>
    <mergeCell ref="AH75:AH77"/>
    <mergeCell ref="Y35:Y38"/>
    <mergeCell ref="Z35:Z38"/>
    <mergeCell ref="AB35:AB38"/>
    <mergeCell ref="AF35:AG36"/>
    <mergeCell ref="Y59:Y62"/>
    <mergeCell ref="Z59:Z62"/>
    <mergeCell ref="AB59:AD59"/>
    <mergeCell ref="AE59:AH59"/>
    <mergeCell ref="Y18:Y19"/>
    <mergeCell ref="Z18:Z19"/>
    <mergeCell ref="AC18:AC19"/>
    <mergeCell ref="AH18:AH19"/>
    <mergeCell ref="AI18:AI19"/>
    <mergeCell ref="Z5:Z7"/>
    <mergeCell ref="B5:D5"/>
    <mergeCell ref="E5:F5"/>
    <mergeCell ref="C6:D6"/>
    <mergeCell ref="E6:F6"/>
    <mergeCell ref="C7:D7"/>
    <mergeCell ref="E7:F7"/>
    <mergeCell ref="A2:D3"/>
    <mergeCell ref="E2:F3"/>
    <mergeCell ref="G2:G3"/>
    <mergeCell ref="L7:L12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6:F16"/>
    <mergeCell ref="E17:F17"/>
    <mergeCell ref="E18:F18"/>
    <mergeCell ref="E19:F19"/>
    <mergeCell ref="C20:E20"/>
    <mergeCell ref="E21:F21"/>
    <mergeCell ref="E12:F12"/>
    <mergeCell ref="C13:D13"/>
    <mergeCell ref="E13:F13"/>
    <mergeCell ref="C14:D14"/>
    <mergeCell ref="E14:F14"/>
    <mergeCell ref="E15:F15"/>
    <mergeCell ref="B27:D27"/>
    <mergeCell ref="E27:F27"/>
    <mergeCell ref="A29:D29"/>
    <mergeCell ref="E29:F29"/>
    <mergeCell ref="A30:D30"/>
    <mergeCell ref="E30:F30"/>
    <mergeCell ref="A28:D28"/>
    <mergeCell ref="E22:F22"/>
    <mergeCell ref="E23:F23"/>
    <mergeCell ref="E24:F24"/>
    <mergeCell ref="E25:F25"/>
    <mergeCell ref="B26:D26"/>
    <mergeCell ref="E26:F26"/>
    <mergeCell ref="J31:J32"/>
    <mergeCell ref="W58:X58"/>
    <mergeCell ref="B31:D32"/>
    <mergeCell ref="E31:F32"/>
    <mergeCell ref="G31:G32"/>
    <mergeCell ref="H31:H32"/>
    <mergeCell ref="I31:I32"/>
    <mergeCell ref="B33:D33"/>
    <mergeCell ref="E33:F33"/>
    <mergeCell ref="N39:N45"/>
    <mergeCell ref="N48:N51"/>
    <mergeCell ref="O48:O51"/>
    <mergeCell ref="P48:P51"/>
    <mergeCell ref="T48:U49"/>
  </mergeCells>
  <phoneticPr fontId="18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37</vt:i4>
      </vt:variant>
      <vt:variant>
        <vt:lpstr>이름 지정된 범위</vt:lpstr>
      </vt:variant>
      <vt:variant>
        <vt:i4>41</vt:i4>
      </vt:variant>
    </vt:vector>
  </HeadingPairs>
  <TitlesOfParts>
    <vt:vector size="78" baseType="lpstr">
      <vt:lpstr>1.표지</vt:lpstr>
      <vt:lpstr>내역서</vt:lpstr>
      <vt:lpstr>1.기본계획</vt:lpstr>
      <vt:lpstr>일위대가</vt:lpstr>
      <vt:lpstr>보정계수 산출</vt:lpstr>
      <vt:lpstr>적용수량</vt:lpstr>
      <vt:lpstr>적용소요인력</vt:lpstr>
      <vt:lpstr>기준소요인력</vt:lpstr>
      <vt:lpstr>산근1 직접경비</vt:lpstr>
      <vt:lpstr>2. 하천기본계획비</vt:lpstr>
      <vt:lpstr>산근2-0(하천기본계획-수량)</vt:lpstr>
      <vt:lpstr>일위대가2 (하천기본계획)</vt:lpstr>
      <vt:lpstr>산근2-45(출장비)</vt:lpstr>
      <vt:lpstr>하천기본계획(기준소요인력)</vt:lpstr>
      <vt:lpstr>하천기본계획(요율)</vt:lpstr>
      <vt:lpstr>일위대가2 (측량조사)</vt:lpstr>
      <vt:lpstr>산근2-0 (현장조사물량산출)</vt:lpstr>
      <vt:lpstr>산근2-1(측량조사)</vt:lpstr>
      <vt:lpstr>산근2-5(지장물조사)</vt:lpstr>
      <vt:lpstr>산근 2-6 (공공측량성과심사)</vt:lpstr>
      <vt:lpstr>일위대가3 (지반조사)</vt:lpstr>
      <vt:lpstr>산근3-0 (지반조사)</vt:lpstr>
      <vt:lpstr>산근3-1(지반조사 단가)</vt:lpstr>
      <vt:lpstr>산근4-1 (설계안전성검토)</vt:lpstr>
      <vt:lpstr>산근4-2(설계안전보건대장)</vt:lpstr>
      <vt:lpstr>산근4-3(공사기간 적정성 검토)</vt:lpstr>
      <vt:lpstr>5. 비상대처계획</vt:lpstr>
      <vt:lpstr>일위대가5(비상대처계획)</vt:lpstr>
      <vt:lpstr>비상대처계획(보정계수 산출)</vt:lpstr>
      <vt:lpstr>비상대처계획(적용수량)</vt:lpstr>
      <vt:lpstr>비상대처계획(기준소요인력)</vt:lpstr>
      <vt:lpstr>비상대처계획(직접경비)</vt:lpstr>
      <vt:lpstr>산근3-1(공제요율-설계)</vt:lpstr>
      <vt:lpstr>산근2(공제요율-엔지니어링)</vt:lpstr>
      <vt:lpstr>산근3 노임</vt:lpstr>
      <vt:lpstr>산근8 공사비_수정</vt:lpstr>
      <vt:lpstr>타당성조사_출력×</vt:lpstr>
      <vt:lpstr>'1.기본계획'!Print_Area</vt:lpstr>
      <vt:lpstr>'1.표지'!Print_Area</vt:lpstr>
      <vt:lpstr>'2. 하천기본계획비'!Print_Area</vt:lpstr>
      <vt:lpstr>'5. 비상대처계획'!Print_Area</vt:lpstr>
      <vt:lpstr>기준소요인력!Print_Area</vt:lpstr>
      <vt:lpstr>내역서!Print_Area</vt:lpstr>
      <vt:lpstr>'비상대처계획(기준소요인력)'!Print_Area</vt:lpstr>
      <vt:lpstr>'비상대처계획(적용수량)'!Print_Area</vt:lpstr>
      <vt:lpstr>'산근 2-6 (공공측량성과심사)'!Print_Area</vt:lpstr>
      <vt:lpstr>'산근2(공제요율-엔지니어링)'!Print_Area</vt:lpstr>
      <vt:lpstr>'산근2-0 (현장조사물량산출)'!Print_Area</vt:lpstr>
      <vt:lpstr>'산근2-0(하천기본계획-수량)'!Print_Area</vt:lpstr>
      <vt:lpstr>'산근2-1(측량조사)'!Print_Area</vt:lpstr>
      <vt:lpstr>'산근2-45(출장비)'!Print_Area</vt:lpstr>
      <vt:lpstr>'산근2-5(지장물조사)'!Print_Area</vt:lpstr>
      <vt:lpstr>'산근3 노임'!Print_Area</vt:lpstr>
      <vt:lpstr>'산근3-0 (지반조사)'!Print_Area</vt:lpstr>
      <vt:lpstr>'산근3-1(공제요율-설계)'!Print_Area</vt:lpstr>
      <vt:lpstr>'산근3-1(지반조사 단가)'!Print_Area</vt:lpstr>
      <vt:lpstr>'산근4-1 (설계안전성검토)'!Print_Area</vt:lpstr>
      <vt:lpstr>'산근4-3(공사기간 적정성 검토)'!Print_Area</vt:lpstr>
      <vt:lpstr>'산근8 공사비_수정'!Print_Area</vt:lpstr>
      <vt:lpstr>일위대가!Print_Area</vt:lpstr>
      <vt:lpstr>'일위대가2 (측량조사)'!Print_Area</vt:lpstr>
      <vt:lpstr>'일위대가2 (하천기본계획)'!Print_Area</vt:lpstr>
      <vt:lpstr>'일위대가3 (지반조사)'!Print_Area</vt:lpstr>
      <vt:lpstr>'일위대가5(비상대처계획)'!Print_Area</vt:lpstr>
      <vt:lpstr>적용소요인력!Print_Area</vt:lpstr>
      <vt:lpstr>적용수량!Print_Area</vt:lpstr>
      <vt:lpstr>'하천기본계획(기준소요인력)'!Print_Area</vt:lpstr>
      <vt:lpstr>'하천기본계획(요율)'!Print_Area</vt:lpstr>
      <vt:lpstr>'1.기본계획'!Print_Titles</vt:lpstr>
      <vt:lpstr>'2. 하천기본계획비'!Print_Titles</vt:lpstr>
      <vt:lpstr>'5. 비상대처계획'!Print_Titles</vt:lpstr>
      <vt:lpstr>내역서!Print_Titles</vt:lpstr>
      <vt:lpstr>'비상대처계획(적용수량)'!Print_Titles</vt:lpstr>
      <vt:lpstr>일위대가!Print_Titles</vt:lpstr>
      <vt:lpstr>'일위대가2 (측량조사)'!Print_Titles</vt:lpstr>
      <vt:lpstr>'일위대가2 (하천기본계획)'!Print_Titles</vt:lpstr>
      <vt:lpstr>'일위대가3 (지반조사)'!Print_Titles</vt:lpstr>
      <vt:lpstr>'일위대가5(비상대처계획)'!Print_Titles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 원현</dc:creator>
  <cp:lastModifiedBy>user</cp:lastModifiedBy>
  <cp:revision>26</cp:revision>
  <cp:lastPrinted>2026-10-16T07:34:07Z</cp:lastPrinted>
  <dcterms:created xsi:type="dcterms:W3CDTF">2012-11-28T08:42:53Z</dcterms:created>
  <dcterms:modified xsi:type="dcterms:W3CDTF">2026-10-16T07:35:09Z</dcterms:modified>
  <cp:version>0906.0100.01</cp:version>
</cp:coreProperties>
</file>