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바탕 화면\"/>
    </mc:Choice>
  </mc:AlternateContent>
  <xr:revisionPtr revIDLastSave="0" documentId="13_ncr:1_{55541F1E-BE99-4954-90AB-726A7755238B}" xr6:coauthVersionLast="47" xr6:coauthVersionMax="47" xr10:uidLastSave="{00000000-0000-0000-0000-000000000000}"/>
  <bookViews>
    <workbookView xWindow="28680" yWindow="-120" windowWidth="29040" windowHeight="15720" activeTab="5" xr2:uid="{95CE702A-FBE4-48BA-B6F4-F2B8409A5BD9}"/>
  </bookViews>
  <sheets>
    <sheet name="원가계산서" sheetId="3" r:id="rId1"/>
    <sheet name="공종별집계표" sheetId="8" r:id="rId2"/>
    <sheet name="공종별내역서" sheetId="7" r:id="rId3"/>
    <sheet name="수량산출서" sheetId="9" r:id="rId4"/>
    <sheet name="일위대가목록" sheetId="6" r:id="rId5"/>
    <sheet name="일위대가" sheetId="5" r:id="rId6"/>
  </sheets>
  <definedNames>
    <definedName name="_xlnm.Print_Area" localSheetId="2">공종별내역서!$A$1:$S$50</definedName>
    <definedName name="_xlnm.Print_Area" localSheetId="1">공종별집계표!$A$1:$M$27</definedName>
    <definedName name="_xlnm.Print_Area" localSheetId="3">수량산출서!$A$1:$G$50</definedName>
    <definedName name="_xlnm.Print_Area" localSheetId="5">일위대가!$A$1:$M$250</definedName>
    <definedName name="_xlnm.Print_Area" localSheetId="4">일위대가목록!$A$1:$J$40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  <definedName name="_xlnm.Print_Titles" localSheetId="5">일위대가!$1:$3</definedName>
    <definedName name="_xlnm.Print_Titles" localSheetId="4">일위대가목록!$1:$3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85" i="5" l="1"/>
  <c r="F15" i="9"/>
  <c r="B38" i="6"/>
  <c r="B37" i="6"/>
  <c r="F13" i="9"/>
  <c r="F30" i="9"/>
  <c r="F40" i="9"/>
  <c r="F47" i="9"/>
  <c r="F41" i="9"/>
  <c r="F25" i="9"/>
  <c r="F37" i="9"/>
  <c r="F46" i="9"/>
  <c r="F45" i="9"/>
  <c r="F39" i="9" l="1"/>
  <c r="F38" i="9"/>
  <c r="D43" i="7"/>
  <c r="D44" i="7"/>
  <c r="D45" i="7"/>
  <c r="D46" i="7"/>
  <c r="D42" i="7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A38" i="7"/>
  <c r="A39" i="7"/>
  <c r="H185" i="5" l="1"/>
  <c r="D49" i="7"/>
  <c r="B49" i="7"/>
  <c r="C49" i="7"/>
  <c r="A49" i="7"/>
  <c r="F185" i="5" l="1"/>
  <c r="L185" i="5" s="1"/>
  <c r="C47" i="9"/>
  <c r="D47" i="9"/>
  <c r="B47" i="9"/>
  <c r="D46" i="9"/>
  <c r="C46" i="7" s="1"/>
  <c r="C46" i="9"/>
  <c r="B46" i="7" s="1"/>
  <c r="C45" i="9"/>
  <c r="B45" i="7" s="1"/>
  <c r="D45" i="9"/>
  <c r="C45" i="7" s="1"/>
  <c r="B46" i="9"/>
  <c r="A46" i="7" s="1"/>
  <c r="B45" i="9"/>
  <c r="A45" i="7" s="1"/>
  <c r="B39" i="9"/>
  <c r="D38" i="9"/>
  <c r="C38" i="9"/>
  <c r="B38" i="9"/>
  <c r="B37" i="9"/>
  <c r="B40" i="9"/>
  <c r="B41" i="9"/>
  <c r="B42" i="9"/>
  <c r="A42" i="7" s="1"/>
  <c r="B43" i="9"/>
  <c r="A43" i="7" s="1"/>
  <c r="B44" i="9"/>
  <c r="A44" i="7" s="1"/>
  <c r="C44" i="9"/>
  <c r="B44" i="7" s="1"/>
  <c r="D44" i="9"/>
  <c r="C44" i="7" s="1"/>
  <c r="C37" i="6"/>
  <c r="B38" i="7" s="1"/>
  <c r="D37" i="6"/>
  <c r="C38" i="7" s="1"/>
  <c r="C40" i="6"/>
  <c r="B41" i="7" s="1"/>
  <c r="D40" i="6"/>
  <c r="C41" i="7" s="1"/>
  <c r="B40" i="6"/>
  <c r="A41" i="7" s="1"/>
  <c r="B39" i="6"/>
  <c r="A40" i="7" s="1"/>
  <c r="B36" i="6"/>
  <c r="A37" i="7" s="1"/>
  <c r="A244" i="5"/>
  <c r="A225" i="5"/>
  <c r="D247" i="5"/>
  <c r="B246" i="5"/>
  <c r="C246" i="5"/>
  <c r="A246" i="5"/>
  <c r="D103" i="5"/>
  <c r="C245" i="5"/>
  <c r="B245" i="5"/>
  <c r="B239" i="5"/>
  <c r="C239" i="5"/>
  <c r="A239" i="5"/>
  <c r="C238" i="5"/>
  <c r="D39" i="6" s="1"/>
  <c r="C40" i="7" s="1"/>
  <c r="B238" i="5"/>
  <c r="C39" i="6" s="1"/>
  <c r="B40" i="7" s="1"/>
  <c r="C220" i="5"/>
  <c r="D36" i="6" s="1"/>
  <c r="B220" i="5"/>
  <c r="A219" i="5" s="1"/>
  <c r="D221" i="5"/>
  <c r="H45" i="9"/>
  <c r="H46" i="9"/>
  <c r="K38" i="6"/>
  <c r="H37" i="9"/>
  <c r="K36" i="6"/>
  <c r="H38" i="9"/>
  <c r="H47" i="9"/>
  <c r="K37" i="6"/>
  <c r="H39" i="9"/>
  <c r="C37" i="7" l="1"/>
  <c r="D37" i="9"/>
  <c r="A237" i="5"/>
  <c r="C36" i="6"/>
  <c r="J249" i="5"/>
  <c r="G40" i="6" s="1"/>
  <c r="F50" i="7"/>
  <c r="E47" i="9"/>
  <c r="E46" i="9"/>
  <c r="E45" i="9"/>
  <c r="E38" i="9"/>
  <c r="E39" i="9"/>
  <c r="E37" i="9"/>
  <c r="L36" i="6"/>
  <c r="M36" i="6" s="1"/>
  <c r="L38" i="6"/>
  <c r="M38" i="6" s="1"/>
  <c r="L37" i="6"/>
  <c r="M37" i="6" s="1"/>
  <c r="D240" i="5"/>
  <c r="B37" i="7" l="1"/>
  <c r="C37" i="9"/>
  <c r="H249" i="5"/>
  <c r="F40" i="6" s="1"/>
  <c r="J223" i="5"/>
  <c r="J242" i="5"/>
  <c r="F223" i="5"/>
  <c r="H223" i="5"/>
  <c r="H242" i="5"/>
  <c r="L223" i="5" l="1"/>
  <c r="F242" i="5"/>
  <c r="L242" i="5" s="1"/>
  <c r="F249" i="5" l="1"/>
  <c r="F36" i="9"/>
  <c r="F35" i="9"/>
  <c r="F34" i="9"/>
  <c r="C33" i="6"/>
  <c r="D33" i="6"/>
  <c r="D40" i="9"/>
  <c r="B35" i="6"/>
  <c r="B34" i="6"/>
  <c r="B33" i="6"/>
  <c r="C232" i="5"/>
  <c r="B232" i="5"/>
  <c r="C214" i="5"/>
  <c r="D35" i="6" s="1"/>
  <c r="C36" i="7" s="1"/>
  <c r="B214" i="5"/>
  <c r="A213" i="5" s="1"/>
  <c r="C208" i="5"/>
  <c r="D34" i="6" s="1"/>
  <c r="B208" i="5"/>
  <c r="C34" i="6" s="1"/>
  <c r="B35" i="7" s="1"/>
  <c r="D215" i="5"/>
  <c r="J217" i="5"/>
  <c r="D233" i="5"/>
  <c r="D227" i="5"/>
  <c r="J229" i="5" s="1"/>
  <c r="F33" i="9"/>
  <c r="C32" i="6"/>
  <c r="B33" i="7" s="1"/>
  <c r="D32" i="6"/>
  <c r="C33" i="7" s="1"/>
  <c r="B32" i="6"/>
  <c r="C42" i="9"/>
  <c r="B42" i="7" s="1"/>
  <c r="D42" i="9"/>
  <c r="C42" i="7" s="1"/>
  <c r="F42" i="9"/>
  <c r="H42" i="9"/>
  <c r="K40" i="6"/>
  <c r="K34" i="6"/>
  <c r="K35" i="6"/>
  <c r="H41" i="9"/>
  <c r="K39" i="6"/>
  <c r="H34" i="9"/>
  <c r="K33" i="6"/>
  <c r="H33" i="9"/>
  <c r="H36" i="9"/>
  <c r="H40" i="9"/>
  <c r="H35" i="9"/>
  <c r="D35" i="9" l="1"/>
  <c r="C35" i="7"/>
  <c r="D41" i="9"/>
  <c r="D38" i="6"/>
  <c r="C35" i="6"/>
  <c r="A35" i="7"/>
  <c r="B35" i="9"/>
  <c r="D34" i="9"/>
  <c r="C34" i="7"/>
  <c r="A33" i="7"/>
  <c r="B33" i="9"/>
  <c r="A231" i="5"/>
  <c r="C38" i="6"/>
  <c r="A34" i="7"/>
  <c r="B34" i="9"/>
  <c r="A36" i="7"/>
  <c r="B36" i="9"/>
  <c r="C34" i="9"/>
  <c r="B34" i="7"/>
  <c r="L249" i="5"/>
  <c r="E40" i="6"/>
  <c r="C35" i="9"/>
  <c r="C40" i="9"/>
  <c r="D36" i="9"/>
  <c r="C41" i="9"/>
  <c r="E35" i="9"/>
  <c r="E34" i="9"/>
  <c r="E36" i="9"/>
  <c r="E40" i="9"/>
  <c r="E41" i="9"/>
  <c r="L33" i="6"/>
  <c r="M33" i="6" s="1"/>
  <c r="L34" i="6"/>
  <c r="M34" i="6" s="1"/>
  <c r="L40" i="6"/>
  <c r="M40" i="6" s="1"/>
  <c r="L35" i="6"/>
  <c r="M35" i="6" s="1"/>
  <c r="L39" i="6"/>
  <c r="M39" i="6" s="1"/>
  <c r="C33" i="9"/>
  <c r="D33" i="9"/>
  <c r="E33" i="9"/>
  <c r="E42" i="9"/>
  <c r="A207" i="5"/>
  <c r="A201" i="5"/>
  <c r="A194" i="5"/>
  <c r="F44" i="9"/>
  <c r="F43" i="9"/>
  <c r="K32" i="6"/>
  <c r="C36" i="9" l="1"/>
  <c r="B36" i="7"/>
  <c r="B39" i="7"/>
  <c r="C39" i="9"/>
  <c r="C39" i="7"/>
  <c r="D39" i="9"/>
  <c r="J50" i="7"/>
  <c r="H217" i="5"/>
  <c r="H229" i="5"/>
  <c r="F217" i="5"/>
  <c r="L32" i="6"/>
  <c r="M32" i="6" s="1"/>
  <c r="D197" i="5"/>
  <c r="D196" i="5"/>
  <c r="H50" i="7" l="1"/>
  <c r="L50" i="7"/>
  <c r="F229" i="5"/>
  <c r="L217" i="5"/>
  <c r="J199" i="5"/>
  <c r="L229" i="5" l="1"/>
  <c r="H199" i="5"/>
  <c r="D209" i="5"/>
  <c r="J211" i="5"/>
  <c r="D203" i="5"/>
  <c r="F31" i="9"/>
  <c r="F29" i="9"/>
  <c r="F28" i="9"/>
  <c r="F32" i="9"/>
  <c r="F27" i="9"/>
  <c r="F26" i="9"/>
  <c r="F24" i="9"/>
  <c r="F23" i="9"/>
  <c r="F22" i="9"/>
  <c r="F21" i="9"/>
  <c r="F20" i="9"/>
  <c r="F17" i="9"/>
  <c r="F19" i="9"/>
  <c r="F14" i="9"/>
  <c r="F16" i="9"/>
  <c r="F12" i="9"/>
  <c r="F11" i="9"/>
  <c r="F10" i="9"/>
  <c r="F9" i="9"/>
  <c r="F8" i="9"/>
  <c r="F7" i="9"/>
  <c r="F6" i="9"/>
  <c r="F5" i="9"/>
  <c r="C43" i="9"/>
  <c r="B43" i="7" s="1"/>
  <c r="D43" i="9"/>
  <c r="C43" i="7" s="1"/>
  <c r="C7" i="6"/>
  <c r="B8" i="7" s="1"/>
  <c r="D7" i="6"/>
  <c r="C8" i="7" s="1"/>
  <c r="C8" i="6"/>
  <c r="D8" i="6"/>
  <c r="C9" i="6"/>
  <c r="D9" i="6"/>
  <c r="C10" i="6"/>
  <c r="D10" i="6"/>
  <c r="C11" i="6"/>
  <c r="B12" i="7" s="1"/>
  <c r="D11" i="6"/>
  <c r="C12" i="7" s="1"/>
  <c r="C12" i="6"/>
  <c r="B13" i="7" s="1"/>
  <c r="D12" i="6"/>
  <c r="C13" i="7" s="1"/>
  <c r="C13" i="6"/>
  <c r="B14" i="7" s="1"/>
  <c r="D13" i="6"/>
  <c r="C14" i="7" s="1"/>
  <c r="C14" i="6"/>
  <c r="B15" i="7" s="1"/>
  <c r="D14" i="6"/>
  <c r="C15" i="7" s="1"/>
  <c r="C15" i="6"/>
  <c r="B16" i="7" s="1"/>
  <c r="D15" i="6"/>
  <c r="C16" i="7" s="1"/>
  <c r="C19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D190" i="5"/>
  <c r="C188" i="5"/>
  <c r="D31" i="6" s="1"/>
  <c r="C32" i="7" s="1"/>
  <c r="B188" i="5"/>
  <c r="A187" i="5" s="1"/>
  <c r="D183" i="5"/>
  <c r="C181" i="5"/>
  <c r="D30" i="6" s="1"/>
  <c r="C31" i="7" s="1"/>
  <c r="B181" i="5"/>
  <c r="C30" i="6" s="1"/>
  <c r="B31" i="7" s="1"/>
  <c r="D176" i="5"/>
  <c r="C174" i="5"/>
  <c r="D29" i="6" s="1"/>
  <c r="B174" i="5"/>
  <c r="C29" i="6" s="1"/>
  <c r="B30" i="7" s="1"/>
  <c r="D169" i="5"/>
  <c r="C167" i="5"/>
  <c r="D28" i="6" s="1"/>
  <c r="C29" i="7" s="1"/>
  <c r="B167" i="5"/>
  <c r="C28" i="6" s="1"/>
  <c r="B29" i="7" s="1"/>
  <c r="D162" i="5"/>
  <c r="C160" i="5"/>
  <c r="D27" i="6" s="1"/>
  <c r="C28" i="7" s="1"/>
  <c r="B160" i="5"/>
  <c r="C27" i="6" s="1"/>
  <c r="B28" i="7" s="1"/>
  <c r="D155" i="5"/>
  <c r="C153" i="5"/>
  <c r="D26" i="6" s="1"/>
  <c r="C27" i="7" s="1"/>
  <c r="B153" i="5"/>
  <c r="C26" i="6" s="1"/>
  <c r="D148" i="5"/>
  <c r="C146" i="5"/>
  <c r="D25" i="6" s="1"/>
  <c r="B146" i="5"/>
  <c r="C25" i="6" s="1"/>
  <c r="H27" i="9"/>
  <c r="H44" i="9"/>
  <c r="H28" i="9"/>
  <c r="K19" i="6"/>
  <c r="H23" i="9"/>
  <c r="H43" i="9"/>
  <c r="K17" i="6"/>
  <c r="H29" i="9"/>
  <c r="K25" i="6"/>
  <c r="K22" i="6"/>
  <c r="H25" i="9"/>
  <c r="H32" i="9"/>
  <c r="H22" i="9"/>
  <c r="K15" i="6"/>
  <c r="K21" i="6"/>
  <c r="H26" i="9"/>
  <c r="H30" i="9"/>
  <c r="K20" i="6"/>
  <c r="H24" i="9"/>
  <c r="K23" i="6"/>
  <c r="K18" i="6"/>
  <c r="H31" i="9"/>
  <c r="K24" i="6"/>
  <c r="K16" i="6"/>
  <c r="A17" i="7" l="1"/>
  <c r="B17" i="9"/>
  <c r="D9" i="9"/>
  <c r="C9" i="7"/>
  <c r="A25" i="7"/>
  <c r="B25" i="9"/>
  <c r="D11" i="9"/>
  <c r="C11" i="7"/>
  <c r="C27" i="9"/>
  <c r="B27" i="7"/>
  <c r="C11" i="9"/>
  <c r="B11" i="7"/>
  <c r="C10" i="9"/>
  <c r="B10" i="7"/>
  <c r="C26" i="9"/>
  <c r="B26" i="7"/>
  <c r="A19" i="7"/>
  <c r="B19" i="9"/>
  <c r="A21" i="7"/>
  <c r="B21" i="9"/>
  <c r="A9" i="7"/>
  <c r="B9" i="9"/>
  <c r="A14" i="7"/>
  <c r="B14" i="9"/>
  <c r="A23" i="7"/>
  <c r="B23" i="9"/>
  <c r="A28" i="7"/>
  <c r="B28" i="9"/>
  <c r="A10" i="7"/>
  <c r="B10" i="9"/>
  <c r="A15" i="7"/>
  <c r="B15" i="9"/>
  <c r="A22" i="7"/>
  <c r="B22" i="9"/>
  <c r="A27" i="7"/>
  <c r="B27" i="9"/>
  <c r="A32" i="7"/>
  <c r="B32" i="9"/>
  <c r="A7" i="7"/>
  <c r="B7" i="9"/>
  <c r="A11" i="7"/>
  <c r="B11" i="9"/>
  <c r="D30" i="9"/>
  <c r="C30" i="7"/>
  <c r="A18" i="7"/>
  <c r="B18" i="9"/>
  <c r="A20" i="7"/>
  <c r="B20" i="9"/>
  <c r="C9" i="9"/>
  <c r="B9" i="7"/>
  <c r="A24" i="7"/>
  <c r="B24" i="9"/>
  <c r="A29" i="7"/>
  <c r="B29" i="9"/>
  <c r="A30" i="7"/>
  <c r="B30" i="9"/>
  <c r="A31" i="7"/>
  <c r="B31" i="9"/>
  <c r="D26" i="9"/>
  <c r="C26" i="7"/>
  <c r="A12" i="7"/>
  <c r="B12" i="9"/>
  <c r="A16" i="7"/>
  <c r="B16" i="9"/>
  <c r="D10" i="9"/>
  <c r="C10" i="7"/>
  <c r="A26" i="7"/>
  <c r="B26" i="9"/>
  <c r="C20" i="9"/>
  <c r="B20" i="7"/>
  <c r="A8" i="7"/>
  <c r="B8" i="9"/>
  <c r="A13" i="7"/>
  <c r="B13" i="9"/>
  <c r="C8" i="9"/>
  <c r="D16" i="9"/>
  <c r="C16" i="9"/>
  <c r="D15" i="9"/>
  <c r="J235" i="5"/>
  <c r="D14" i="9"/>
  <c r="C15" i="9"/>
  <c r="D8" i="9"/>
  <c r="C14" i="9"/>
  <c r="D13" i="9"/>
  <c r="J205" i="5"/>
  <c r="D32" i="9"/>
  <c r="C31" i="6"/>
  <c r="B32" i="7" s="1"/>
  <c r="D12" i="9"/>
  <c r="C12" i="9"/>
  <c r="C13" i="9"/>
  <c r="D27" i="9"/>
  <c r="D28" i="9"/>
  <c r="C31" i="9"/>
  <c r="D29" i="9"/>
  <c r="C30" i="9"/>
  <c r="D31" i="9"/>
  <c r="C28" i="9"/>
  <c r="C29" i="9"/>
  <c r="E31" i="9"/>
  <c r="E24" i="9"/>
  <c r="E29" i="9"/>
  <c r="E43" i="9"/>
  <c r="E23" i="9"/>
  <c r="E25" i="9"/>
  <c r="E32" i="9"/>
  <c r="E28" i="9"/>
  <c r="E27" i="9"/>
  <c r="E26" i="9"/>
  <c r="E22" i="9"/>
  <c r="E30" i="9"/>
  <c r="E44" i="9"/>
  <c r="L18" i="6"/>
  <c r="M18" i="6" s="1"/>
  <c r="L19" i="6"/>
  <c r="M19" i="6" s="1"/>
  <c r="L23" i="6"/>
  <c r="M23" i="6" s="1"/>
  <c r="L15" i="6"/>
  <c r="M15" i="6" s="1"/>
  <c r="L16" i="6"/>
  <c r="M16" i="6" s="1"/>
  <c r="L24" i="6"/>
  <c r="M24" i="6" s="1"/>
  <c r="L25" i="6"/>
  <c r="M25" i="6" s="1"/>
  <c r="L20" i="6"/>
  <c r="M20" i="6" s="1"/>
  <c r="L21" i="6"/>
  <c r="M21" i="6" s="1"/>
  <c r="L17" i="6"/>
  <c r="M17" i="6" s="1"/>
  <c r="L22" i="6"/>
  <c r="M22" i="6" s="1"/>
  <c r="J171" i="5"/>
  <c r="A180" i="5"/>
  <c r="J192" i="5"/>
  <c r="A173" i="5"/>
  <c r="A159" i="5"/>
  <c r="J178" i="5"/>
  <c r="A166" i="5"/>
  <c r="J157" i="5"/>
  <c r="J164" i="5"/>
  <c r="A145" i="5"/>
  <c r="A152" i="5"/>
  <c r="D141" i="5"/>
  <c r="C140" i="5"/>
  <c r="D24" i="6" s="1"/>
  <c r="C25" i="7" s="1"/>
  <c r="B140" i="5"/>
  <c r="C24" i="6" s="1"/>
  <c r="B25" i="7" s="1"/>
  <c r="D135" i="5"/>
  <c r="C132" i="5"/>
  <c r="D23" i="6" s="1"/>
  <c r="C24" i="7" s="1"/>
  <c r="B132" i="5"/>
  <c r="D127" i="5"/>
  <c r="C124" i="5"/>
  <c r="D22" i="6" s="1"/>
  <c r="C23" i="7" s="1"/>
  <c r="B124" i="5"/>
  <c r="C22" i="6" s="1"/>
  <c r="B23" i="7" s="1"/>
  <c r="D119" i="5"/>
  <c r="C116" i="5"/>
  <c r="D21" i="6" s="1"/>
  <c r="C22" i="7" s="1"/>
  <c r="B116" i="5"/>
  <c r="C21" i="6" s="1"/>
  <c r="B22" i="7" s="1"/>
  <c r="D111" i="5"/>
  <c r="C108" i="5"/>
  <c r="D20" i="6" s="1"/>
  <c r="C21" i="7" s="1"/>
  <c r="B108" i="5"/>
  <c r="C20" i="6" s="1"/>
  <c r="B21" i="7" s="1"/>
  <c r="H205" i="5" l="1"/>
  <c r="F199" i="5"/>
  <c r="H211" i="5"/>
  <c r="H235" i="5"/>
  <c r="H192" i="5"/>
  <c r="C32" i="9"/>
  <c r="F205" i="5"/>
  <c r="A131" i="5"/>
  <c r="C23" i="6"/>
  <c r="B24" i="7" s="1"/>
  <c r="D25" i="9"/>
  <c r="C22" i="9"/>
  <c r="D22" i="9"/>
  <c r="C23" i="9"/>
  <c r="D23" i="9"/>
  <c r="D24" i="9"/>
  <c r="C21" i="9"/>
  <c r="C25" i="9"/>
  <c r="D21" i="9"/>
  <c r="H171" i="5"/>
  <c r="A139" i="5"/>
  <c r="H157" i="5"/>
  <c r="H178" i="5"/>
  <c r="J143" i="5"/>
  <c r="H164" i="5"/>
  <c r="J137" i="5"/>
  <c r="J129" i="5"/>
  <c r="A123" i="5"/>
  <c r="J121" i="5"/>
  <c r="A115" i="5"/>
  <c r="A107" i="5"/>
  <c r="L205" i="5" l="1"/>
  <c r="L199" i="5"/>
  <c r="F211" i="5"/>
  <c r="C24" i="9"/>
  <c r="L211" i="5" l="1"/>
  <c r="F235" i="5"/>
  <c r="F192" i="5"/>
  <c r="F178" i="5"/>
  <c r="L178" i="5" s="1"/>
  <c r="H121" i="5"/>
  <c r="F171" i="5"/>
  <c r="L171" i="5" s="1"/>
  <c r="H143" i="5"/>
  <c r="H137" i="5"/>
  <c r="H129" i="5"/>
  <c r="L235" i="5" l="1"/>
  <c r="L192" i="5"/>
  <c r="H40" i="6" l="1"/>
  <c r="C97" i="5" l="1"/>
  <c r="C98" i="5"/>
  <c r="C99" i="5"/>
  <c r="C100" i="5"/>
  <c r="C101" i="5"/>
  <c r="C102" i="5"/>
  <c r="C96" i="5"/>
  <c r="B97" i="5"/>
  <c r="B98" i="5"/>
  <c r="B99" i="5"/>
  <c r="B100" i="5"/>
  <c r="B101" i="5"/>
  <c r="B102" i="5"/>
  <c r="B96" i="5"/>
  <c r="F143" i="5" l="1"/>
  <c r="J105" i="5"/>
  <c r="C95" i="5"/>
  <c r="D19" i="6" s="1"/>
  <c r="C20" i="7" s="1"/>
  <c r="C89" i="5"/>
  <c r="D18" i="6" s="1"/>
  <c r="C19" i="7" s="1"/>
  <c r="B89" i="5"/>
  <c r="C18" i="6" s="1"/>
  <c r="B19" i="7" s="1"/>
  <c r="D90" i="5"/>
  <c r="C83" i="5"/>
  <c r="D17" i="6" s="1"/>
  <c r="C18" i="7" s="1"/>
  <c r="B83" i="5"/>
  <c r="D84" i="5"/>
  <c r="D78" i="5"/>
  <c r="C77" i="5"/>
  <c r="D16" i="6" s="1"/>
  <c r="C17" i="7" s="1"/>
  <c r="B77" i="5"/>
  <c r="C16" i="6" s="1"/>
  <c r="B17" i="7" s="1"/>
  <c r="J86" i="5" l="1"/>
  <c r="L143" i="5"/>
  <c r="J80" i="5"/>
  <c r="D18" i="9"/>
  <c r="D20" i="9"/>
  <c r="D19" i="9"/>
  <c r="D17" i="9"/>
  <c r="A82" i="5"/>
  <c r="C17" i="6"/>
  <c r="B18" i="7" s="1"/>
  <c r="C19" i="9"/>
  <c r="C17" i="9"/>
  <c r="A76" i="5"/>
  <c r="A88" i="5"/>
  <c r="A94" i="5"/>
  <c r="J92" i="5"/>
  <c r="H92" i="5" l="1"/>
  <c r="C18" i="9"/>
  <c r="F164" i="5"/>
  <c r="L164" i="5" s="1"/>
  <c r="H86" i="5"/>
  <c r="H105" i="5"/>
  <c r="H80" i="5"/>
  <c r="F137" i="5" l="1"/>
  <c r="F129" i="5"/>
  <c r="F121" i="5"/>
  <c r="L129" i="5" l="1"/>
  <c r="L137" i="5"/>
  <c r="L121" i="5"/>
  <c r="A70" i="5"/>
  <c r="A64" i="5"/>
  <c r="A58" i="5"/>
  <c r="A52" i="5"/>
  <c r="A46" i="5"/>
  <c r="A40" i="5"/>
  <c r="A34" i="5"/>
  <c r="A28" i="5"/>
  <c r="D72" i="5"/>
  <c r="D60" i="5"/>
  <c r="D30" i="5"/>
  <c r="D24" i="5"/>
  <c r="A22" i="5"/>
  <c r="D66" i="5"/>
  <c r="D54" i="5"/>
  <c r="D48" i="5"/>
  <c r="D42" i="5"/>
  <c r="D36" i="5"/>
  <c r="C6" i="6"/>
  <c r="B7" i="7" s="1"/>
  <c r="D6" i="6"/>
  <c r="C7" i="7" s="1"/>
  <c r="D18" i="5"/>
  <c r="A16" i="5"/>
  <c r="D7" i="9" l="1"/>
  <c r="C7" i="9"/>
  <c r="J74" i="5"/>
  <c r="J62" i="5"/>
  <c r="J26" i="5"/>
  <c r="J32" i="5"/>
  <c r="J56" i="5"/>
  <c r="J38" i="5"/>
  <c r="J113" i="5"/>
  <c r="J50" i="5"/>
  <c r="J44" i="5"/>
  <c r="D5" i="6"/>
  <c r="C6" i="7" s="1"/>
  <c r="C5" i="6"/>
  <c r="B6" i="7" s="1"/>
  <c r="B5" i="6"/>
  <c r="D4" i="6"/>
  <c r="C4" i="6"/>
  <c r="B4" i="6"/>
  <c r="D12" i="5"/>
  <c r="A10" i="5"/>
  <c r="A4" i="5"/>
  <c r="D6" i="5"/>
  <c r="A6" i="7" l="1"/>
  <c r="B6" i="9"/>
  <c r="H26" i="5"/>
  <c r="H62" i="5"/>
  <c r="C6" i="9"/>
  <c r="D6" i="9"/>
  <c r="H68" i="5"/>
  <c r="H56" i="5"/>
  <c r="J68" i="5"/>
  <c r="H74" i="5"/>
  <c r="H50" i="5"/>
  <c r="F62" i="5"/>
  <c r="H32" i="5"/>
  <c r="F56" i="5"/>
  <c r="H44" i="5"/>
  <c r="J8" i="5"/>
  <c r="H38" i="5"/>
  <c r="J14" i="5"/>
  <c r="H113" i="5"/>
  <c r="K31" i="6"/>
  <c r="H21" i="9"/>
  <c r="L62" i="5" l="1"/>
  <c r="L56" i="5"/>
  <c r="F68" i="5"/>
  <c r="F44" i="5"/>
  <c r="L44" i="5" s="1"/>
  <c r="F74" i="5"/>
  <c r="F32" i="5"/>
  <c r="L32" i="5" s="1"/>
  <c r="F26" i="5"/>
  <c r="L26" i="5" s="1"/>
  <c r="F50" i="5"/>
  <c r="L50" i="5" s="1"/>
  <c r="F14" i="5"/>
  <c r="H14" i="5"/>
  <c r="H8" i="5"/>
  <c r="E21" i="9"/>
  <c r="L31" i="6"/>
  <c r="M31" i="6" s="1"/>
  <c r="L68" i="5" l="1"/>
  <c r="L74" i="5"/>
  <c r="F38" i="5"/>
  <c r="L38" i="5" s="1"/>
  <c r="L14" i="5"/>
  <c r="F18" i="9"/>
  <c r="H20" i="9"/>
  <c r="K28" i="6"/>
  <c r="K29" i="6"/>
  <c r="K30" i="6"/>
  <c r="F8" i="5" l="1"/>
  <c r="L8" i="5" s="1"/>
  <c r="E20" i="9"/>
  <c r="L30" i="6"/>
  <c r="M30" i="6" s="1"/>
  <c r="L29" i="6"/>
  <c r="M29" i="6" s="1"/>
  <c r="L28" i="6"/>
  <c r="M28" i="6" s="1"/>
  <c r="H16" i="9"/>
  <c r="E16" i="9" l="1"/>
  <c r="H17" i="9"/>
  <c r="H18" i="9"/>
  <c r="E18" i="9" l="1"/>
  <c r="E17" i="9"/>
  <c r="K14" i="6"/>
  <c r="L14" i="6" l="1"/>
  <c r="M14" i="6" s="1"/>
  <c r="F105" i="5" l="1"/>
  <c r="L105" i="5" l="1"/>
  <c r="F92" i="5"/>
  <c r="K10" i="6"/>
  <c r="K9" i="6"/>
  <c r="K11" i="6"/>
  <c r="H19" i="9"/>
  <c r="K13" i="6"/>
  <c r="K26" i="6"/>
  <c r="K12" i="6"/>
  <c r="L92" i="5" l="1"/>
  <c r="F157" i="5"/>
  <c r="L157" i="5" s="1"/>
  <c r="E19" i="9"/>
  <c r="L12" i="6"/>
  <c r="M12" i="6" s="1"/>
  <c r="L26" i="6"/>
  <c r="M26" i="6" s="1"/>
  <c r="L9" i="6"/>
  <c r="M9" i="6" s="1"/>
  <c r="L10" i="6"/>
  <c r="M10" i="6" s="1"/>
  <c r="L13" i="6"/>
  <c r="M13" i="6" s="1"/>
  <c r="L11" i="6"/>
  <c r="M11" i="6" s="1"/>
  <c r="J20" i="5" l="1"/>
  <c r="H20" i="5" l="1"/>
  <c r="F86" i="5" l="1"/>
  <c r="F113" i="5"/>
  <c r="L86" i="5" l="1"/>
  <c r="L113" i="5"/>
  <c r="A3" i="9" l="1"/>
  <c r="J150" i="5" l="1"/>
  <c r="H150" i="5"/>
  <c r="A2" i="9" l="1"/>
  <c r="A1" i="5"/>
  <c r="A2" i="6"/>
  <c r="A1" i="7"/>
  <c r="A2" i="8"/>
  <c r="D5" i="7" l="1"/>
  <c r="H8" i="9"/>
  <c r="H5" i="9"/>
  <c r="H10" i="9"/>
  <c r="H13" i="9"/>
  <c r="H15" i="9"/>
  <c r="H12" i="9"/>
  <c r="H14" i="9"/>
  <c r="H11" i="9"/>
  <c r="H6" i="9"/>
  <c r="H7" i="9"/>
  <c r="H9" i="9"/>
  <c r="E14" i="9" l="1"/>
  <c r="E6" i="9"/>
  <c r="E15" i="9"/>
  <c r="E13" i="9"/>
  <c r="E11" i="9"/>
  <c r="E8" i="9"/>
  <c r="E12" i="9"/>
  <c r="E10" i="9"/>
  <c r="E9" i="9"/>
  <c r="E7" i="9"/>
  <c r="E5" i="9"/>
  <c r="B5" i="7" l="1"/>
  <c r="C5" i="7"/>
  <c r="A5" i="7"/>
  <c r="K8" i="6"/>
  <c r="K7" i="6"/>
  <c r="K5" i="6"/>
  <c r="K27" i="6"/>
  <c r="K4" i="6"/>
  <c r="K6" i="6"/>
  <c r="D5" i="9" l="1"/>
  <c r="C5" i="9"/>
  <c r="B5" i="9"/>
  <c r="L27" i="6"/>
  <c r="M27" i="6" s="1"/>
  <c r="L5" i="6"/>
  <c r="M5" i="6" s="1"/>
  <c r="L6" i="6"/>
  <c r="M6" i="6" s="1"/>
  <c r="L8" i="6"/>
  <c r="M8" i="6" s="1"/>
  <c r="L7" i="6"/>
  <c r="M7" i="6" s="1"/>
  <c r="L4" i="6"/>
  <c r="M4" i="6" s="1"/>
  <c r="F80" i="5" l="1"/>
  <c r="L80" i="5" l="1"/>
  <c r="F150" i="5" l="1"/>
  <c r="L150" i="5" l="1"/>
  <c r="F20" i="5" l="1"/>
  <c r="L20" i="5" l="1"/>
  <c r="J27" i="8" l="1"/>
  <c r="E27" i="3" l="1"/>
  <c r="F2" i="3" l="1"/>
</calcChain>
</file>

<file path=xl/sharedStrings.xml><?xml version="1.0" encoding="utf-8"?>
<sst xmlns="http://schemas.openxmlformats.org/spreadsheetml/2006/main" count="3145" uniqueCount="366">
  <si>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</si>
  <si>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</si>
  <si>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</si>
  <si>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</si>
  <si>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</si>
  <si>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</si>
  <si>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</si>
  <si>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</si>
  <si>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</si>
  <si>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</si>
  <si>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</si>
  <si>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</si>
  <si>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</si>
  <si>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</si>
  <si>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</si>
  <si>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</si>
  <si>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</si>
  <si>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</si>
  <si>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</si>
  <si>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</si>
  <si>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</si>
  <si>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</si>
  <si>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</si>
  <si>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</si>
  <si>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</si>
  <si>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</si>
  <si>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</si>
  <si>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</si>
  <si>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</si>
  <si>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</si>
  <si>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</si>
  <si>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</si>
  <si>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</si>
  <si>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</si>
  <si>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</si>
  <si>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</si>
  <si>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</si>
  <si>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</si>
  <si>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</si>
  <si>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</si>
  <si>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</si>
  <si>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</si>
  <si>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</si>
  <si>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</si>
  <si>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</si>
  <si>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</si>
  <si>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</si>
  <si>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</si>
  <si>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</t>
  </si>
  <si>
    <t>59FE04414460618DEB0A5A674559BDE262AE16</t>
  </si>
  <si>
    <t>F</t>
  </si>
  <si>
    <t>T</t>
  </si>
  <si>
    <t>010159FE04414460618DEB0A5A674559BDE262AE16</t>
  </si>
  <si>
    <t>59FE04414460618D9CEED063CD737B3AB669F4</t>
  </si>
  <si>
    <t>010159FE04414460618D9CEED063CD737B3AB669F4</t>
  </si>
  <si>
    <t>59FE04414460618D9CEED063CD7BB1FF7EAE78</t>
  </si>
  <si>
    <t>010159FE04414460618D9CEED063CD7BB1FF7EAE78</t>
  </si>
  <si>
    <t>5E9C94AF64B8518D6DE84863850F00</t>
  </si>
  <si>
    <t>01015E9C94AF64B8518D6DE84863850F00</t>
  </si>
  <si>
    <t>5E9C94AF64B8518D6DE848638509F9</t>
  </si>
  <si>
    <t>01015E9C94AF64B8518D6DE848638509F9</t>
  </si>
  <si>
    <t>5E9C94AF64B8518D6DE84863850BA5</t>
  </si>
  <si>
    <t>01015E9C94AF64B8518D6DE84863850BA5</t>
  </si>
  <si>
    <t>5E9C94AF6483118D47334C69BB80D2</t>
  </si>
  <si>
    <t>01015E9C94AF6483118D47334C69BB80D2</t>
  </si>
  <si>
    <t>5E9C94AF6483118D47334C69BB81F9</t>
  </si>
  <si>
    <t>01015E9C94AF6483118D47334C69BB81F9</t>
  </si>
  <si>
    <t>5E9C94AF6434F18122B52F65E3ABD3</t>
  </si>
  <si>
    <t>01015E9C94AF6434F18122B52F65E3ABD3</t>
  </si>
  <si>
    <t>5E9C94AF6434F18107E99F6B32D98D</t>
  </si>
  <si>
    <t>01015E9C94AF6434F18107E99F6B32D98D</t>
  </si>
  <si>
    <t>5E9C94AF6434F18107E99F6B32DA94</t>
  </si>
  <si>
    <t>01015E9C94AF6434F18107E99F6B32DA94</t>
  </si>
  <si>
    <t>5E9C94AF6434F18107E99F6B33FA0E</t>
  </si>
  <si>
    <t>01015E9C94AF6434F18107E99F6B33FA0E</t>
  </si>
  <si>
    <t>5E9C94AF6434F18107E99F6B33F7BA</t>
  </si>
  <si>
    <t>5E9C94AF6434F18107E93563379942</t>
  </si>
  <si>
    <t>5E9C94ADB4FD718A789A8D67C87259</t>
  </si>
  <si>
    <t>5F6014CBE4A1418BC60B2463728043A4AE6C3A</t>
  </si>
  <si>
    <t>01015F6014CBE4A1418BC60B2463728043A4AE6C3A</t>
  </si>
  <si>
    <t>[ 합           계 ]</t>
  </si>
  <si>
    <t>TOTAL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</si>
  <si>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</si>
  <si>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</si>
  <si>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</si>
  <si>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</si>
  <si>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</si>
  <si>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</si>
  <si>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</si>
  <si>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</si>
  <si>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</si>
  <si>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</si>
  <si>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</si>
  <si>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</si>
  <si>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</si>
  <si>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</si>
  <si>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</si>
  <si>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</si>
  <si>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</si>
  <si>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59FE04414472F18932106F6D74CF7C12DDA25D</t>
  </si>
  <si>
    <t>5E9C94AF64B8518D6DE84863850F0059FE04414472F18932106F6D74CF7C12DDA25D</t>
  </si>
  <si>
    <t>식</t>
  </si>
  <si>
    <t>내선전공</t>
  </si>
  <si>
    <t>일반공사 직종</t>
  </si>
  <si>
    <t>인</t>
  </si>
  <si>
    <t>5E05F4BD7485118AFB6D9A68BA8F02711E4288</t>
  </si>
  <si>
    <t>5E9C94AF64B8518D6DE84863850F005E05F4BD7485118AFB6D9A68BA8F02711E4288</t>
  </si>
  <si>
    <t>공구손료</t>
  </si>
  <si>
    <t>인력품의 3%</t>
  </si>
  <si>
    <t>5FCFC405040A11833082BC6CE426002</t>
  </si>
  <si>
    <t>5E9C94AF64B8518D6DE84863850F005FCFC405040A11833082BC6CE427003</t>
  </si>
  <si>
    <t xml:space="preserve"> [ 합          계 ]</t>
  </si>
  <si>
    <t>호표 2</t>
  </si>
  <si>
    <t>호표 3</t>
  </si>
  <si>
    <t>호표 4</t>
  </si>
  <si>
    <t>호표 5</t>
  </si>
  <si>
    <t>호표 6</t>
  </si>
  <si>
    <t>호표 7</t>
  </si>
  <si>
    <t>호표 8</t>
  </si>
  <si>
    <t>호표 9</t>
  </si>
  <si>
    <t>호표 10</t>
  </si>
  <si>
    <t>호표 11</t>
  </si>
  <si>
    <t>호표 12</t>
  </si>
  <si>
    <t>공 사 원 가 계 산 서</t>
  </si>
  <si>
    <t>비        목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</si>
  <si>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</si>
  <si>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</si>
  <si>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</si>
  <si>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</si>
  <si>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</si>
  <si>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</si>
  <si>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</si>
  <si>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</si>
  <si>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</si>
  <si>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</si>
  <si>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</si>
  <si>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</si>
  <si>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B1</t>
  </si>
  <si>
    <t>직  접  노  무  비</t>
  </si>
  <si>
    <t>B2</t>
  </si>
  <si>
    <t>간  접  노  무  비</t>
  </si>
  <si>
    <t>직접노무비 * 17.5%</t>
  </si>
  <si>
    <t>BS</t>
  </si>
  <si>
    <t>C4</t>
  </si>
  <si>
    <t>산  재  보  험  료</t>
  </si>
  <si>
    <t>노무비 * 3.56%</t>
  </si>
  <si>
    <t>C5</t>
  </si>
  <si>
    <t>노무비 * 1.01%</t>
  </si>
  <si>
    <t>CG</t>
  </si>
  <si>
    <t>기   타    경   비</t>
  </si>
  <si>
    <t>(재료비+노무비) * 5%</t>
  </si>
  <si>
    <t>CS</t>
  </si>
  <si>
    <t>S1</t>
  </si>
  <si>
    <t xml:space="preserve">        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</si>
  <si>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</si>
  <si>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</si>
  <si>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</si>
  <si>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</si>
  <si>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</si>
  <si>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</si>
  <si>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D9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</si>
  <si>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</si>
  <si>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</si>
  <si>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</si>
  <si>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</si>
  <si>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</si>
  <si>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</si>
  <si>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</si>
  <si>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고  용  보  험  료</t>
    <phoneticPr fontId="1" type="noConversion"/>
  </si>
  <si>
    <t>석  면  분  담  금</t>
    <phoneticPr fontId="1" type="noConversion"/>
  </si>
  <si>
    <t>임  금  채  권  분  담  금</t>
    <phoneticPr fontId="1" type="noConversion"/>
  </si>
  <si>
    <t>노무비 * 0.006%</t>
    <phoneticPr fontId="1" type="noConversion"/>
  </si>
  <si>
    <t>노무비 * 0.09%</t>
    <phoneticPr fontId="1" type="noConversion"/>
  </si>
  <si>
    <t>1 PAGE</t>
  </si>
  <si>
    <t>산  출  식</t>
  </si>
  <si>
    <t>계</t>
  </si>
  <si>
    <t>단  위</t>
  </si>
  <si>
    <t>'ZEA000000001</t>
  </si>
  <si>
    <t>'ZEA000000002</t>
  </si>
  <si>
    <t>'ZEA000000003</t>
  </si>
  <si>
    <t>'ZEA000000004</t>
  </si>
  <si>
    <t>'ZEA000000005</t>
  </si>
  <si>
    <t>'ZEA000000006</t>
  </si>
  <si>
    <t>'ZEA000000007</t>
  </si>
  <si>
    <t>'ZEA000000008</t>
  </si>
  <si>
    <t>'ZEA000000009</t>
  </si>
  <si>
    <t>'ZEA000000010</t>
  </si>
  <si>
    <t>'ZEA000000011</t>
  </si>
  <si>
    <t>'ZEA000000012</t>
  </si>
  <si>
    <t>'ZEA000000013</t>
  </si>
  <si>
    <t>수   량   산   출   서</t>
    <phoneticPr fontId="1" type="noConversion"/>
  </si>
  <si>
    <t>호표 1</t>
    <phoneticPr fontId="1" type="noConversion"/>
  </si>
  <si>
    <t>'호표 1</t>
    <phoneticPr fontId="1" type="noConversion"/>
  </si>
  <si>
    <t>'호표 3</t>
  </si>
  <si>
    <t>'호표 8</t>
  </si>
  <si>
    <t>'호표 7</t>
  </si>
  <si>
    <t>'호표 2</t>
  </si>
  <si>
    <t>'호표 4</t>
  </si>
  <si>
    <t>'호표 5</t>
  </si>
  <si>
    <t>'호표 6</t>
  </si>
  <si>
    <t>'호표 9</t>
  </si>
  <si>
    <t>'호표 10</t>
  </si>
  <si>
    <t>'호표 11</t>
  </si>
  <si>
    <t>'호표 12</t>
  </si>
  <si>
    <t>금      액</t>
    <phoneticPr fontId="1" type="noConversion"/>
  </si>
  <si>
    <t>0101  전기공사</t>
    <phoneticPr fontId="1" type="noConversion"/>
  </si>
  <si>
    <t>[ 합           계 ]</t>
    <phoneticPr fontId="1" type="noConversion"/>
  </si>
  <si>
    <t>개</t>
    <phoneticPr fontId="1" type="noConversion"/>
  </si>
  <si>
    <t>강제전선관 설치</t>
    <phoneticPr fontId="1" type="noConversion"/>
  </si>
  <si>
    <t>m</t>
    <phoneticPr fontId="1" type="noConversion"/>
  </si>
  <si>
    <t>전선관부속품비</t>
  </si>
  <si>
    <t>잡재료비</t>
  </si>
  <si>
    <t>배관배선의 2%</t>
  </si>
  <si>
    <t>전력케이블 설치</t>
    <phoneticPr fontId="1" type="noConversion"/>
  </si>
  <si>
    <t>저압케이블전공</t>
    <phoneticPr fontId="1" type="noConversion"/>
  </si>
  <si>
    <t>내선전공</t>
    <phoneticPr fontId="1" type="noConversion"/>
  </si>
  <si>
    <t>전선관의 20%</t>
    <phoneticPr fontId="1" type="noConversion"/>
  </si>
  <si>
    <t>손 해 배 상 공 제 료</t>
    <phoneticPr fontId="1" type="noConversion"/>
  </si>
  <si>
    <t>공   급   가   액</t>
    <phoneticPr fontId="1" type="noConversion"/>
  </si>
  <si>
    <t>[ 소          계 1 ]</t>
    <phoneticPr fontId="1" type="noConversion"/>
  </si>
  <si>
    <t>[ 소          계 2 ]</t>
    <phoneticPr fontId="1" type="noConversion"/>
  </si>
  <si>
    <t>[ 소          계 3 ]</t>
    <phoneticPr fontId="1" type="noConversion"/>
  </si>
  <si>
    <t>[ 소          계 4 ]</t>
    <phoneticPr fontId="1" type="noConversion"/>
  </si>
  <si>
    <t>재료비 + 노무비+ 경비+ 일반관리비+ 이윤</t>
    <phoneticPr fontId="1" type="noConversion"/>
  </si>
  <si>
    <t>소계4 + 손해배상공제료</t>
    <phoneticPr fontId="1" type="noConversion"/>
  </si>
  <si>
    <t>공급가액 + 부가가치세</t>
    <phoneticPr fontId="1" type="noConversion"/>
  </si>
  <si>
    <t>'ZEA000000014</t>
  </si>
  <si>
    <t>'ZEA000000015</t>
  </si>
  <si>
    <t>'ZEA000000016</t>
  </si>
  <si>
    <t>'호표 14</t>
  </si>
  <si>
    <t>'호표 15</t>
  </si>
  <si>
    <t>'호표 16</t>
  </si>
  <si>
    <t>산업안전보건관리비</t>
    <phoneticPr fontId="1" type="noConversion"/>
  </si>
  <si>
    <t>(재료비+직접노무비) * 2.07%</t>
    <phoneticPr fontId="1" type="noConversion"/>
  </si>
  <si>
    <t>'ZEA000000017</t>
  </si>
  <si>
    <t>제1공학관 창의공학지원실 노후시설 개선 전기공사</t>
    <phoneticPr fontId="1" type="noConversion"/>
  </si>
  <si>
    <t>금속덕트 철거</t>
    <phoneticPr fontId="1" type="noConversion"/>
  </si>
  <si>
    <t>200mm*100mm</t>
    <phoneticPr fontId="1" type="noConversion"/>
  </si>
  <si>
    <t>300mm*200mm</t>
    <phoneticPr fontId="1" type="noConversion"/>
  </si>
  <si>
    <t>강제전선관 철거</t>
    <phoneticPr fontId="1" type="noConversion"/>
  </si>
  <si>
    <t>후강전선관, 아연도, 22mm</t>
    <phoneticPr fontId="1" type="noConversion"/>
  </si>
  <si>
    <t>전력케이블 철거</t>
    <phoneticPr fontId="1" type="noConversion"/>
  </si>
  <si>
    <t xml:space="preserve">F-CV, 0.6/1kV, 4C 16mm²  </t>
    <phoneticPr fontId="1" type="noConversion"/>
  </si>
  <si>
    <t xml:space="preserve">F-CV, 0.6/1kV, 4C 10mm²  </t>
    <phoneticPr fontId="1" type="noConversion"/>
  </si>
  <si>
    <t xml:space="preserve">F-CV, 0.6/1kV, 4C 6mm²  </t>
    <phoneticPr fontId="1" type="noConversion"/>
  </si>
  <si>
    <t xml:space="preserve">F-CV, 0.6/1kV, 1C 6mm²  </t>
    <phoneticPr fontId="1" type="noConversion"/>
  </si>
  <si>
    <t>절연전선 철거</t>
    <phoneticPr fontId="1" type="noConversion"/>
  </si>
  <si>
    <t xml:space="preserve">HFIX, 450/750V, 6mm²  </t>
    <phoneticPr fontId="1" type="noConversion"/>
  </si>
  <si>
    <t>합성수지전선관 철거</t>
    <phoneticPr fontId="1" type="noConversion"/>
  </si>
  <si>
    <t>28mm</t>
    <phoneticPr fontId="1" type="noConversion"/>
  </si>
  <si>
    <t>22mm</t>
    <phoneticPr fontId="1" type="noConversion"/>
  </si>
  <si>
    <t xml:space="preserve">F-CV, 0.6/1kV, 3C 4mm²  </t>
    <phoneticPr fontId="1" type="noConversion"/>
  </si>
  <si>
    <t xml:space="preserve">GV, 4mm²  </t>
    <phoneticPr fontId="1" type="noConversion"/>
  </si>
  <si>
    <t>접지용전선 철거</t>
    <phoneticPr fontId="1" type="noConversion"/>
  </si>
  <si>
    <t>케이블트레이 설치</t>
    <phoneticPr fontId="1" type="noConversion"/>
  </si>
  <si>
    <t>케이블트레이부속품 설치</t>
    <phoneticPr fontId="1" type="noConversion"/>
  </si>
  <si>
    <t>전산볼트</t>
  </si>
  <si>
    <t>사각와셔</t>
  </si>
  <si>
    <t>전산볼트 캡</t>
  </si>
  <si>
    <t>홀드다운클램프(일체형)</t>
  </si>
  <si>
    <t>"U" CHANNEL</t>
  </si>
  <si>
    <t>찬넬캡</t>
  </si>
  <si>
    <t>케이블트레이지지대 설치</t>
    <phoneticPr fontId="1" type="noConversion"/>
  </si>
  <si>
    <t>스트롱앵커(천장) 3/8"</t>
    <phoneticPr fontId="1" type="noConversion"/>
  </si>
  <si>
    <t>SHANK NUT</t>
    <phoneticPr fontId="1" type="noConversion"/>
  </si>
  <si>
    <t>풀박스 설치</t>
    <phoneticPr fontId="1" type="noConversion"/>
  </si>
  <si>
    <t>UTP케이블 설치</t>
    <phoneticPr fontId="1" type="noConversion"/>
  </si>
  <si>
    <t>접지용전선 설치</t>
    <phoneticPr fontId="1" type="noConversion"/>
  </si>
  <si>
    <t>호표 13</t>
  </si>
  <si>
    <t>호표 14</t>
  </si>
  <si>
    <t>호표 15</t>
  </si>
  <si>
    <t>호표 16</t>
  </si>
  <si>
    <t>호표 17</t>
  </si>
  <si>
    <t>호표 18</t>
  </si>
  <si>
    <t>호표 19</t>
  </si>
  <si>
    <t>호표 20</t>
  </si>
  <si>
    <t>호표 21</t>
  </si>
  <si>
    <t>호표 22</t>
  </si>
  <si>
    <t>호표 23</t>
  </si>
  <si>
    <t>호표 24</t>
  </si>
  <si>
    <t>호표 25</t>
  </si>
  <si>
    <t>호표 26</t>
  </si>
  <si>
    <t>호표 27</t>
  </si>
  <si>
    <t>'ZEA000000018</t>
  </si>
  <si>
    <t>'ZEA000000019</t>
  </si>
  <si>
    <t>'ZEA000000020</t>
  </si>
  <si>
    <t>'ZEA000000021</t>
  </si>
  <si>
    <t>'ZEA000000022</t>
  </si>
  <si>
    <t>'ZEA000000023</t>
  </si>
  <si>
    <t>'ZEA000000024</t>
  </si>
  <si>
    <t>'ZEA000000025</t>
  </si>
  <si>
    <t>'ZEA000000026</t>
  </si>
  <si>
    <t>'ZEA000000027</t>
  </si>
  <si>
    <t>'ZEA000000028</t>
  </si>
  <si>
    <t>'ZEA000000029</t>
  </si>
  <si>
    <t>'ZEA000000030</t>
  </si>
  <si>
    <t>'ZEA000000031</t>
  </si>
  <si>
    <t>'호표 13</t>
  </si>
  <si>
    <t>'호표 17</t>
  </si>
  <si>
    <t>'호표 18</t>
  </si>
  <si>
    <t>'호표 19</t>
  </si>
  <si>
    <t>'호표 20</t>
  </si>
  <si>
    <t>'호표 21</t>
  </si>
  <si>
    <t>'호표 22</t>
  </si>
  <si>
    <t>'호표 23</t>
  </si>
  <si>
    <t>'호표 24</t>
  </si>
  <si>
    <t>'호표 25</t>
  </si>
  <si>
    <t>'호표 26</t>
  </si>
  <si>
    <t>'호표 27</t>
  </si>
  <si>
    <t>'호표 28</t>
  </si>
  <si>
    <t>'호표 29</t>
  </si>
  <si>
    <t>'호표 30</t>
  </si>
  <si>
    <t>통신케이블공</t>
    <phoneticPr fontId="1" type="noConversion"/>
  </si>
  <si>
    <t>01  제1공학관 창의공학지원실 노후시설 개선 전기공사</t>
    <phoneticPr fontId="1" type="noConversion"/>
  </si>
  <si>
    <t>스위치 철거</t>
    <phoneticPr fontId="1" type="noConversion"/>
  </si>
  <si>
    <t>텀블러 스위치 단로용</t>
    <phoneticPr fontId="1" type="noConversion"/>
  </si>
  <si>
    <t>콘센트 철거</t>
    <phoneticPr fontId="1" type="noConversion"/>
  </si>
  <si>
    <t>스위치 설치</t>
    <phoneticPr fontId="1" type="noConversion"/>
  </si>
  <si>
    <t>배관공</t>
  </si>
  <si>
    <t>보통인부</t>
  </si>
  <si>
    <t>배관 해체</t>
    <phoneticPr fontId="1" type="noConversion"/>
  </si>
  <si>
    <t>D25</t>
    <phoneticPr fontId="1" type="noConversion"/>
  </si>
  <si>
    <t>인력품의 2%</t>
    <phoneticPr fontId="1" type="noConversion"/>
  </si>
  <si>
    <t>'ZEA000000032</t>
  </si>
  <si>
    <t>'호표 31</t>
  </si>
  <si>
    <t>접지극부 15A</t>
    <phoneticPr fontId="1" type="noConversion"/>
  </si>
  <si>
    <t>콘센트 설치</t>
    <phoneticPr fontId="1" type="noConversion"/>
  </si>
  <si>
    <t>호표 30</t>
  </si>
  <si>
    <t>호표 31</t>
  </si>
  <si>
    <t>호표 32</t>
  </si>
  <si>
    <t>호표 33</t>
  </si>
  <si>
    <t>'ZEA000000033</t>
  </si>
  <si>
    <t>'ZEA000000034</t>
  </si>
  <si>
    <t>'ZEA000000035</t>
  </si>
  <si>
    <t>'ZEA000000036</t>
  </si>
  <si>
    <t>'ZEA000000037</t>
  </si>
  <si>
    <t>멀티덕트 설치</t>
    <phoneticPr fontId="1" type="noConversion"/>
  </si>
  <si>
    <t>LED실내조명등 설치</t>
    <phoneticPr fontId="1" type="noConversion"/>
  </si>
  <si>
    <t>호표 37</t>
    <phoneticPr fontId="1" type="noConversion"/>
  </si>
  <si>
    <t>호표 28</t>
  </si>
  <si>
    <t>호표 29</t>
  </si>
  <si>
    <t>호표 34</t>
  </si>
  <si>
    <t>호표 35</t>
  </si>
  <si>
    <t>호표 36</t>
  </si>
  <si>
    <t>'ZEA000000038</t>
  </si>
  <si>
    <t>'ZEA000000039</t>
  </si>
  <si>
    <t>'ZEA000000040</t>
  </si>
  <si>
    <t>'ZEA000000041</t>
  </si>
  <si>
    <t>'ZEA000000042</t>
  </si>
  <si>
    <t>'ZEA000000043</t>
  </si>
  <si>
    <t>0102  관급자재</t>
  </si>
  <si>
    <t>0102  관급자재</t>
    <phoneticPr fontId="1" type="noConversion"/>
  </si>
  <si>
    <t>'호표 32</t>
  </si>
  <si>
    <t>'호표 33</t>
  </si>
  <si>
    <t>'호표 34</t>
  </si>
  <si>
    <t>'호표 35</t>
  </si>
  <si>
    <t>'호표 36</t>
  </si>
  <si>
    <t>'호표 37</t>
  </si>
  <si>
    <t>'호표 43</t>
    <phoneticPr fontId="1" type="noConversion"/>
  </si>
  <si>
    <t>'호표 38</t>
  </si>
  <si>
    <t>'호표 39</t>
  </si>
  <si>
    <t>'호표 40</t>
  </si>
  <si>
    <t>'호표 41</t>
  </si>
  <si>
    <t>'호표 42</t>
  </si>
  <si>
    <t>도급자설치 관급자재</t>
    <phoneticPr fontId="1" type="noConversion"/>
  </si>
  <si>
    <t>(소계4 + 관급자재금액) * 0.26477%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</si>
</sst>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176" formatCode="#,###"/>
    <numFmt numFmtId="177" formatCode="#,###;\-#,###;#;"/>
    <numFmt numFmtId="178" formatCode="#,##0.00#"/>
    <numFmt numFmtId="179" formatCode="#,##0.0"/>
    <numFmt numFmtId="181" formatCode="&quot;공사명 : &quot;@"/>
    <numFmt numFmtId="182" formatCode="&quot;[&quot;&quot;]&quot;"/>
    <numFmt numFmtId="183" formatCode="0.0000_ "/>
    <numFmt numFmtId="184" formatCode="0.000_ "/>
    <numFmt numFmtId="185" formatCode="0.0_ "/>
    <numFmt numFmtId="186" formatCode="0.000000_ "/>
    <numFmt numFmtId="187" formatCode="0.0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9"/>
      <name val="굴림"/>
      <family val="3"/>
      <charset val="129"/>
    </font>
    <font>
      <b/>
      <sz val="20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>
      <protection locked="0"/>
    </xf>
    <xf numFmtId="41" fontId="10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0" xfId="0" quotePrefix="1">
      <alignment vertical="center"/>
    </xf>
    <xf numFmtId="0" fontId="0" fillId="0" borderId="0" xfId="0" quotePrefix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0" fontId="8" fillId="0" borderId="2" xfId="1" applyNumberFormat="1" applyBorder="1" applyAlignment="1">
      <alignment horizontal="center" vertical="center" wrapText="1"/>
      <protection locked="0"/>
    </xf>
    <xf numFmtId="0" fontId="8" fillId="0" borderId="2" xfId="1" applyNumberFormat="1" applyBorder="1" applyAlignment="1">
      <alignment horizontal="left" vertical="center" wrapText="1"/>
      <protection locked="0"/>
    </xf>
    <xf numFmtId="0" fontId="8" fillId="0" borderId="0" xfId="1" applyNumberFormat="1" applyAlignment="1">
      <alignment vertical="center" wrapText="1"/>
      <protection locked="0"/>
    </xf>
    <xf numFmtId="0" fontId="8" fillId="0" borderId="0" xfId="1" applyNumberFormat="1" applyAlignment="1">
      <alignment horizontal="left" vertical="center" wrapText="1"/>
      <protection locked="0"/>
    </xf>
    <xf numFmtId="0" fontId="8" fillId="0" borderId="0" xfId="1" applyNumberFormat="1" applyAlignment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179" fontId="5" fillId="0" borderId="1" xfId="0" applyNumberFormat="1" applyFont="1" applyBorder="1" applyAlignment="1">
      <alignment vertical="center" wrapText="1"/>
    </xf>
    <xf numFmtId="41" fontId="5" fillId="0" borderId="1" xfId="2" applyFont="1" applyBorder="1" applyAlignment="1">
      <alignment horizontal="right" vertical="center" wrapText="1"/>
    </xf>
    <xf numFmtId="176" fontId="5" fillId="0" borderId="1" xfId="2" applyNumberFormat="1" applyFont="1" applyBorder="1" applyAlignment="1">
      <alignment horizontal="right" vertical="center" wrapText="1"/>
    </xf>
    <xf numFmtId="0" fontId="5" fillId="2" borderId="1" xfId="0" quotePrefix="1" applyFont="1" applyFill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179" fontId="5" fillId="0" borderId="1" xfId="0" applyNumberFormat="1" applyFont="1" applyBorder="1" applyAlignment="1">
      <alignment vertical="center" wrapText="1"/>
    </xf>
    <xf numFmtId="9" fontId="5" fillId="2" borderId="1" xfId="0" quotePrefix="1" applyNumberFormat="1" applyFont="1" applyFill="1" applyBorder="1" applyAlignment="1">
      <alignment horizontal="center" vertical="center" wrapText="1"/>
    </xf>
    <xf numFmtId="179" fontId="5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179" fontId="5" fillId="0" borderId="1" xfId="0" applyNumberFormat="1" applyFont="1" applyBorder="1" applyAlignment="1">
      <alignment vertical="center" wrapText="1"/>
    </xf>
    <xf numFmtId="0" fontId="5" fillId="2" borderId="2" xfId="0" quotePrefix="1" applyFont="1" applyFill="1" applyBorder="1" applyAlignment="1">
      <alignment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179" fontId="5" fillId="0" borderId="1" xfId="0" applyNumberFormat="1" applyFont="1" applyBorder="1" applyAlignment="1">
      <alignment vertical="center" wrapText="1"/>
    </xf>
    <xf numFmtId="0" fontId="0" fillId="2" borderId="0" xfId="0" quotePrefix="1" applyFill="1" applyAlignment="1">
      <alignment vertical="center"/>
    </xf>
    <xf numFmtId="0" fontId="0" fillId="2" borderId="0" xfId="0" applyFill="1">
      <alignment vertical="center"/>
    </xf>
    <xf numFmtId="179" fontId="5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0" xfId="0" quotePrefix="1">
      <alignment vertical="center"/>
    </xf>
    <xf numFmtId="0" fontId="5" fillId="2" borderId="1" xfId="0" applyFont="1" applyFill="1" applyBorder="1" applyAlignment="1">
      <alignment vertical="center" wrapText="1"/>
    </xf>
    <xf numFmtId="178" fontId="5" fillId="2" borderId="1" xfId="0" applyNumberFormat="1" applyFont="1" applyFill="1" applyBorder="1" applyAlignment="1">
      <alignment vertical="center" wrapText="1"/>
    </xf>
    <xf numFmtId="179" fontId="5" fillId="2" borderId="1" xfId="0" applyNumberFormat="1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178" fontId="5" fillId="2" borderId="2" xfId="0" applyNumberFormat="1" applyFont="1" applyFill="1" applyBorder="1" applyAlignment="1">
      <alignment vertical="center" wrapText="1"/>
    </xf>
    <xf numFmtId="179" fontId="5" fillId="2" borderId="2" xfId="0" applyNumberFormat="1" applyFont="1" applyFill="1" applyBorder="1" applyAlignment="1">
      <alignment vertical="center" wrapText="1"/>
    </xf>
    <xf numFmtId="187" fontId="5" fillId="2" borderId="2" xfId="0" applyNumberFormat="1" applyFont="1" applyFill="1" applyBorder="1" applyAlignment="1">
      <alignment vertical="center" wrapText="1"/>
    </xf>
    <xf numFmtId="9" fontId="5" fillId="2" borderId="2" xfId="0" quotePrefix="1" applyNumberFormat="1" applyFont="1" applyFill="1" applyBorder="1" applyAlignment="1">
      <alignment horizontal="center" vertical="center" wrapText="1"/>
    </xf>
    <xf numFmtId="0" fontId="5" fillId="2" borderId="2" xfId="0" quotePrefix="1" applyFont="1" applyFill="1" applyBorder="1" applyAlignment="1">
      <alignment horizontal="center" vertical="center" wrapText="1"/>
    </xf>
    <xf numFmtId="184" fontId="5" fillId="2" borderId="2" xfId="0" applyNumberFormat="1" applyFont="1" applyFill="1" applyBorder="1" applyAlignment="1">
      <alignment vertical="center" wrapText="1"/>
    </xf>
    <xf numFmtId="0" fontId="0" fillId="0" borderId="2" xfId="0" quotePrefix="1" applyBorder="1" applyAlignment="1">
      <alignment vertical="center" wrapText="1"/>
    </xf>
    <xf numFmtId="176" fontId="0" fillId="0" borderId="2" xfId="0" applyNumberFormat="1" applyBorder="1" applyAlignment="1">
      <alignment vertical="center" wrapText="1"/>
    </xf>
    <xf numFmtId="0" fontId="8" fillId="2" borderId="2" xfId="1" applyNumberFormat="1" applyFill="1" applyBorder="1" applyAlignment="1">
      <alignment horizontal="center" vertical="center" wrapText="1"/>
      <protection locked="0"/>
    </xf>
    <xf numFmtId="0" fontId="0" fillId="2" borderId="0" xfId="0" quotePrefix="1" applyFill="1">
      <alignment vertical="center"/>
    </xf>
    <xf numFmtId="0" fontId="3" fillId="2" borderId="1" xfId="0" quotePrefix="1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185" fontId="5" fillId="2" borderId="1" xfId="0" applyNumberFormat="1" applyFont="1" applyFill="1" applyBorder="1" applyAlignment="1">
      <alignment vertical="center" wrapText="1"/>
    </xf>
    <xf numFmtId="184" fontId="5" fillId="2" borderId="1" xfId="0" applyNumberFormat="1" applyFont="1" applyFill="1" applyBorder="1" applyAlignment="1">
      <alignment vertical="center" wrapText="1"/>
    </xf>
    <xf numFmtId="183" fontId="5" fillId="2" borderId="1" xfId="0" applyNumberFormat="1" applyFont="1" applyFill="1" applyBorder="1" applyAlignment="1">
      <alignment vertical="center" wrapText="1"/>
    </xf>
    <xf numFmtId="186" fontId="5" fillId="2" borderId="1" xfId="0" applyNumberFormat="1" applyFont="1" applyFill="1" applyBorder="1" applyAlignment="1">
      <alignment vertical="center" wrapText="1"/>
    </xf>
    <xf numFmtId="187" fontId="5" fillId="2" borderId="1" xfId="0" applyNumberFormat="1" applyFont="1" applyFill="1" applyBorder="1" applyAlignment="1">
      <alignment vertical="center" wrapText="1"/>
    </xf>
    <xf numFmtId="0" fontId="0" fillId="2" borderId="0" xfId="0" applyFill="1" applyAlignment="1">
      <alignment horizontal="center" vertical="center"/>
    </xf>
    <xf numFmtId="0" fontId="0" fillId="0" borderId="5" xfId="0" quotePrefix="1" applyFont="1" applyBorder="1" applyAlignment="1">
      <alignment vertical="center" wrapText="1"/>
    </xf>
    <xf numFmtId="0" fontId="0" fillId="0" borderId="6" xfId="0" quotePrefix="1" applyFont="1" applyBorder="1" applyAlignment="1">
      <alignment vertical="center" wrapText="1"/>
    </xf>
    <xf numFmtId="0" fontId="0" fillId="0" borderId="7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0" fillId="0" borderId="2" xfId="0" quotePrefix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81" fontId="6" fillId="0" borderId="0" xfId="0" quotePrefix="1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2" xfId="0" quotePrefix="1" applyFont="1" applyBorder="1" applyAlignment="1">
      <alignment horizontal="distributed" vertical="center" wrapText="1"/>
    </xf>
    <xf numFmtId="0" fontId="2" fillId="0" borderId="0" xfId="0" quotePrefix="1" applyFont="1" applyAlignment="1">
      <alignment horizontal="center" vertical="center"/>
    </xf>
    <xf numFmtId="182" fontId="0" fillId="0" borderId="0" xfId="0" quotePrefix="1" applyNumberFormat="1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0" fillId="0" borderId="0" xfId="0" quotePrefix="1" applyFont="1" applyAlignment="1">
      <alignment vertical="center"/>
    </xf>
    <xf numFmtId="0" fontId="8" fillId="0" borderId="0" xfId="1" applyNumberFormat="1" applyAlignment="1">
      <alignment horizontal="right" vertical="center" wrapText="1"/>
      <protection locked="0"/>
    </xf>
    <xf numFmtId="0" fontId="8" fillId="0" borderId="0" xfId="1" applyNumberFormat="1" applyAlignment="1">
      <alignment horizontal="left" vertical="center" wrapText="1"/>
      <protection locked="0"/>
    </xf>
    <xf numFmtId="0" fontId="8" fillId="0" borderId="3" xfId="1" applyNumberFormat="1" applyBorder="1" applyAlignment="1">
      <alignment horizontal="left" vertical="center" wrapText="1"/>
      <protection locked="0"/>
    </xf>
    <xf numFmtId="0" fontId="9" fillId="0" borderId="0" xfId="1" applyNumberFormat="1" applyFont="1" applyAlignment="1">
      <alignment horizontal="center" vertical="center" wrapText="1"/>
      <protection locked="0"/>
    </xf>
    <xf numFmtId="0" fontId="5" fillId="2" borderId="1" xfId="0" applyFont="1" applyFill="1" applyBorder="1" applyAlignment="1">
      <alignment vertical="center" wrapText="1"/>
    </xf>
    <xf numFmtId="178" fontId="5" fillId="2" borderId="1" xfId="0" applyNumberFormat="1" applyFont="1" applyFill="1" applyBorder="1" applyAlignment="1">
      <alignment vertical="center" wrapText="1"/>
    </xf>
    <xf numFmtId="179" fontId="5" fillId="2" borderId="1" xfId="0" applyNumberFormat="1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178" fontId="5" fillId="2" borderId="2" xfId="0" applyNumberFormat="1" applyFont="1" applyFill="1" applyBorder="1" applyAlignment="1">
      <alignment vertical="center" wrapText="1"/>
    </xf>
    <xf numFmtId="179" fontId="5" fillId="2" borderId="2" xfId="0" applyNumberFormat="1" applyFont="1" applyFill="1" applyBorder="1" applyAlignment="1">
      <alignment vertical="center" wrapText="1"/>
    </xf>
    <xf numFmtId="0" fontId="0" fillId="2" borderId="0" xfId="0" quotePrefix="1" applyFill="1">
      <alignment vertical="center"/>
    </xf>
    <xf numFmtId="0" fontId="0" fillId="2" borderId="0" xfId="0" quotePrefix="1" applyFont="1" applyFill="1" applyAlignment="1">
      <alignment vertical="center"/>
    </xf>
    <xf numFmtId="0" fontId="3" fillId="2" borderId="1" xfId="0" quotePrefix="1" applyFont="1" applyFill="1" applyBorder="1" applyAlignment="1">
      <alignment horizontal="center" vertical="center"/>
    </xf>
    <xf numFmtId="0" fontId="0" fillId="2" borderId="4" xfId="0" quotePrefix="1" applyFill="1" applyBorder="1">
      <alignment vertical="center"/>
    </xf>
  </cellXfs>
  <cellStyles count="3">
    <cellStyle name="쉼표 [0]" xfId="2" builtinId="6"/>
    <cellStyle name="표준" xfId="0" builtinId="0"/>
    <cellStyle name="표준 2" xfId="1" xr:uid="{46170D78-D2D6-4163-98F1-A712A2D3AB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B5FDB-D8E2-4FC5-9FC6-05C6AD49DACD}">
  <sheetPr>
    <pageSetUpPr fitToPage="1"/>
  </sheetPr>
  <dimension ref="A1:G27"/>
  <sheetViews>
    <sheetView view="pageBreakPreview" topLeftCell="B1" zoomScale="85" zoomScaleNormal="100" zoomScaleSheetLayoutView="85" workbookViewId="0">
      <selection activeCell="F34" sqref="F34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88" t="s">
        <v>123</v>
      </c>
      <c r="C1" s="88"/>
      <c r="D1" s="88"/>
      <c r="E1" s="88"/>
      <c r="F1" s="88"/>
      <c r="G1" s="88"/>
    </row>
    <row r="2" spans="1:7" ht="21.95" customHeight="1" x14ac:dyDescent="0.3">
      <c r="B2" s="89" t="s">
        <v>235</v>
      </c>
      <c r="C2" s="89"/>
      <c r="D2" s="89"/>
      <c r="E2" s="89"/>
      <c r="F2" s="90" t="str">
        <f>"금액 : "&amp;NUMBERSTRING(E27,1)&amp;"원"&amp;"(￦"&amp;TEXT(E27,"#,##0"&amp;")")</f>
        <v>금액 : 영원(￦0)</v>
      </c>
      <c r="G2" s="90"/>
    </row>
    <row r="3" spans="1:7" ht="21.95" customHeight="1" x14ac:dyDescent="0.3">
      <c r="B3" s="91" t="s">
        <v>124</v>
      </c>
      <c r="C3" s="91"/>
      <c r="D3" s="91"/>
      <c r="E3" s="20" t="s">
        <v>204</v>
      </c>
      <c r="F3" s="12" t="s">
        <v>125</v>
      </c>
      <c r="G3" s="12" t="s">
        <v>89</v>
      </c>
    </row>
    <row r="4" spans="1:7" ht="21.95" customHeight="1" x14ac:dyDescent="0.3">
      <c r="A4" s="1" t="s">
        <v>130</v>
      </c>
      <c r="B4" s="92" t="s">
        <v>126</v>
      </c>
      <c r="C4" s="92" t="s">
        <v>127</v>
      </c>
      <c r="D4" s="14" t="s">
        <v>131</v>
      </c>
      <c r="E4" s="16"/>
      <c r="F4" s="11" t="s">
        <v>47</v>
      </c>
      <c r="G4" s="17" t="s">
        <v>47</v>
      </c>
    </row>
    <row r="5" spans="1:7" ht="21.95" customHeight="1" x14ac:dyDescent="0.3">
      <c r="A5" s="1" t="s">
        <v>132</v>
      </c>
      <c r="B5" s="92"/>
      <c r="C5" s="92"/>
      <c r="D5" s="14" t="s">
        <v>133</v>
      </c>
      <c r="E5" s="16"/>
      <c r="F5" s="11" t="s">
        <v>47</v>
      </c>
      <c r="G5" s="11" t="s">
        <v>47</v>
      </c>
    </row>
    <row r="6" spans="1:7" ht="21.95" customHeight="1" x14ac:dyDescent="0.3">
      <c r="A6" s="1" t="s">
        <v>134</v>
      </c>
      <c r="B6" s="92"/>
      <c r="C6" s="92"/>
      <c r="D6" s="14" t="s">
        <v>135</v>
      </c>
      <c r="E6" s="16"/>
      <c r="F6" s="11" t="s">
        <v>47</v>
      </c>
      <c r="G6" s="11" t="s">
        <v>47</v>
      </c>
    </row>
    <row r="7" spans="1:7" ht="21.95" customHeight="1" x14ac:dyDescent="0.3">
      <c r="A7" s="1" t="s">
        <v>136</v>
      </c>
      <c r="B7" s="92"/>
      <c r="C7" s="92"/>
      <c r="D7" s="38" t="s">
        <v>219</v>
      </c>
      <c r="E7" s="16"/>
      <c r="F7" s="11" t="s">
        <v>47</v>
      </c>
      <c r="G7" s="11" t="s">
        <v>47</v>
      </c>
    </row>
    <row r="8" spans="1:7" ht="21.95" customHeight="1" x14ac:dyDescent="0.3">
      <c r="A8" s="1" t="s">
        <v>137</v>
      </c>
      <c r="B8" s="92"/>
      <c r="C8" s="92" t="s">
        <v>128</v>
      </c>
      <c r="D8" s="14" t="s">
        <v>138</v>
      </c>
      <c r="E8" s="16"/>
      <c r="F8" s="11" t="s">
        <v>47</v>
      </c>
      <c r="G8" s="11" t="s">
        <v>47</v>
      </c>
    </row>
    <row r="9" spans="1:7" ht="21.95" customHeight="1" x14ac:dyDescent="0.3">
      <c r="A9" s="1" t="s">
        <v>139</v>
      </c>
      <c r="B9" s="92"/>
      <c r="C9" s="92"/>
      <c r="D9" s="14" t="s">
        <v>140</v>
      </c>
      <c r="E9" s="16"/>
      <c r="F9" s="11" t="s">
        <v>141</v>
      </c>
      <c r="G9" s="11" t="s">
        <v>47</v>
      </c>
    </row>
    <row r="10" spans="1:7" ht="21.95" customHeight="1" x14ac:dyDescent="0.3">
      <c r="A10" s="1" t="s">
        <v>142</v>
      </c>
      <c r="B10" s="92"/>
      <c r="C10" s="92"/>
      <c r="D10" s="38" t="s">
        <v>220</v>
      </c>
      <c r="E10" s="16"/>
      <c r="F10" s="11" t="s">
        <v>47</v>
      </c>
      <c r="G10" s="11" t="s">
        <v>47</v>
      </c>
    </row>
    <row r="11" spans="1:7" ht="21.95" customHeight="1" x14ac:dyDescent="0.3">
      <c r="A11" s="1" t="s">
        <v>143</v>
      </c>
      <c r="B11" s="92"/>
      <c r="C11" s="92" t="s">
        <v>129</v>
      </c>
      <c r="D11" s="14" t="s">
        <v>144</v>
      </c>
      <c r="E11" s="16"/>
      <c r="F11" s="11" t="s">
        <v>145</v>
      </c>
      <c r="G11" s="11" t="s">
        <v>47</v>
      </c>
    </row>
    <row r="12" spans="1:7" ht="21.95" customHeight="1" x14ac:dyDescent="0.3">
      <c r="A12" s="36" t="s">
        <v>146</v>
      </c>
      <c r="B12" s="93"/>
      <c r="C12" s="93"/>
      <c r="D12" s="35" t="s">
        <v>168</v>
      </c>
      <c r="E12" s="16"/>
      <c r="F12" s="34" t="s">
        <v>147</v>
      </c>
      <c r="G12" s="34" t="s">
        <v>47</v>
      </c>
    </row>
    <row r="13" spans="1:7" ht="21.95" customHeight="1" x14ac:dyDescent="0.3">
      <c r="A13" s="45" t="s">
        <v>146</v>
      </c>
      <c r="B13" s="93"/>
      <c r="C13" s="93"/>
      <c r="D13" s="44" t="s">
        <v>232</v>
      </c>
      <c r="E13" s="16"/>
      <c r="F13" s="43" t="s">
        <v>233</v>
      </c>
      <c r="G13" s="43"/>
    </row>
    <row r="14" spans="1:7" ht="21.95" customHeight="1" x14ac:dyDescent="0.3">
      <c r="A14" s="1" t="s">
        <v>148</v>
      </c>
      <c r="B14" s="92"/>
      <c r="C14" s="92"/>
      <c r="D14" s="15" t="s">
        <v>169</v>
      </c>
      <c r="E14" s="16"/>
      <c r="F14" s="13" t="s">
        <v>171</v>
      </c>
      <c r="G14" s="11" t="s">
        <v>47</v>
      </c>
    </row>
    <row r="15" spans="1:7" ht="21.95" customHeight="1" x14ac:dyDescent="0.3">
      <c r="A15" s="4" t="s">
        <v>146</v>
      </c>
      <c r="B15" s="92"/>
      <c r="C15" s="92"/>
      <c r="D15" s="15" t="s">
        <v>170</v>
      </c>
      <c r="E15" s="16"/>
      <c r="F15" s="13" t="s">
        <v>172</v>
      </c>
      <c r="G15" s="13" t="s">
        <v>47</v>
      </c>
    </row>
    <row r="16" spans="1:7" ht="21.95" customHeight="1" x14ac:dyDescent="0.3">
      <c r="A16" s="4" t="s">
        <v>148</v>
      </c>
      <c r="B16" s="92"/>
      <c r="C16" s="92"/>
      <c r="D16" s="15" t="s">
        <v>149</v>
      </c>
      <c r="E16" s="16"/>
      <c r="F16" s="13" t="s">
        <v>150</v>
      </c>
      <c r="G16" s="13" t="s">
        <v>47</v>
      </c>
    </row>
    <row r="17" spans="1:7" ht="21.95" customHeight="1" x14ac:dyDescent="0.3">
      <c r="A17" s="1" t="s">
        <v>151</v>
      </c>
      <c r="B17" s="92"/>
      <c r="C17" s="92"/>
      <c r="D17" s="38" t="s">
        <v>221</v>
      </c>
      <c r="E17" s="16"/>
      <c r="F17" s="11" t="s">
        <v>47</v>
      </c>
      <c r="G17" s="11" t="s">
        <v>47</v>
      </c>
    </row>
    <row r="18" spans="1:7" ht="21.95" customHeight="1" x14ac:dyDescent="0.3">
      <c r="A18" s="1" t="s">
        <v>152</v>
      </c>
      <c r="B18" s="84" t="s">
        <v>153</v>
      </c>
      <c r="C18" s="84"/>
      <c r="D18" s="85"/>
      <c r="E18" s="16"/>
      <c r="F18" s="11" t="s">
        <v>47</v>
      </c>
      <c r="G18" s="11" t="s">
        <v>47</v>
      </c>
    </row>
    <row r="19" spans="1:7" ht="21.95" customHeight="1" x14ac:dyDescent="0.3">
      <c r="A19" s="1" t="s">
        <v>154</v>
      </c>
      <c r="B19" s="84" t="s">
        <v>155</v>
      </c>
      <c r="C19" s="84"/>
      <c r="D19" s="85"/>
      <c r="E19" s="16"/>
      <c r="F19" s="11" t="s">
        <v>156</v>
      </c>
      <c r="G19" s="11" t="s">
        <v>47</v>
      </c>
    </row>
    <row r="20" spans="1:7" ht="21.95" customHeight="1" x14ac:dyDescent="0.3">
      <c r="A20" s="1" t="s">
        <v>157</v>
      </c>
      <c r="B20" s="84" t="s">
        <v>158</v>
      </c>
      <c r="C20" s="84"/>
      <c r="D20" s="85"/>
      <c r="E20" s="16"/>
      <c r="F20" s="11" t="s">
        <v>159</v>
      </c>
      <c r="G20" s="11" t="s">
        <v>47</v>
      </c>
    </row>
    <row r="21" spans="1:7" ht="21.95" customHeight="1" x14ac:dyDescent="0.3">
      <c r="A21" s="1" t="s">
        <v>160</v>
      </c>
      <c r="B21" s="84" t="s">
        <v>222</v>
      </c>
      <c r="C21" s="84"/>
      <c r="D21" s="85"/>
      <c r="E21" s="16"/>
      <c r="F21" s="37" t="s">
        <v>223</v>
      </c>
      <c r="G21" s="11" t="s">
        <v>47</v>
      </c>
    </row>
    <row r="22" spans="1:7" ht="21.95" customHeight="1" x14ac:dyDescent="0.3">
      <c r="A22" s="39" t="s">
        <v>161</v>
      </c>
      <c r="B22" s="84" t="s">
        <v>217</v>
      </c>
      <c r="C22" s="84"/>
      <c r="D22" s="85"/>
      <c r="E22" s="16"/>
      <c r="F22" s="55" t="s">
        <v>365</v>
      </c>
      <c r="G22" s="37" t="s">
        <v>47</v>
      </c>
    </row>
    <row r="23" spans="1:7" ht="21.95" customHeight="1" x14ac:dyDescent="0.3">
      <c r="A23" s="39" t="s">
        <v>161</v>
      </c>
      <c r="B23" s="84" t="s">
        <v>218</v>
      </c>
      <c r="C23" s="84"/>
      <c r="D23" s="85"/>
      <c r="E23" s="16"/>
      <c r="F23" s="37" t="s">
        <v>224</v>
      </c>
      <c r="G23" s="37" t="s">
        <v>47</v>
      </c>
    </row>
    <row r="24" spans="1:7" ht="21.95" customHeight="1" x14ac:dyDescent="0.3">
      <c r="A24" s="36" t="s">
        <v>161</v>
      </c>
      <c r="B24" s="84" t="s">
        <v>162</v>
      </c>
      <c r="C24" s="84"/>
      <c r="D24" s="85"/>
      <c r="E24" s="16"/>
      <c r="F24" s="34" t="s">
        <v>163</v>
      </c>
      <c r="G24" s="34" t="s">
        <v>47</v>
      </c>
    </row>
    <row r="25" spans="1:7" ht="21.95" customHeight="1" x14ac:dyDescent="0.3">
      <c r="A25" s="1" t="s">
        <v>164</v>
      </c>
      <c r="B25" s="84" t="s">
        <v>165</v>
      </c>
      <c r="C25" s="84"/>
      <c r="D25" s="85"/>
      <c r="E25" s="16"/>
      <c r="F25" s="11" t="s">
        <v>225</v>
      </c>
      <c r="G25" s="11" t="s">
        <v>47</v>
      </c>
    </row>
    <row r="26" spans="1:7" ht="21.95" customHeight="1" x14ac:dyDescent="0.3">
      <c r="A26" s="56" t="s">
        <v>164</v>
      </c>
      <c r="B26" s="86" t="s">
        <v>364</v>
      </c>
      <c r="C26" s="86"/>
      <c r="D26" s="87"/>
      <c r="E26" s="70"/>
      <c r="F26" s="69" t="s">
        <v>47</v>
      </c>
      <c r="G26" s="69" t="s">
        <v>47</v>
      </c>
    </row>
    <row r="27" spans="1:7" ht="21.95" customHeight="1" x14ac:dyDescent="0.3">
      <c r="A27" s="1" t="s">
        <v>166</v>
      </c>
      <c r="B27" s="81" t="s">
        <v>167</v>
      </c>
      <c r="C27" s="82"/>
      <c r="D27" s="83"/>
      <c r="E27" s="16">
        <f>TRUNC(E25+E26, 0)</f>
        <v>0</v>
      </c>
      <c r="F27" s="11" t="s">
        <v>47</v>
      </c>
      <c r="G27" s="11" t="s">
        <v>47</v>
      </c>
    </row>
  </sheetData>
  <mergeCells count="18">
    <mergeCell ref="B1:G1"/>
    <mergeCell ref="B2:E2"/>
    <mergeCell ref="F2:G2"/>
    <mergeCell ref="B3:D3"/>
    <mergeCell ref="B4:B17"/>
    <mergeCell ref="C4:C7"/>
    <mergeCell ref="C8:C10"/>
    <mergeCell ref="C11:C17"/>
    <mergeCell ref="B27:D27"/>
    <mergeCell ref="B18:D18"/>
    <mergeCell ref="B19:D19"/>
    <mergeCell ref="B20:D20"/>
    <mergeCell ref="B21:D21"/>
    <mergeCell ref="B25:D25"/>
    <mergeCell ref="B24:D24"/>
    <mergeCell ref="B22:D22"/>
    <mergeCell ref="B23:D23"/>
    <mergeCell ref="B26:D26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75396-31EE-40E9-AA71-31CA2214B521}">
  <sheetPr>
    <pageSetUpPr fitToPage="1"/>
  </sheetPr>
  <dimension ref="A1:M27"/>
  <sheetViews>
    <sheetView view="pageBreakPreview" zoomScale="85" zoomScaleNormal="100" zoomScaleSheetLayoutView="85" workbookViewId="0">
      <selection activeCell="F18" sqref="F18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</cols>
  <sheetData>
    <row r="1" spans="1:13" ht="30" customHeight="1" x14ac:dyDescent="0.3">
      <c r="A1" s="94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</row>
    <row r="2" spans="1:13" ht="30" customHeight="1" x14ac:dyDescent="0.3">
      <c r="A2" s="95" t="str">
        <f>"[" &amp; 원가계산서!B2 &amp; "]"</f>
        <v>[제1공학관 창의공학지원실 노후시설 개선 전기공사]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</row>
    <row r="3" spans="1:13" ht="30" customHeight="1" x14ac:dyDescent="0.3">
      <c r="A3" s="96" t="s">
        <v>1</v>
      </c>
      <c r="B3" s="96" t="s">
        <v>2</v>
      </c>
      <c r="C3" s="96" t="s">
        <v>3</v>
      </c>
      <c r="D3" s="96" t="s">
        <v>4</v>
      </c>
      <c r="E3" s="96" t="s">
        <v>5</v>
      </c>
      <c r="F3" s="96"/>
      <c r="G3" s="96" t="s">
        <v>8</v>
      </c>
      <c r="H3" s="96"/>
      <c r="I3" s="96" t="s">
        <v>9</v>
      </c>
      <c r="J3" s="96"/>
      <c r="K3" s="96" t="s">
        <v>10</v>
      </c>
      <c r="L3" s="96"/>
      <c r="M3" s="96" t="s">
        <v>11</v>
      </c>
    </row>
    <row r="4" spans="1:13" ht="30" customHeight="1" x14ac:dyDescent="0.3">
      <c r="A4" s="97"/>
      <c r="B4" s="97"/>
      <c r="C4" s="97"/>
      <c r="D4" s="97"/>
      <c r="E4" s="6" t="s">
        <v>6</v>
      </c>
      <c r="F4" s="6" t="s">
        <v>7</v>
      </c>
      <c r="G4" s="6" t="s">
        <v>6</v>
      </c>
      <c r="H4" s="6" t="s">
        <v>7</v>
      </c>
      <c r="I4" s="6" t="s">
        <v>6</v>
      </c>
      <c r="J4" s="6" t="s">
        <v>7</v>
      </c>
      <c r="K4" s="6" t="s">
        <v>6</v>
      </c>
      <c r="L4" s="6" t="s">
        <v>7</v>
      </c>
      <c r="M4" s="97"/>
    </row>
    <row r="5" spans="1:13" ht="30" customHeight="1" x14ac:dyDescent="0.3">
      <c r="A5" s="7" t="s">
        <v>313</v>
      </c>
      <c r="B5" s="7" t="s">
        <v>47</v>
      </c>
      <c r="C5" s="7" t="s">
        <v>47</v>
      </c>
      <c r="D5" s="8">
        <v>1</v>
      </c>
      <c r="E5" s="9"/>
      <c r="F5" s="9"/>
      <c r="G5" s="9"/>
      <c r="H5" s="9"/>
      <c r="I5" s="9"/>
      <c r="J5" s="9"/>
      <c r="K5" s="9"/>
      <c r="L5" s="9"/>
      <c r="M5" s="7" t="s">
        <v>47</v>
      </c>
    </row>
    <row r="6" spans="1:13" ht="30" customHeight="1" x14ac:dyDescent="0.3">
      <c r="A6" s="7" t="s">
        <v>205</v>
      </c>
      <c r="B6" s="7" t="s">
        <v>47</v>
      </c>
      <c r="C6" s="7" t="s">
        <v>47</v>
      </c>
      <c r="D6" s="8">
        <v>1</v>
      </c>
      <c r="E6" s="9"/>
      <c r="F6" s="9"/>
      <c r="G6" s="9"/>
      <c r="H6" s="9"/>
      <c r="I6" s="9"/>
      <c r="J6" s="9"/>
      <c r="K6" s="9"/>
      <c r="L6" s="9"/>
      <c r="M6" s="7" t="s">
        <v>47</v>
      </c>
    </row>
    <row r="7" spans="1:13" ht="30" customHeight="1" x14ac:dyDescent="0.3">
      <c r="A7" s="7" t="s">
        <v>80</v>
      </c>
      <c r="B7" s="8"/>
      <c r="C7" s="8"/>
      <c r="D7" s="8"/>
      <c r="E7" s="8"/>
      <c r="F7" s="9"/>
      <c r="G7" s="8"/>
      <c r="H7" s="9"/>
      <c r="I7" s="8"/>
      <c r="J7" s="9"/>
      <c r="K7" s="8"/>
      <c r="L7" s="9"/>
      <c r="M7" s="8"/>
    </row>
    <row r="8" spans="1:13" ht="30" customHeight="1" x14ac:dyDescent="0.3">
      <c r="A8" s="7" t="s">
        <v>351</v>
      </c>
      <c r="B8" s="8"/>
      <c r="C8" s="8"/>
      <c r="D8" s="8">
        <v>1</v>
      </c>
      <c r="E8" s="31"/>
      <c r="F8" s="31"/>
      <c r="G8" s="32"/>
      <c r="H8" s="32"/>
      <c r="I8" s="32"/>
      <c r="J8" s="32"/>
      <c r="K8" s="31"/>
      <c r="L8" s="31"/>
      <c r="M8" s="8"/>
    </row>
    <row r="9" spans="1:13" ht="30" customHeight="1" x14ac:dyDescent="0.3">
      <c r="A9" s="8" t="s">
        <v>80</v>
      </c>
      <c r="B9" s="8"/>
      <c r="C9" s="8"/>
      <c r="D9" s="8"/>
      <c r="E9" s="31"/>
      <c r="F9" s="31"/>
      <c r="G9" s="32"/>
      <c r="H9" s="32"/>
      <c r="I9" s="32"/>
      <c r="J9" s="32"/>
      <c r="K9" s="31"/>
      <c r="L9" s="31"/>
      <c r="M9" s="8"/>
    </row>
    <row r="10" spans="1:13" ht="30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</row>
    <row r="11" spans="1:13" ht="30" customHeight="1" x14ac:dyDescent="0.3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pans="1:13" ht="30" customHeight="1" x14ac:dyDescent="0.3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13" ht="30" customHeight="1" x14ac:dyDescent="0.3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</row>
    <row r="14" spans="1:13" ht="30" customHeight="1" x14ac:dyDescent="0.3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</row>
    <row r="15" spans="1:13" ht="30" customHeight="1" x14ac:dyDescent="0.3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13" ht="30" customHeight="1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1:13" ht="30" customHeight="1" x14ac:dyDescent="0.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</row>
    <row r="18" spans="1:13" ht="30" customHeight="1" x14ac:dyDescent="0.3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</row>
    <row r="19" spans="1:13" ht="30" customHeight="1" x14ac:dyDescent="0.3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</row>
    <row r="20" spans="1:13" ht="30" customHeight="1" x14ac:dyDescent="0.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</row>
    <row r="21" spans="1:13" ht="30" customHeight="1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</row>
    <row r="22" spans="1:13" ht="30" customHeight="1" x14ac:dyDescent="0.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</row>
    <row r="23" spans="1:13" ht="30" customHeight="1" x14ac:dyDescent="0.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</row>
    <row r="24" spans="1:13" ht="30" customHeight="1" x14ac:dyDescent="0.3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</row>
    <row r="25" spans="1:13" ht="30" customHeight="1" x14ac:dyDescent="0.3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</row>
    <row r="26" spans="1:13" ht="30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</row>
    <row r="27" spans="1:13" ht="30" customHeight="1" x14ac:dyDescent="0.3">
      <c r="A27" s="7"/>
      <c r="B27" s="8"/>
      <c r="C27" s="8"/>
      <c r="D27" s="8"/>
      <c r="E27" s="8"/>
      <c r="F27" s="9"/>
      <c r="G27" s="8"/>
      <c r="H27" s="9"/>
      <c r="I27" s="8"/>
      <c r="J27" s="9">
        <f>J5</f>
        <v>0</v>
      </c>
      <c r="K27" s="8"/>
      <c r="L27" s="9"/>
      <c r="M27" s="8"/>
    </row>
  </sheetData>
  <mergeCells count="11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25EA2-BA47-4854-AC31-D3E161F68B1A}">
  <sheetPr>
    <pageSetUpPr fitToPage="1"/>
  </sheetPr>
  <dimension ref="A1:AV50"/>
  <sheetViews>
    <sheetView view="pageBreakPreview" zoomScale="85" zoomScaleNormal="70" zoomScaleSheetLayoutView="85" workbookViewId="0">
      <selection activeCell="H18" sqref="H18"/>
    </sheetView>
  </sheetViews>
  <sheetFormatPr defaultRowHeight="16.5" x14ac:dyDescent="0.3"/>
  <cols>
    <col min="1" max="1" width="34" customWidth="1"/>
    <col min="2" max="2" width="30.625" customWidth="1"/>
    <col min="3" max="3" width="4.625" style="28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99" t="str">
        <f>"[" &amp; 원가계산서!B2 &amp; "]"</f>
        <v>[제1공학관 창의공학지원실 노후시설 개선 전기공사]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</row>
    <row r="2" spans="1:48" ht="26.1" customHeight="1" x14ac:dyDescent="0.3">
      <c r="A2" s="96" t="s">
        <v>1</v>
      </c>
      <c r="B2" s="96" t="s">
        <v>2</v>
      </c>
      <c r="C2" s="96" t="s">
        <v>3</v>
      </c>
      <c r="D2" s="96" t="s">
        <v>4</v>
      </c>
      <c r="E2" s="96" t="s">
        <v>5</v>
      </c>
      <c r="F2" s="96"/>
      <c r="G2" s="96" t="s">
        <v>8</v>
      </c>
      <c r="H2" s="96"/>
      <c r="I2" s="96" t="s">
        <v>9</v>
      </c>
      <c r="J2" s="96"/>
      <c r="K2" s="96" t="s">
        <v>10</v>
      </c>
      <c r="L2" s="96"/>
      <c r="M2" s="96" t="s">
        <v>11</v>
      </c>
      <c r="N2" s="98" t="s">
        <v>16</v>
      </c>
      <c r="O2" s="98" t="s">
        <v>13</v>
      </c>
      <c r="P2" s="98" t="s">
        <v>17</v>
      </c>
      <c r="Q2" s="98" t="s">
        <v>12</v>
      </c>
      <c r="R2" s="98" t="s">
        <v>18</v>
      </c>
      <c r="S2" s="98" t="s">
        <v>19</v>
      </c>
      <c r="T2" s="98" t="s">
        <v>20</v>
      </c>
      <c r="U2" s="98" t="s">
        <v>21</v>
      </c>
      <c r="V2" s="98" t="s">
        <v>22</v>
      </c>
      <c r="W2" s="98" t="s">
        <v>23</v>
      </c>
      <c r="X2" s="98" t="s">
        <v>24</v>
      </c>
      <c r="Y2" s="98" t="s">
        <v>25</v>
      </c>
      <c r="Z2" s="98" t="s">
        <v>26</v>
      </c>
      <c r="AA2" s="98" t="s">
        <v>27</v>
      </c>
      <c r="AB2" s="98" t="s">
        <v>28</v>
      </c>
      <c r="AC2" s="98" t="s">
        <v>29</v>
      </c>
      <c r="AD2" s="98" t="s">
        <v>30</v>
      </c>
      <c r="AE2" s="98" t="s">
        <v>31</v>
      </c>
      <c r="AF2" s="98" t="s">
        <v>32</v>
      </c>
      <c r="AG2" s="98" t="s">
        <v>33</v>
      </c>
      <c r="AH2" s="98" t="s">
        <v>34</v>
      </c>
      <c r="AI2" s="98" t="s">
        <v>35</v>
      </c>
      <c r="AJ2" s="98" t="s">
        <v>36</v>
      </c>
      <c r="AK2" s="98" t="s">
        <v>37</v>
      </c>
      <c r="AL2" s="98" t="s">
        <v>38</v>
      </c>
      <c r="AM2" s="98" t="s">
        <v>39</v>
      </c>
      <c r="AN2" s="98" t="s">
        <v>40</v>
      </c>
      <c r="AO2" s="98" t="s">
        <v>41</v>
      </c>
      <c r="AP2" s="98" t="s">
        <v>42</v>
      </c>
      <c r="AQ2" s="98" t="s">
        <v>43</v>
      </c>
      <c r="AR2" s="98" t="s">
        <v>44</v>
      </c>
      <c r="AS2" s="98" t="s">
        <v>14</v>
      </c>
      <c r="AT2" s="98" t="s">
        <v>15</v>
      </c>
      <c r="AU2" s="98" t="s">
        <v>45</v>
      </c>
      <c r="AV2" s="98" t="s">
        <v>46</v>
      </c>
    </row>
    <row r="3" spans="1:48" ht="26.1" customHeight="1" x14ac:dyDescent="0.3">
      <c r="A3" s="96"/>
      <c r="B3" s="96"/>
      <c r="C3" s="96"/>
      <c r="D3" s="96"/>
      <c r="E3" s="5" t="s">
        <v>6</v>
      </c>
      <c r="F3" s="5" t="s">
        <v>7</v>
      </c>
      <c r="G3" s="5" t="s">
        <v>6</v>
      </c>
      <c r="H3" s="5" t="s">
        <v>7</v>
      </c>
      <c r="I3" s="5" t="s">
        <v>6</v>
      </c>
      <c r="J3" s="5" t="s">
        <v>7</v>
      </c>
      <c r="K3" s="5" t="s">
        <v>6</v>
      </c>
      <c r="L3" s="5" t="s">
        <v>7</v>
      </c>
      <c r="M3" s="96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  <c r="AI3" s="98"/>
      <c r="AJ3" s="98"/>
      <c r="AK3" s="98"/>
      <c r="AL3" s="98"/>
      <c r="AM3" s="98"/>
      <c r="AN3" s="98"/>
      <c r="AO3" s="98"/>
      <c r="AP3" s="98"/>
      <c r="AQ3" s="98"/>
      <c r="AR3" s="98"/>
      <c r="AS3" s="98"/>
      <c r="AT3" s="98"/>
      <c r="AU3" s="98"/>
      <c r="AV3" s="98"/>
    </row>
    <row r="4" spans="1:48" ht="30" customHeight="1" x14ac:dyDescent="0.3">
      <c r="A4" s="7" t="s">
        <v>205</v>
      </c>
      <c r="B4" s="8"/>
      <c r="C4" s="26"/>
      <c r="D4" s="8"/>
      <c r="E4" s="8"/>
      <c r="F4" s="8"/>
      <c r="G4" s="8"/>
      <c r="H4" s="8"/>
      <c r="I4" s="8"/>
      <c r="J4" s="8"/>
      <c r="K4" s="8"/>
      <c r="L4" s="8"/>
      <c r="M4" s="8"/>
      <c r="N4" s="3"/>
      <c r="O4" s="3"/>
      <c r="P4" s="3"/>
      <c r="Q4" s="2" t="s">
        <v>48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7" t="str">
        <f>일위대가목록!B4</f>
        <v>금속덕트 철거</v>
      </c>
      <c r="B5" s="7" t="str">
        <f>일위대가목록!C4</f>
        <v>300mm*200mm</v>
      </c>
      <c r="C5" s="27" t="str">
        <f>일위대가목록!D4</f>
        <v>m</v>
      </c>
      <c r="D5" s="8">
        <f>수량산출서!F5</f>
        <v>12</v>
      </c>
      <c r="E5" s="10"/>
      <c r="F5" s="10"/>
      <c r="G5" s="10"/>
      <c r="H5" s="10"/>
      <c r="I5" s="10"/>
      <c r="J5" s="10"/>
      <c r="K5" s="10"/>
      <c r="L5" s="10"/>
      <c r="M5" s="7" t="s">
        <v>192</v>
      </c>
      <c r="N5" s="2" t="s">
        <v>49</v>
      </c>
      <c r="O5" s="2" t="s">
        <v>47</v>
      </c>
      <c r="P5" s="2" t="s">
        <v>47</v>
      </c>
      <c r="Q5" s="2" t="s">
        <v>48</v>
      </c>
      <c r="R5" s="2" t="s">
        <v>50</v>
      </c>
      <c r="S5" s="2" t="s">
        <v>50</v>
      </c>
      <c r="T5" s="2" t="s">
        <v>51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47</v>
      </c>
      <c r="AS5" s="2" t="s">
        <v>47</v>
      </c>
      <c r="AT5" s="3"/>
      <c r="AU5" s="2" t="s">
        <v>52</v>
      </c>
      <c r="AV5" s="3">
        <v>3</v>
      </c>
    </row>
    <row r="6" spans="1:48" ht="30" customHeight="1" x14ac:dyDescent="0.3">
      <c r="A6" s="7" t="str">
        <f>일위대가목록!B5</f>
        <v>금속덕트 철거</v>
      </c>
      <c r="B6" s="7" t="str">
        <f>일위대가목록!C5</f>
        <v>200mm*100mm</v>
      </c>
      <c r="C6" s="27" t="str">
        <f>일위대가목록!D5</f>
        <v>m</v>
      </c>
      <c r="D6" s="60">
        <f>수량산출서!F6</f>
        <v>63</v>
      </c>
      <c r="E6" s="10"/>
      <c r="F6" s="10"/>
      <c r="G6" s="10"/>
      <c r="H6" s="10"/>
      <c r="I6" s="10"/>
      <c r="J6" s="10"/>
      <c r="K6" s="10"/>
      <c r="L6" s="10"/>
      <c r="M6" s="7" t="s">
        <v>196</v>
      </c>
      <c r="N6" s="2" t="s">
        <v>53</v>
      </c>
      <c r="O6" s="2" t="s">
        <v>47</v>
      </c>
      <c r="P6" s="2" t="s">
        <v>47</v>
      </c>
      <c r="Q6" s="2" t="s">
        <v>48</v>
      </c>
      <c r="R6" s="2" t="s">
        <v>50</v>
      </c>
      <c r="S6" s="2" t="s">
        <v>50</v>
      </c>
      <c r="T6" s="2" t="s">
        <v>51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47</v>
      </c>
      <c r="AS6" s="2" t="s">
        <v>47</v>
      </c>
      <c r="AT6" s="3"/>
      <c r="AU6" s="2" t="s">
        <v>54</v>
      </c>
      <c r="AV6" s="3">
        <v>4</v>
      </c>
    </row>
    <row r="7" spans="1:48" ht="30" customHeight="1" x14ac:dyDescent="0.3">
      <c r="A7" s="7" t="str">
        <f>일위대가목록!B6</f>
        <v>강제전선관 철거</v>
      </c>
      <c r="B7" s="7" t="str">
        <f>일위대가목록!C6</f>
        <v>후강전선관, 아연도, 22mm</v>
      </c>
      <c r="C7" s="27" t="str">
        <f>일위대가목록!D6</f>
        <v>m</v>
      </c>
      <c r="D7" s="60">
        <f>수량산출서!F7</f>
        <v>24</v>
      </c>
      <c r="E7" s="10"/>
      <c r="F7" s="10"/>
      <c r="G7" s="10"/>
      <c r="H7" s="10"/>
      <c r="I7" s="10"/>
      <c r="J7" s="10"/>
      <c r="K7" s="10"/>
      <c r="L7" s="10"/>
      <c r="M7" s="7" t="s">
        <v>193</v>
      </c>
      <c r="N7" s="2" t="s">
        <v>55</v>
      </c>
      <c r="O7" s="2" t="s">
        <v>47</v>
      </c>
      <c r="P7" s="2" t="s">
        <v>47</v>
      </c>
      <c r="Q7" s="2" t="s">
        <v>48</v>
      </c>
      <c r="R7" s="2" t="s">
        <v>50</v>
      </c>
      <c r="S7" s="2" t="s">
        <v>50</v>
      </c>
      <c r="T7" s="2" t="s">
        <v>51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47</v>
      </c>
      <c r="AS7" s="2" t="s">
        <v>47</v>
      </c>
      <c r="AT7" s="3"/>
      <c r="AU7" s="2" t="s">
        <v>56</v>
      </c>
      <c r="AV7" s="3">
        <v>5</v>
      </c>
    </row>
    <row r="8" spans="1:48" ht="30" customHeight="1" x14ac:dyDescent="0.3">
      <c r="A8" s="7" t="str">
        <f>일위대가목록!B7</f>
        <v>합성수지전선관 철거</v>
      </c>
      <c r="B8" s="7" t="str">
        <f>일위대가목록!C7</f>
        <v>28mm</v>
      </c>
      <c r="C8" s="27" t="str">
        <f>일위대가목록!D7</f>
        <v>m</v>
      </c>
      <c r="D8" s="60">
        <f>수량산출서!F8</f>
        <v>21</v>
      </c>
      <c r="E8" s="10"/>
      <c r="F8" s="10"/>
      <c r="G8" s="10"/>
      <c r="H8" s="10"/>
      <c r="I8" s="10"/>
      <c r="J8" s="10"/>
      <c r="K8" s="10"/>
      <c r="L8" s="10"/>
      <c r="M8" s="7" t="s">
        <v>197</v>
      </c>
      <c r="N8" s="2" t="s">
        <v>57</v>
      </c>
      <c r="O8" s="2" t="s">
        <v>47</v>
      </c>
      <c r="P8" s="2" t="s">
        <v>47</v>
      </c>
      <c r="Q8" s="2" t="s">
        <v>48</v>
      </c>
      <c r="R8" s="2" t="s">
        <v>51</v>
      </c>
      <c r="S8" s="2" t="s">
        <v>50</v>
      </c>
      <c r="T8" s="2" t="s">
        <v>50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47</v>
      </c>
      <c r="AS8" s="2" t="s">
        <v>47</v>
      </c>
      <c r="AT8" s="3"/>
      <c r="AU8" s="2" t="s">
        <v>58</v>
      </c>
      <c r="AV8" s="3">
        <v>6</v>
      </c>
    </row>
    <row r="9" spans="1:48" ht="30" customHeight="1" x14ac:dyDescent="0.3">
      <c r="A9" s="7" t="str">
        <f>일위대가목록!B8</f>
        <v>합성수지전선관 철거</v>
      </c>
      <c r="B9" s="7" t="str">
        <f>일위대가목록!C8</f>
        <v>22mm</v>
      </c>
      <c r="C9" s="27" t="str">
        <f>일위대가목록!D8</f>
        <v>m</v>
      </c>
      <c r="D9" s="60">
        <f>수량산출서!F9</f>
        <v>8</v>
      </c>
      <c r="E9" s="10"/>
      <c r="F9" s="10"/>
      <c r="G9" s="10"/>
      <c r="H9" s="10"/>
      <c r="I9" s="10"/>
      <c r="J9" s="10"/>
      <c r="K9" s="10"/>
      <c r="L9" s="10"/>
      <c r="M9" s="7" t="s">
        <v>198</v>
      </c>
      <c r="N9" s="2" t="s">
        <v>59</v>
      </c>
      <c r="O9" s="2" t="s">
        <v>47</v>
      </c>
      <c r="P9" s="2" t="s">
        <v>47</v>
      </c>
      <c r="Q9" s="2" t="s">
        <v>48</v>
      </c>
      <c r="R9" s="2" t="s">
        <v>51</v>
      </c>
      <c r="S9" s="2" t="s">
        <v>50</v>
      </c>
      <c r="T9" s="2" t="s">
        <v>50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47</v>
      </c>
      <c r="AS9" s="2" t="s">
        <v>47</v>
      </c>
      <c r="AT9" s="3"/>
      <c r="AU9" s="2" t="s">
        <v>60</v>
      </c>
      <c r="AV9" s="3">
        <v>7</v>
      </c>
    </row>
    <row r="10" spans="1:48" ht="30" customHeight="1" x14ac:dyDescent="0.3">
      <c r="A10" s="7" t="str">
        <f>일위대가목록!B9</f>
        <v>전력케이블 철거</v>
      </c>
      <c r="B10" s="7" t="str">
        <f>일위대가목록!C9</f>
        <v xml:space="preserve">F-CV, 0.6/1kV, 4C 16mm²  </v>
      </c>
      <c r="C10" s="27" t="str">
        <f>일위대가목록!D9</f>
        <v>m</v>
      </c>
      <c r="D10" s="60">
        <f>수량산출서!F10</f>
        <v>27</v>
      </c>
      <c r="E10" s="10"/>
      <c r="F10" s="10"/>
      <c r="G10" s="10"/>
      <c r="H10" s="10"/>
      <c r="I10" s="10"/>
      <c r="J10" s="10"/>
      <c r="K10" s="10"/>
      <c r="L10" s="10"/>
      <c r="M10" s="7" t="s">
        <v>199</v>
      </c>
      <c r="N10" s="2" t="s">
        <v>61</v>
      </c>
      <c r="O10" s="2" t="s">
        <v>47</v>
      </c>
      <c r="P10" s="2" t="s">
        <v>47</v>
      </c>
      <c r="Q10" s="2" t="s">
        <v>48</v>
      </c>
      <c r="R10" s="2" t="s">
        <v>51</v>
      </c>
      <c r="S10" s="2" t="s">
        <v>50</v>
      </c>
      <c r="T10" s="2" t="s">
        <v>50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47</v>
      </c>
      <c r="AS10" s="2" t="s">
        <v>47</v>
      </c>
      <c r="AT10" s="3"/>
      <c r="AU10" s="2" t="s">
        <v>62</v>
      </c>
      <c r="AV10" s="3">
        <v>8</v>
      </c>
    </row>
    <row r="11" spans="1:48" ht="30" customHeight="1" x14ac:dyDescent="0.3">
      <c r="A11" s="7" t="str">
        <f>일위대가목록!B10</f>
        <v>전력케이블 철거</v>
      </c>
      <c r="B11" s="7" t="str">
        <f>일위대가목록!C10</f>
        <v xml:space="preserve">F-CV, 0.6/1kV, 4C 10mm²  </v>
      </c>
      <c r="C11" s="27" t="str">
        <f>일위대가목록!D10</f>
        <v>m</v>
      </c>
      <c r="D11" s="60">
        <f>수량산출서!F11</f>
        <v>31</v>
      </c>
      <c r="E11" s="10"/>
      <c r="F11" s="10"/>
      <c r="G11" s="10"/>
      <c r="H11" s="10"/>
      <c r="I11" s="10"/>
      <c r="J11" s="10"/>
      <c r="K11" s="10"/>
      <c r="L11" s="10"/>
      <c r="M11" s="7" t="s">
        <v>195</v>
      </c>
      <c r="N11" s="2" t="s">
        <v>63</v>
      </c>
      <c r="O11" s="2" t="s">
        <v>47</v>
      </c>
      <c r="P11" s="2" t="s">
        <v>47</v>
      </c>
      <c r="Q11" s="2" t="s">
        <v>48</v>
      </c>
      <c r="R11" s="2" t="s">
        <v>51</v>
      </c>
      <c r="S11" s="2" t="s">
        <v>50</v>
      </c>
      <c r="T11" s="2" t="s">
        <v>50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47</v>
      </c>
      <c r="AS11" s="2" t="s">
        <v>47</v>
      </c>
      <c r="AT11" s="3"/>
      <c r="AU11" s="2" t="s">
        <v>64</v>
      </c>
      <c r="AV11" s="3">
        <v>9</v>
      </c>
    </row>
    <row r="12" spans="1:48" ht="30" customHeight="1" x14ac:dyDescent="0.3">
      <c r="A12" s="7" t="str">
        <f>일위대가목록!B11</f>
        <v>전력케이블 철거</v>
      </c>
      <c r="B12" s="7" t="str">
        <f>일위대가목록!C11</f>
        <v xml:space="preserve">F-CV, 0.6/1kV, 4C 6mm²  </v>
      </c>
      <c r="C12" s="27" t="str">
        <f>일위대가목록!D11</f>
        <v>m</v>
      </c>
      <c r="D12" s="60">
        <f>수량산출서!F12</f>
        <v>87</v>
      </c>
      <c r="E12" s="10"/>
      <c r="F12" s="10"/>
      <c r="G12" s="10"/>
      <c r="H12" s="10"/>
      <c r="I12" s="10"/>
      <c r="J12" s="10"/>
      <c r="K12" s="10"/>
      <c r="L12" s="10"/>
      <c r="M12" s="7" t="s">
        <v>194</v>
      </c>
      <c r="N12" s="2" t="s">
        <v>65</v>
      </c>
      <c r="O12" s="2" t="s">
        <v>47</v>
      </c>
      <c r="P12" s="2" t="s">
        <v>47</v>
      </c>
      <c r="Q12" s="2" t="s">
        <v>48</v>
      </c>
      <c r="R12" s="2" t="s">
        <v>51</v>
      </c>
      <c r="S12" s="2" t="s">
        <v>50</v>
      </c>
      <c r="T12" s="2" t="s">
        <v>50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47</v>
      </c>
      <c r="AS12" s="2" t="s">
        <v>47</v>
      </c>
      <c r="AT12" s="3"/>
      <c r="AU12" s="2" t="s">
        <v>66</v>
      </c>
      <c r="AV12" s="3">
        <v>10</v>
      </c>
    </row>
    <row r="13" spans="1:48" ht="30" customHeight="1" x14ac:dyDescent="0.3">
      <c r="A13" s="7" t="str">
        <f>일위대가목록!B12</f>
        <v>전력케이블 철거</v>
      </c>
      <c r="B13" s="7" t="str">
        <f>일위대가목록!C12</f>
        <v xml:space="preserve">F-CV, 0.6/1kV, 1C 6mm²  </v>
      </c>
      <c r="C13" s="27" t="str">
        <f>일위대가목록!D12</f>
        <v>m</v>
      </c>
      <c r="D13" s="60">
        <f>수량산출서!F13</f>
        <v>537</v>
      </c>
      <c r="E13" s="10"/>
      <c r="F13" s="10"/>
      <c r="G13" s="10"/>
      <c r="H13" s="10"/>
      <c r="I13" s="10"/>
      <c r="J13" s="10"/>
      <c r="K13" s="10"/>
      <c r="L13" s="10"/>
      <c r="M13" s="7" t="s">
        <v>200</v>
      </c>
      <c r="N13" s="2" t="s">
        <v>67</v>
      </c>
      <c r="O13" s="2" t="s">
        <v>47</v>
      </c>
      <c r="P13" s="2" t="s">
        <v>47</v>
      </c>
      <c r="Q13" s="2" t="s">
        <v>48</v>
      </c>
      <c r="R13" s="2" t="s">
        <v>51</v>
      </c>
      <c r="S13" s="2" t="s">
        <v>50</v>
      </c>
      <c r="T13" s="2" t="s">
        <v>50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47</v>
      </c>
      <c r="AS13" s="2" t="s">
        <v>47</v>
      </c>
      <c r="AT13" s="3"/>
      <c r="AU13" s="2" t="s">
        <v>68</v>
      </c>
      <c r="AV13" s="3">
        <v>11</v>
      </c>
    </row>
    <row r="14" spans="1:48" ht="30" customHeight="1" x14ac:dyDescent="0.3">
      <c r="A14" s="7" t="str">
        <f>일위대가목록!B13</f>
        <v>전력케이블 철거</v>
      </c>
      <c r="B14" s="7" t="str">
        <f>일위대가목록!C13</f>
        <v xml:space="preserve">F-CV, 0.6/1kV, 3C 4mm²  </v>
      </c>
      <c r="C14" s="27" t="str">
        <f>일위대가목록!D13</f>
        <v>m</v>
      </c>
      <c r="D14" s="60">
        <f>수량산출서!F14</f>
        <v>34</v>
      </c>
      <c r="E14" s="10"/>
      <c r="F14" s="10"/>
      <c r="G14" s="10"/>
      <c r="H14" s="10"/>
      <c r="I14" s="10"/>
      <c r="J14" s="10"/>
      <c r="K14" s="10"/>
      <c r="L14" s="10"/>
      <c r="M14" s="7" t="s">
        <v>201</v>
      </c>
      <c r="N14" s="2" t="s">
        <v>69</v>
      </c>
      <c r="O14" s="2" t="s">
        <v>47</v>
      </c>
      <c r="P14" s="2" t="s">
        <v>47</v>
      </c>
      <c r="Q14" s="2" t="s">
        <v>48</v>
      </c>
      <c r="R14" s="2" t="s">
        <v>51</v>
      </c>
      <c r="S14" s="2" t="s">
        <v>50</v>
      </c>
      <c r="T14" s="2" t="s">
        <v>50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47</v>
      </c>
      <c r="AS14" s="2" t="s">
        <v>47</v>
      </c>
      <c r="AT14" s="3"/>
      <c r="AU14" s="2" t="s">
        <v>70</v>
      </c>
      <c r="AV14" s="3">
        <v>12</v>
      </c>
    </row>
    <row r="15" spans="1:48" ht="30" customHeight="1" x14ac:dyDescent="0.3">
      <c r="A15" s="7" t="str">
        <f>일위대가목록!B14</f>
        <v>절연전선 철거</v>
      </c>
      <c r="B15" s="7" t="str">
        <f>일위대가목록!C14</f>
        <v xml:space="preserve">HFIX, 450/750V, 6mm²  </v>
      </c>
      <c r="C15" s="27" t="str">
        <f>일위대가목록!D14</f>
        <v>m</v>
      </c>
      <c r="D15" s="60">
        <f>수량산출서!F15</f>
        <v>1200</v>
      </c>
      <c r="E15" s="10"/>
      <c r="F15" s="10"/>
      <c r="G15" s="10"/>
      <c r="H15" s="10"/>
      <c r="I15" s="10"/>
      <c r="J15" s="10"/>
      <c r="K15" s="10"/>
      <c r="L15" s="10"/>
      <c r="M15" s="7" t="s">
        <v>202</v>
      </c>
      <c r="N15" s="2" t="s">
        <v>71</v>
      </c>
      <c r="O15" s="2" t="s">
        <v>47</v>
      </c>
      <c r="P15" s="2" t="s">
        <v>47</v>
      </c>
      <c r="Q15" s="2" t="s">
        <v>48</v>
      </c>
      <c r="R15" s="2" t="s">
        <v>51</v>
      </c>
      <c r="S15" s="2" t="s">
        <v>50</v>
      </c>
      <c r="T15" s="2" t="s">
        <v>50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47</v>
      </c>
      <c r="AS15" s="2" t="s">
        <v>47</v>
      </c>
      <c r="AT15" s="3"/>
      <c r="AU15" s="2" t="s">
        <v>72</v>
      </c>
      <c r="AV15" s="3">
        <v>13</v>
      </c>
    </row>
    <row r="16" spans="1:48" ht="30" customHeight="1" x14ac:dyDescent="0.3">
      <c r="A16" s="7" t="str">
        <f>일위대가목록!B15</f>
        <v>접지용전선 철거</v>
      </c>
      <c r="B16" s="7" t="str">
        <f>일위대가목록!C15</f>
        <v xml:space="preserve">GV, 4mm²  </v>
      </c>
      <c r="C16" s="27" t="str">
        <f>일위대가목록!D15</f>
        <v>m</v>
      </c>
      <c r="D16" s="60">
        <f>수량산출서!F16</f>
        <v>87</v>
      </c>
      <c r="E16" s="10"/>
      <c r="F16" s="10"/>
      <c r="G16" s="10"/>
      <c r="H16" s="10"/>
      <c r="I16" s="10"/>
      <c r="J16" s="10"/>
      <c r="K16" s="10"/>
      <c r="L16" s="10"/>
      <c r="M16" s="7" t="s">
        <v>203</v>
      </c>
      <c r="N16" s="2" t="s">
        <v>71</v>
      </c>
      <c r="O16" s="2" t="s">
        <v>47</v>
      </c>
      <c r="P16" s="2" t="s">
        <v>47</v>
      </c>
      <c r="Q16" s="2" t="s">
        <v>48</v>
      </c>
      <c r="R16" s="2" t="s">
        <v>51</v>
      </c>
      <c r="S16" s="2" t="s">
        <v>50</v>
      </c>
      <c r="T16" s="2" t="s">
        <v>50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47</v>
      </c>
      <c r="AS16" s="2" t="s">
        <v>47</v>
      </c>
      <c r="AT16" s="3"/>
      <c r="AU16" s="2" t="s">
        <v>72</v>
      </c>
      <c r="AV16" s="3">
        <v>13</v>
      </c>
    </row>
    <row r="17" spans="1:48" ht="30" customHeight="1" x14ac:dyDescent="0.3">
      <c r="A17" s="7" t="str">
        <f>일위대가목록!B16</f>
        <v>케이블트레이 설치</v>
      </c>
      <c r="B17" s="7" t="e">
        <f>일위대가목록!C16</f>
        <v>#REF!</v>
      </c>
      <c r="C17" s="27" t="e">
        <f>일위대가목록!D16</f>
        <v>#REF!</v>
      </c>
      <c r="D17" s="60">
        <f>수량산출서!F17</f>
        <v>30</v>
      </c>
      <c r="E17" s="10"/>
      <c r="F17" s="10"/>
      <c r="G17" s="10"/>
      <c r="H17" s="10"/>
      <c r="I17" s="10"/>
      <c r="J17" s="10"/>
      <c r="K17" s="10"/>
      <c r="L17" s="10"/>
      <c r="M17" s="7" t="s">
        <v>297</v>
      </c>
      <c r="N17" s="2" t="s">
        <v>73</v>
      </c>
      <c r="O17" s="2" t="s">
        <v>47</v>
      </c>
      <c r="P17" s="2" t="s">
        <v>47</v>
      </c>
      <c r="Q17" s="2" t="s">
        <v>48</v>
      </c>
      <c r="R17" s="2" t="s">
        <v>51</v>
      </c>
      <c r="S17" s="2" t="s">
        <v>50</v>
      </c>
      <c r="T17" s="2" t="s">
        <v>50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47</v>
      </c>
      <c r="AS17" s="2" t="s">
        <v>47</v>
      </c>
      <c r="AT17" s="3"/>
      <c r="AU17" s="2" t="s">
        <v>74</v>
      </c>
      <c r="AV17" s="3">
        <v>14</v>
      </c>
    </row>
    <row r="18" spans="1:48" ht="30" customHeight="1" x14ac:dyDescent="0.3">
      <c r="A18" s="7" t="str">
        <f>일위대가목록!B17</f>
        <v>케이블트레이부속품 설치</v>
      </c>
      <c r="B18" s="7" t="e">
        <f>일위대가목록!C17</f>
        <v>#REF!</v>
      </c>
      <c r="C18" s="27" t="e">
        <f>일위대가목록!D17</f>
        <v>#REF!</v>
      </c>
      <c r="D18" s="60">
        <f>수량산출서!F18</f>
        <v>1</v>
      </c>
      <c r="E18" s="10"/>
      <c r="F18" s="10"/>
      <c r="G18" s="10"/>
      <c r="H18" s="10"/>
      <c r="I18" s="10"/>
      <c r="J18" s="10"/>
      <c r="K18" s="10"/>
      <c r="L18" s="10"/>
      <c r="M18" s="7" t="s">
        <v>229</v>
      </c>
      <c r="N18" s="2" t="s">
        <v>71</v>
      </c>
      <c r="O18" s="2" t="s">
        <v>47</v>
      </c>
      <c r="P18" s="2" t="s">
        <v>47</v>
      </c>
      <c r="Q18" s="2" t="s">
        <v>48</v>
      </c>
      <c r="R18" s="2" t="s">
        <v>51</v>
      </c>
      <c r="S18" s="2" t="s">
        <v>50</v>
      </c>
      <c r="T18" s="2" t="s">
        <v>50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47</v>
      </c>
      <c r="AS18" s="2" t="s">
        <v>47</v>
      </c>
      <c r="AT18" s="3"/>
      <c r="AU18" s="2" t="s">
        <v>72</v>
      </c>
      <c r="AV18" s="3">
        <v>13</v>
      </c>
    </row>
    <row r="19" spans="1:48" ht="30" customHeight="1" x14ac:dyDescent="0.3">
      <c r="A19" s="7" t="str">
        <f>일위대가목록!B18</f>
        <v>케이블트레이부속품 설치</v>
      </c>
      <c r="B19" s="7" t="e">
        <f>일위대가목록!C18</f>
        <v>#REF!</v>
      </c>
      <c r="C19" s="27" t="e">
        <f>일위대가목록!D18</f>
        <v>#REF!</v>
      </c>
      <c r="D19" s="60">
        <f>수량산출서!F19</f>
        <v>2</v>
      </c>
      <c r="E19" s="10"/>
      <c r="F19" s="10"/>
      <c r="G19" s="10"/>
      <c r="H19" s="10"/>
      <c r="I19" s="10"/>
      <c r="J19" s="10"/>
      <c r="K19" s="10"/>
      <c r="L19" s="10"/>
      <c r="M19" s="7" t="s">
        <v>230</v>
      </c>
      <c r="N19" s="2" t="s">
        <v>71</v>
      </c>
      <c r="O19" s="2" t="s">
        <v>47</v>
      </c>
      <c r="P19" s="2" t="s">
        <v>47</v>
      </c>
      <c r="Q19" s="2" t="s">
        <v>48</v>
      </c>
      <c r="R19" s="2" t="s">
        <v>51</v>
      </c>
      <c r="S19" s="2" t="s">
        <v>50</v>
      </c>
      <c r="T19" s="2" t="s">
        <v>50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47</v>
      </c>
      <c r="AS19" s="2" t="s">
        <v>47</v>
      </c>
      <c r="AT19" s="3"/>
      <c r="AU19" s="2" t="s">
        <v>72</v>
      </c>
      <c r="AV19" s="3">
        <v>13</v>
      </c>
    </row>
    <row r="20" spans="1:48" ht="30" customHeight="1" x14ac:dyDescent="0.3">
      <c r="A20" s="7" t="str">
        <f>일위대가목록!B19</f>
        <v>케이블트레이지지대 설치</v>
      </c>
      <c r="B20" s="7" t="str">
        <f>일위대가목록!C19</f>
        <v>스트롱앵커(천장) 3/8"</v>
      </c>
      <c r="C20" s="27" t="e">
        <f>일위대가목록!D19</f>
        <v>#REF!</v>
      </c>
      <c r="D20" s="60">
        <f>수량산출서!F20</f>
        <v>20</v>
      </c>
      <c r="E20" s="10"/>
      <c r="F20" s="10"/>
      <c r="G20" s="10"/>
      <c r="H20" s="10"/>
      <c r="I20" s="10"/>
      <c r="J20" s="10"/>
      <c r="K20" s="10"/>
      <c r="L20" s="10"/>
      <c r="M20" s="7" t="s">
        <v>231</v>
      </c>
      <c r="N20" s="2" t="s">
        <v>73</v>
      </c>
      <c r="O20" s="2" t="s">
        <v>47</v>
      </c>
      <c r="P20" s="2" t="s">
        <v>47</v>
      </c>
      <c r="Q20" s="2" t="s">
        <v>48</v>
      </c>
      <c r="R20" s="2" t="s">
        <v>51</v>
      </c>
      <c r="S20" s="2" t="s">
        <v>50</v>
      </c>
      <c r="T20" s="2" t="s">
        <v>50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47</v>
      </c>
      <c r="AS20" s="2" t="s">
        <v>47</v>
      </c>
      <c r="AT20" s="3"/>
      <c r="AU20" s="2" t="s">
        <v>74</v>
      </c>
      <c r="AV20" s="3">
        <v>14</v>
      </c>
    </row>
    <row r="21" spans="1:48" ht="30" customHeight="1" x14ac:dyDescent="0.3">
      <c r="A21" s="7" t="str">
        <f>일위대가목록!B20</f>
        <v>강제전선관 설치</v>
      </c>
      <c r="B21" s="7" t="e">
        <f>일위대가목록!C20</f>
        <v>#REF!</v>
      </c>
      <c r="C21" s="27" t="e">
        <f>일위대가목록!D20</f>
        <v>#REF!</v>
      </c>
      <c r="D21" s="60">
        <f>수량산출서!F21</f>
        <v>93</v>
      </c>
      <c r="E21" s="10"/>
      <c r="F21" s="10"/>
      <c r="G21" s="10"/>
      <c r="H21" s="10"/>
      <c r="I21" s="10"/>
      <c r="J21" s="10"/>
      <c r="K21" s="10"/>
      <c r="L21" s="10"/>
      <c r="M21" s="7" t="s">
        <v>298</v>
      </c>
      <c r="N21" s="2" t="s">
        <v>55</v>
      </c>
      <c r="O21" s="2" t="s">
        <v>47</v>
      </c>
      <c r="P21" s="2" t="s">
        <v>47</v>
      </c>
      <c r="Q21" s="2" t="s">
        <v>48</v>
      </c>
      <c r="R21" s="2" t="s">
        <v>50</v>
      </c>
      <c r="S21" s="2" t="s">
        <v>50</v>
      </c>
      <c r="T21" s="2" t="s">
        <v>51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2" t="s">
        <v>47</v>
      </c>
      <c r="AS21" s="2" t="s">
        <v>47</v>
      </c>
      <c r="AT21" s="3"/>
      <c r="AU21" s="2" t="s">
        <v>56</v>
      </c>
      <c r="AV21" s="3">
        <v>5</v>
      </c>
    </row>
    <row r="22" spans="1:48" ht="30" customHeight="1" x14ac:dyDescent="0.3">
      <c r="A22" s="7" t="str">
        <f>일위대가목록!B21</f>
        <v>강제전선관 설치</v>
      </c>
      <c r="B22" s="7" t="e">
        <f>일위대가목록!C21</f>
        <v>#REF!</v>
      </c>
      <c r="C22" s="27" t="e">
        <f>일위대가목록!D21</f>
        <v>#REF!</v>
      </c>
      <c r="D22" s="60">
        <f>수량산출서!F22</f>
        <v>63</v>
      </c>
      <c r="E22" s="10"/>
      <c r="F22" s="10"/>
      <c r="G22" s="10"/>
      <c r="H22" s="10"/>
      <c r="I22" s="10"/>
      <c r="J22" s="10"/>
      <c r="K22" s="10"/>
      <c r="L22" s="10"/>
      <c r="M22" s="7" t="s">
        <v>299</v>
      </c>
      <c r="N22" s="2" t="s">
        <v>57</v>
      </c>
      <c r="O22" s="2" t="s">
        <v>47</v>
      </c>
      <c r="P22" s="2" t="s">
        <v>47</v>
      </c>
      <c r="Q22" s="2" t="s">
        <v>48</v>
      </c>
      <c r="R22" s="2" t="s">
        <v>51</v>
      </c>
      <c r="S22" s="2" t="s">
        <v>50</v>
      </c>
      <c r="T22" s="2" t="s">
        <v>50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2" t="s">
        <v>47</v>
      </c>
      <c r="AS22" s="2" t="s">
        <v>47</v>
      </c>
      <c r="AT22" s="3"/>
      <c r="AU22" s="2" t="s">
        <v>58</v>
      </c>
      <c r="AV22" s="3">
        <v>6</v>
      </c>
    </row>
    <row r="23" spans="1:48" ht="30" customHeight="1" x14ac:dyDescent="0.3">
      <c r="A23" s="7" t="str">
        <f>일위대가목록!B22</f>
        <v>강제전선관 설치</v>
      </c>
      <c r="B23" s="7" t="e">
        <f>일위대가목록!C22</f>
        <v>#REF!</v>
      </c>
      <c r="C23" s="27" t="e">
        <f>일위대가목록!D22</f>
        <v>#REF!</v>
      </c>
      <c r="D23" s="60">
        <f>수량산출서!F23</f>
        <v>30</v>
      </c>
      <c r="E23" s="10"/>
      <c r="F23" s="10"/>
      <c r="G23" s="10"/>
      <c r="H23" s="10"/>
      <c r="I23" s="10"/>
      <c r="J23" s="10"/>
      <c r="K23" s="10"/>
      <c r="L23" s="10"/>
      <c r="M23" s="7" t="s">
        <v>300</v>
      </c>
      <c r="N23" s="2" t="s">
        <v>59</v>
      </c>
      <c r="O23" s="2" t="s">
        <v>47</v>
      </c>
      <c r="P23" s="2" t="s">
        <v>47</v>
      </c>
      <c r="Q23" s="2" t="s">
        <v>48</v>
      </c>
      <c r="R23" s="2" t="s">
        <v>51</v>
      </c>
      <c r="S23" s="2" t="s">
        <v>50</v>
      </c>
      <c r="T23" s="2" t="s">
        <v>50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2" t="s">
        <v>47</v>
      </c>
      <c r="AS23" s="2" t="s">
        <v>47</v>
      </c>
      <c r="AT23" s="3"/>
      <c r="AU23" s="2" t="s">
        <v>60</v>
      </c>
      <c r="AV23" s="3">
        <v>7</v>
      </c>
    </row>
    <row r="24" spans="1:48" ht="30" customHeight="1" x14ac:dyDescent="0.3">
      <c r="A24" s="7" t="str">
        <f>일위대가목록!B23</f>
        <v>강제전선관 설치</v>
      </c>
      <c r="B24" s="7" t="e">
        <f>일위대가목록!C23</f>
        <v>#REF!</v>
      </c>
      <c r="C24" s="27" t="e">
        <f>일위대가목록!D23</f>
        <v>#REF!</v>
      </c>
      <c r="D24" s="60">
        <f>수량산출서!F24</f>
        <v>21</v>
      </c>
      <c r="E24" s="10"/>
      <c r="F24" s="10"/>
      <c r="G24" s="10"/>
      <c r="H24" s="10"/>
      <c r="I24" s="10"/>
      <c r="J24" s="10"/>
      <c r="K24" s="10"/>
      <c r="L24" s="10"/>
      <c r="M24" s="7" t="s">
        <v>301</v>
      </c>
      <c r="N24" s="2" t="s">
        <v>61</v>
      </c>
      <c r="O24" s="2" t="s">
        <v>47</v>
      </c>
      <c r="P24" s="2" t="s">
        <v>47</v>
      </c>
      <c r="Q24" s="2" t="s">
        <v>48</v>
      </c>
      <c r="R24" s="2" t="s">
        <v>51</v>
      </c>
      <c r="S24" s="2" t="s">
        <v>50</v>
      </c>
      <c r="T24" s="2" t="s">
        <v>50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2" t="s">
        <v>47</v>
      </c>
      <c r="AS24" s="2" t="s">
        <v>47</v>
      </c>
      <c r="AT24" s="3"/>
      <c r="AU24" s="2" t="s">
        <v>62</v>
      </c>
      <c r="AV24" s="3">
        <v>8</v>
      </c>
    </row>
    <row r="25" spans="1:48" ht="30" customHeight="1" x14ac:dyDescent="0.3">
      <c r="A25" s="7" t="str">
        <f>일위대가목록!B24</f>
        <v>풀박스 설치</v>
      </c>
      <c r="B25" s="7" t="e">
        <f>일위대가목록!C24</f>
        <v>#REF!</v>
      </c>
      <c r="C25" s="27" t="e">
        <f>일위대가목록!D24</f>
        <v>#REF!</v>
      </c>
      <c r="D25" s="60">
        <f>수량산출서!F25</f>
        <v>6</v>
      </c>
      <c r="E25" s="10"/>
      <c r="F25" s="10"/>
      <c r="G25" s="10"/>
      <c r="H25" s="10"/>
      <c r="I25" s="10"/>
      <c r="J25" s="10"/>
      <c r="K25" s="10"/>
      <c r="L25" s="10"/>
      <c r="M25" s="7" t="s">
        <v>302</v>
      </c>
      <c r="N25" s="2" t="s">
        <v>63</v>
      </c>
      <c r="O25" s="2" t="s">
        <v>47</v>
      </c>
      <c r="P25" s="2" t="s">
        <v>47</v>
      </c>
      <c r="Q25" s="2" t="s">
        <v>48</v>
      </c>
      <c r="R25" s="2" t="s">
        <v>51</v>
      </c>
      <c r="S25" s="2" t="s">
        <v>50</v>
      </c>
      <c r="T25" s="2" t="s">
        <v>50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2" t="s">
        <v>47</v>
      </c>
      <c r="AS25" s="2" t="s">
        <v>47</v>
      </c>
      <c r="AT25" s="3"/>
      <c r="AU25" s="2" t="s">
        <v>64</v>
      </c>
      <c r="AV25" s="3">
        <v>9</v>
      </c>
    </row>
    <row r="26" spans="1:48" ht="30" customHeight="1" x14ac:dyDescent="0.3">
      <c r="A26" s="7" t="str">
        <f>일위대가목록!B25</f>
        <v>전력케이블 설치</v>
      </c>
      <c r="B26" s="7" t="e">
        <f>일위대가목록!C25</f>
        <v>#REF!</v>
      </c>
      <c r="C26" s="27" t="e">
        <f>일위대가목록!D25</f>
        <v>#REF!</v>
      </c>
      <c r="D26" s="60">
        <f>수량산출서!F26</f>
        <v>30</v>
      </c>
      <c r="E26" s="10"/>
      <c r="F26" s="10"/>
      <c r="G26" s="10"/>
      <c r="H26" s="10"/>
      <c r="I26" s="10"/>
      <c r="J26" s="10"/>
      <c r="K26" s="10"/>
      <c r="L26" s="10"/>
      <c r="M26" s="7" t="s">
        <v>303</v>
      </c>
      <c r="N26" s="2" t="s">
        <v>65</v>
      </c>
      <c r="O26" s="2" t="s">
        <v>47</v>
      </c>
      <c r="P26" s="2" t="s">
        <v>47</v>
      </c>
      <c r="Q26" s="2" t="s">
        <v>48</v>
      </c>
      <c r="R26" s="2" t="s">
        <v>51</v>
      </c>
      <c r="S26" s="2" t="s">
        <v>50</v>
      </c>
      <c r="T26" s="2" t="s">
        <v>50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2" t="s">
        <v>47</v>
      </c>
      <c r="AS26" s="2" t="s">
        <v>47</v>
      </c>
      <c r="AT26" s="3"/>
      <c r="AU26" s="2" t="s">
        <v>66</v>
      </c>
      <c r="AV26" s="3">
        <v>10</v>
      </c>
    </row>
    <row r="27" spans="1:48" ht="30" customHeight="1" x14ac:dyDescent="0.3">
      <c r="A27" s="7" t="str">
        <f>일위대가목록!B26</f>
        <v>전력케이블 설치</v>
      </c>
      <c r="B27" s="7" t="e">
        <f>일위대가목록!C26</f>
        <v>#REF!</v>
      </c>
      <c r="C27" s="27" t="e">
        <f>일위대가목록!D26</f>
        <v>#REF!</v>
      </c>
      <c r="D27" s="60">
        <f>수량산출서!F27</f>
        <v>54</v>
      </c>
      <c r="E27" s="10"/>
      <c r="F27" s="10"/>
      <c r="G27" s="10"/>
      <c r="H27" s="10"/>
      <c r="I27" s="10"/>
      <c r="J27" s="10"/>
      <c r="K27" s="10"/>
      <c r="L27" s="10"/>
      <c r="M27" s="7" t="s">
        <v>304</v>
      </c>
      <c r="N27" s="2" t="s">
        <v>67</v>
      </c>
      <c r="O27" s="2" t="s">
        <v>47</v>
      </c>
      <c r="P27" s="2" t="s">
        <v>47</v>
      </c>
      <c r="Q27" s="2" t="s">
        <v>48</v>
      </c>
      <c r="R27" s="2" t="s">
        <v>51</v>
      </c>
      <c r="S27" s="2" t="s">
        <v>50</v>
      </c>
      <c r="T27" s="2" t="s">
        <v>50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2" t="s">
        <v>47</v>
      </c>
      <c r="AS27" s="2" t="s">
        <v>47</v>
      </c>
      <c r="AT27" s="3"/>
      <c r="AU27" s="2" t="s">
        <v>68</v>
      </c>
      <c r="AV27" s="3">
        <v>11</v>
      </c>
    </row>
    <row r="28" spans="1:48" ht="30" customHeight="1" x14ac:dyDescent="0.3">
      <c r="A28" s="7" t="str">
        <f>일위대가목록!B27</f>
        <v>전력케이블 설치</v>
      </c>
      <c r="B28" s="7" t="e">
        <f>일위대가목록!C27</f>
        <v>#REF!</v>
      </c>
      <c r="C28" s="27" t="e">
        <f>일위대가목록!D27</f>
        <v>#REF!</v>
      </c>
      <c r="D28" s="60">
        <f>수량산출서!F28</f>
        <v>179</v>
      </c>
      <c r="E28" s="10"/>
      <c r="F28" s="10"/>
      <c r="G28" s="10"/>
      <c r="H28" s="10"/>
      <c r="I28" s="10"/>
      <c r="J28" s="10"/>
      <c r="K28" s="10"/>
      <c r="L28" s="10"/>
      <c r="M28" s="7" t="s">
        <v>305</v>
      </c>
      <c r="N28" s="2" t="s">
        <v>69</v>
      </c>
      <c r="O28" s="2" t="s">
        <v>47</v>
      </c>
      <c r="P28" s="2" t="s">
        <v>47</v>
      </c>
      <c r="Q28" s="2" t="s">
        <v>48</v>
      </c>
      <c r="R28" s="2" t="s">
        <v>51</v>
      </c>
      <c r="S28" s="2" t="s">
        <v>50</v>
      </c>
      <c r="T28" s="2" t="s">
        <v>50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47</v>
      </c>
      <c r="AS28" s="2" t="s">
        <v>47</v>
      </c>
      <c r="AT28" s="3"/>
      <c r="AU28" s="2" t="s">
        <v>70</v>
      </c>
      <c r="AV28" s="3">
        <v>12</v>
      </c>
    </row>
    <row r="29" spans="1:48" ht="30" customHeight="1" x14ac:dyDescent="0.3">
      <c r="A29" s="7" t="str">
        <f>일위대가목록!B28</f>
        <v>전력케이블 설치</v>
      </c>
      <c r="B29" s="7" t="e">
        <f>일위대가목록!C28</f>
        <v>#REF!</v>
      </c>
      <c r="C29" s="27" t="e">
        <f>일위대가목록!D28</f>
        <v>#REF!</v>
      </c>
      <c r="D29" s="60">
        <f>수량산출서!F29</f>
        <v>39</v>
      </c>
      <c r="E29" s="10"/>
      <c r="F29" s="10"/>
      <c r="G29" s="10"/>
      <c r="H29" s="10"/>
      <c r="I29" s="10"/>
      <c r="J29" s="10"/>
      <c r="K29" s="10"/>
      <c r="L29" s="10"/>
      <c r="M29" s="7" t="s">
        <v>306</v>
      </c>
      <c r="N29" s="2" t="s">
        <v>71</v>
      </c>
      <c r="O29" s="2" t="s">
        <v>47</v>
      </c>
      <c r="P29" s="2" t="s">
        <v>47</v>
      </c>
      <c r="Q29" s="2" t="s">
        <v>48</v>
      </c>
      <c r="R29" s="2" t="s">
        <v>51</v>
      </c>
      <c r="S29" s="2" t="s">
        <v>50</v>
      </c>
      <c r="T29" s="2" t="s">
        <v>50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47</v>
      </c>
      <c r="AS29" s="2" t="s">
        <v>47</v>
      </c>
      <c r="AT29" s="3"/>
      <c r="AU29" s="2" t="s">
        <v>72</v>
      </c>
      <c r="AV29" s="3">
        <v>13</v>
      </c>
    </row>
    <row r="30" spans="1:48" ht="30" customHeight="1" x14ac:dyDescent="0.3">
      <c r="A30" s="7" t="str">
        <f>일위대가목록!B29</f>
        <v>전력케이블 설치</v>
      </c>
      <c r="B30" s="7" t="e">
        <f>일위대가목록!C29</f>
        <v>#REF!</v>
      </c>
      <c r="C30" s="27" t="e">
        <f>일위대가목록!D29</f>
        <v>#REF!</v>
      </c>
      <c r="D30" s="60">
        <f>수량산출서!F30</f>
        <v>366</v>
      </c>
      <c r="E30" s="10"/>
      <c r="F30" s="10"/>
      <c r="G30" s="10"/>
      <c r="H30" s="10"/>
      <c r="I30" s="10"/>
      <c r="J30" s="10"/>
      <c r="K30" s="10"/>
      <c r="L30" s="10"/>
      <c r="M30" s="7" t="s">
        <v>307</v>
      </c>
      <c r="N30" s="2" t="s">
        <v>71</v>
      </c>
      <c r="O30" s="2" t="s">
        <v>47</v>
      </c>
      <c r="P30" s="2" t="s">
        <v>47</v>
      </c>
      <c r="Q30" s="2" t="s">
        <v>48</v>
      </c>
      <c r="R30" s="2" t="s">
        <v>51</v>
      </c>
      <c r="S30" s="2" t="s">
        <v>50</v>
      </c>
      <c r="T30" s="2" t="s">
        <v>50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47</v>
      </c>
      <c r="AS30" s="2" t="s">
        <v>47</v>
      </c>
      <c r="AT30" s="3"/>
      <c r="AU30" s="2" t="s">
        <v>72</v>
      </c>
      <c r="AV30" s="3">
        <v>13</v>
      </c>
    </row>
    <row r="31" spans="1:48" ht="30" customHeight="1" x14ac:dyDescent="0.3">
      <c r="A31" s="7" t="str">
        <f>일위대가목록!B30</f>
        <v>UTP케이블 설치</v>
      </c>
      <c r="B31" s="7" t="e">
        <f>일위대가목록!C30</f>
        <v>#REF!</v>
      </c>
      <c r="C31" s="27" t="e">
        <f>일위대가목록!D30</f>
        <v>#REF!</v>
      </c>
      <c r="D31" s="60">
        <f>수량산출서!F31</f>
        <v>31</v>
      </c>
      <c r="E31" s="10"/>
      <c r="F31" s="10"/>
      <c r="G31" s="10"/>
      <c r="H31" s="10"/>
      <c r="I31" s="10"/>
      <c r="J31" s="10"/>
      <c r="K31" s="10"/>
      <c r="L31" s="10"/>
      <c r="M31" s="7" t="s">
        <v>308</v>
      </c>
      <c r="N31" s="2" t="s">
        <v>73</v>
      </c>
      <c r="O31" s="2" t="s">
        <v>47</v>
      </c>
      <c r="P31" s="2" t="s">
        <v>47</v>
      </c>
      <c r="Q31" s="2" t="s">
        <v>48</v>
      </c>
      <c r="R31" s="2" t="s">
        <v>51</v>
      </c>
      <c r="S31" s="2" t="s">
        <v>50</v>
      </c>
      <c r="T31" s="2" t="s">
        <v>50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47</v>
      </c>
      <c r="AS31" s="2" t="s">
        <v>47</v>
      </c>
      <c r="AT31" s="3"/>
      <c r="AU31" s="2" t="s">
        <v>74</v>
      </c>
      <c r="AV31" s="3">
        <v>14</v>
      </c>
    </row>
    <row r="32" spans="1:48" ht="30" customHeight="1" x14ac:dyDescent="0.3">
      <c r="A32" s="7" t="str">
        <f>일위대가목록!B31</f>
        <v>접지용전선 설치</v>
      </c>
      <c r="B32" s="7" t="e">
        <f>일위대가목록!C31</f>
        <v>#REF!</v>
      </c>
      <c r="C32" s="27" t="e">
        <f>일위대가목록!D31</f>
        <v>#REF!</v>
      </c>
      <c r="D32" s="60">
        <f>수량산출서!F32</f>
        <v>93</v>
      </c>
      <c r="E32" s="10"/>
      <c r="F32" s="10"/>
      <c r="G32" s="10"/>
      <c r="H32" s="10"/>
      <c r="I32" s="10"/>
      <c r="J32" s="10"/>
      <c r="K32" s="10"/>
      <c r="L32" s="10"/>
      <c r="M32" s="7" t="s">
        <v>309</v>
      </c>
      <c r="N32" s="2" t="s">
        <v>71</v>
      </c>
      <c r="O32" s="2" t="s">
        <v>47</v>
      </c>
      <c r="P32" s="2" t="s">
        <v>47</v>
      </c>
      <c r="Q32" s="2" t="s">
        <v>48</v>
      </c>
      <c r="R32" s="2" t="s">
        <v>51</v>
      </c>
      <c r="S32" s="2" t="s">
        <v>50</v>
      </c>
      <c r="T32" s="2" t="s">
        <v>50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47</v>
      </c>
      <c r="AS32" s="2" t="s">
        <v>47</v>
      </c>
      <c r="AT32" s="3"/>
      <c r="AU32" s="2" t="s">
        <v>72</v>
      </c>
      <c r="AV32" s="3">
        <v>13</v>
      </c>
    </row>
    <row r="33" spans="1:48" ht="30" customHeight="1" x14ac:dyDescent="0.3">
      <c r="A33" s="7" t="str">
        <f>일위대가목록!B32</f>
        <v>배관 해체</v>
      </c>
      <c r="B33" s="7" t="str">
        <f>일위대가목록!C32</f>
        <v>D25</v>
      </c>
      <c r="C33" s="27" t="str">
        <f>일위대가목록!D32</f>
        <v>m</v>
      </c>
      <c r="D33" s="60">
        <f>수량산출서!F33</f>
        <v>73</v>
      </c>
      <c r="E33" s="10"/>
      <c r="F33" s="10"/>
      <c r="G33" s="10"/>
      <c r="H33" s="10"/>
      <c r="I33" s="10"/>
      <c r="J33" s="10"/>
      <c r="K33" s="10"/>
      <c r="L33" s="10"/>
      <c r="M33" s="7" t="s">
        <v>310</v>
      </c>
      <c r="N33" s="2" t="s">
        <v>71</v>
      </c>
      <c r="O33" s="2" t="s">
        <v>47</v>
      </c>
      <c r="P33" s="2" t="s">
        <v>47</v>
      </c>
      <c r="Q33" s="2" t="s">
        <v>48</v>
      </c>
      <c r="R33" s="2" t="s">
        <v>51</v>
      </c>
      <c r="S33" s="2" t="s">
        <v>50</v>
      </c>
      <c r="T33" s="2" t="s">
        <v>50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47</v>
      </c>
      <c r="AS33" s="2" t="s">
        <v>47</v>
      </c>
      <c r="AT33" s="3"/>
      <c r="AU33" s="2" t="s">
        <v>72</v>
      </c>
      <c r="AV33" s="3">
        <v>13</v>
      </c>
    </row>
    <row r="34" spans="1:48" ht="30" customHeight="1" x14ac:dyDescent="0.3">
      <c r="A34" s="7" t="str">
        <f>일위대가목록!B33</f>
        <v>스위치 철거</v>
      </c>
      <c r="B34" s="7" t="str">
        <f>일위대가목록!C33</f>
        <v>텀블러 스위치 단로용</v>
      </c>
      <c r="C34" s="27" t="str">
        <f>일위대가목록!D33</f>
        <v>개</v>
      </c>
      <c r="D34" s="60">
        <f>수량산출서!F34</f>
        <v>5</v>
      </c>
      <c r="E34" s="10"/>
      <c r="F34" s="10"/>
      <c r="G34" s="10"/>
      <c r="H34" s="10"/>
      <c r="I34" s="10"/>
      <c r="J34" s="10"/>
      <c r="K34" s="10"/>
      <c r="L34" s="10"/>
      <c r="M34" s="7" t="s">
        <v>311</v>
      </c>
      <c r="N34" s="2" t="s">
        <v>65</v>
      </c>
      <c r="O34" s="2" t="s">
        <v>47</v>
      </c>
      <c r="P34" s="2" t="s">
        <v>47</v>
      </c>
      <c r="Q34" s="2" t="s">
        <v>48</v>
      </c>
      <c r="R34" s="2" t="s">
        <v>51</v>
      </c>
      <c r="S34" s="2" t="s">
        <v>50</v>
      </c>
      <c r="T34" s="2" t="s">
        <v>50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47</v>
      </c>
      <c r="AS34" s="2" t="s">
        <v>47</v>
      </c>
      <c r="AT34" s="3"/>
      <c r="AU34" s="2" t="s">
        <v>66</v>
      </c>
      <c r="AV34" s="3">
        <v>10</v>
      </c>
    </row>
    <row r="35" spans="1:48" ht="30" customHeight="1" x14ac:dyDescent="0.3">
      <c r="A35" s="7" t="str">
        <f>일위대가목록!B34</f>
        <v>스위치 설치</v>
      </c>
      <c r="B35" s="7" t="e">
        <f>일위대가목록!C34</f>
        <v>#REF!</v>
      </c>
      <c r="C35" s="27" t="e">
        <f>일위대가목록!D34</f>
        <v>#REF!</v>
      </c>
      <c r="D35" s="60">
        <f>수량산출서!F35</f>
        <v>2</v>
      </c>
      <c r="E35" s="10"/>
      <c r="F35" s="10"/>
      <c r="G35" s="10"/>
      <c r="H35" s="10"/>
      <c r="I35" s="10"/>
      <c r="J35" s="10"/>
      <c r="K35" s="10"/>
      <c r="L35" s="10"/>
      <c r="M35" s="7" t="s">
        <v>324</v>
      </c>
      <c r="N35" s="2" t="s">
        <v>67</v>
      </c>
      <c r="O35" s="2" t="s">
        <v>47</v>
      </c>
      <c r="P35" s="2" t="s">
        <v>47</v>
      </c>
      <c r="Q35" s="2" t="s">
        <v>48</v>
      </c>
      <c r="R35" s="2" t="s">
        <v>51</v>
      </c>
      <c r="S35" s="2" t="s">
        <v>50</v>
      </c>
      <c r="T35" s="2" t="s">
        <v>50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47</v>
      </c>
      <c r="AS35" s="2" t="s">
        <v>47</v>
      </c>
      <c r="AT35" s="3"/>
      <c r="AU35" s="2" t="s">
        <v>68</v>
      </c>
      <c r="AV35" s="3">
        <v>11</v>
      </c>
    </row>
    <row r="36" spans="1:48" ht="30" customHeight="1" x14ac:dyDescent="0.3">
      <c r="A36" s="7" t="str">
        <f>일위대가목록!B35</f>
        <v>스위치 설치</v>
      </c>
      <c r="B36" s="7" t="e">
        <f>일위대가목록!C35</f>
        <v>#REF!</v>
      </c>
      <c r="C36" s="27" t="e">
        <f>일위대가목록!D35</f>
        <v>#REF!</v>
      </c>
      <c r="D36" s="60">
        <f>수량산출서!F36</f>
        <v>3</v>
      </c>
      <c r="E36" s="10"/>
      <c r="F36" s="10"/>
      <c r="G36" s="10"/>
      <c r="H36" s="10"/>
      <c r="I36" s="10"/>
      <c r="J36" s="10"/>
      <c r="K36" s="10"/>
      <c r="L36" s="10"/>
      <c r="M36" s="7" t="s">
        <v>352</v>
      </c>
      <c r="N36" s="2" t="s">
        <v>69</v>
      </c>
      <c r="O36" s="2" t="s">
        <v>47</v>
      </c>
      <c r="P36" s="2" t="s">
        <v>47</v>
      </c>
      <c r="Q36" s="2" t="s">
        <v>48</v>
      </c>
      <c r="R36" s="2" t="s">
        <v>51</v>
      </c>
      <c r="S36" s="2" t="s">
        <v>50</v>
      </c>
      <c r="T36" s="2" t="s">
        <v>50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47</v>
      </c>
      <c r="AS36" s="2" t="s">
        <v>47</v>
      </c>
      <c r="AT36" s="3"/>
      <c r="AU36" s="2" t="s">
        <v>70</v>
      </c>
      <c r="AV36" s="3">
        <v>12</v>
      </c>
    </row>
    <row r="37" spans="1:48" ht="30" customHeight="1" x14ac:dyDescent="0.3">
      <c r="A37" s="7" t="str">
        <f>일위대가목록!B36</f>
        <v>스위치 설치</v>
      </c>
      <c r="B37" s="7" t="e">
        <f>일위대가목록!C36</f>
        <v>#REF!</v>
      </c>
      <c r="C37" s="27" t="e">
        <f>일위대가목록!D36</f>
        <v>#REF!</v>
      </c>
      <c r="D37" s="60">
        <f>수량산출서!F37</f>
        <v>4</v>
      </c>
      <c r="E37" s="10"/>
      <c r="F37" s="10"/>
      <c r="G37" s="10"/>
      <c r="H37" s="10"/>
      <c r="I37" s="10"/>
      <c r="J37" s="10"/>
      <c r="K37" s="10"/>
      <c r="L37" s="10"/>
      <c r="M37" s="7" t="s">
        <v>353</v>
      </c>
      <c r="N37" s="2" t="s">
        <v>71</v>
      </c>
      <c r="O37" s="2" t="s">
        <v>47</v>
      </c>
      <c r="P37" s="2" t="s">
        <v>47</v>
      </c>
      <c r="Q37" s="2" t="s">
        <v>48</v>
      </c>
      <c r="R37" s="2" t="s">
        <v>51</v>
      </c>
      <c r="S37" s="2" t="s">
        <v>50</v>
      </c>
      <c r="T37" s="2" t="s">
        <v>50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47</v>
      </c>
      <c r="AS37" s="2" t="s">
        <v>47</v>
      </c>
      <c r="AT37" s="3"/>
      <c r="AU37" s="2" t="s">
        <v>72</v>
      </c>
      <c r="AV37" s="3">
        <v>13</v>
      </c>
    </row>
    <row r="38" spans="1:48" ht="30" customHeight="1" x14ac:dyDescent="0.3">
      <c r="A38" s="7" t="str">
        <f>일위대가목록!B37</f>
        <v>콘센트 철거</v>
      </c>
      <c r="B38" s="7" t="str">
        <f>일위대가목록!C37</f>
        <v>접지극부 15A</v>
      </c>
      <c r="C38" s="27" t="str">
        <f>일위대가목록!D37</f>
        <v>개</v>
      </c>
      <c r="D38" s="60">
        <f>수량산출서!F38</f>
        <v>19</v>
      </c>
      <c r="E38" s="10"/>
      <c r="F38" s="10"/>
      <c r="G38" s="10"/>
      <c r="H38" s="10"/>
      <c r="I38" s="10"/>
      <c r="J38" s="10"/>
      <c r="K38" s="10"/>
      <c r="L38" s="10"/>
      <c r="M38" s="7" t="s">
        <v>354</v>
      </c>
      <c r="N38" s="2" t="s">
        <v>71</v>
      </c>
      <c r="O38" s="2" t="s">
        <v>47</v>
      </c>
      <c r="P38" s="2" t="s">
        <v>47</v>
      </c>
      <c r="Q38" s="2" t="s">
        <v>48</v>
      </c>
      <c r="R38" s="2" t="s">
        <v>51</v>
      </c>
      <c r="S38" s="2" t="s">
        <v>50</v>
      </c>
      <c r="T38" s="2" t="s">
        <v>50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47</v>
      </c>
      <c r="AS38" s="2" t="s">
        <v>47</v>
      </c>
      <c r="AT38" s="3"/>
      <c r="AU38" s="2" t="s">
        <v>72</v>
      </c>
      <c r="AV38" s="3">
        <v>13</v>
      </c>
    </row>
    <row r="39" spans="1:48" ht="30" customHeight="1" x14ac:dyDescent="0.3">
      <c r="A39" s="7" t="str">
        <f>일위대가목록!B38</f>
        <v>콘센트 설치</v>
      </c>
      <c r="B39" s="7" t="e">
        <f>일위대가목록!C38</f>
        <v>#REF!</v>
      </c>
      <c r="C39" s="27" t="e">
        <f>일위대가목록!D38</f>
        <v>#REF!</v>
      </c>
      <c r="D39" s="60">
        <f>수량산출서!F39</f>
        <v>19</v>
      </c>
      <c r="E39" s="10"/>
      <c r="F39" s="10"/>
      <c r="G39" s="10"/>
      <c r="H39" s="10"/>
      <c r="I39" s="10"/>
      <c r="J39" s="10"/>
      <c r="K39" s="10"/>
      <c r="L39" s="10"/>
      <c r="M39" s="7" t="s">
        <v>355</v>
      </c>
      <c r="N39" s="2" t="s">
        <v>71</v>
      </c>
      <c r="O39" s="2" t="s">
        <v>47</v>
      </c>
      <c r="P39" s="2" t="s">
        <v>47</v>
      </c>
      <c r="Q39" s="2" t="s">
        <v>48</v>
      </c>
      <c r="R39" s="2" t="s">
        <v>51</v>
      </c>
      <c r="S39" s="2" t="s">
        <v>50</v>
      </c>
      <c r="T39" s="2" t="s">
        <v>50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47</v>
      </c>
      <c r="AS39" s="2" t="s">
        <v>47</v>
      </c>
      <c r="AT39" s="3"/>
      <c r="AU39" s="2" t="s">
        <v>72</v>
      </c>
      <c r="AV39" s="3">
        <v>13</v>
      </c>
    </row>
    <row r="40" spans="1:48" ht="30" customHeight="1" x14ac:dyDescent="0.3">
      <c r="A40" s="7" t="str">
        <f>일위대가목록!B39</f>
        <v>멀티덕트 설치</v>
      </c>
      <c r="B40" s="7" t="e">
        <f>일위대가목록!C39</f>
        <v>#REF!</v>
      </c>
      <c r="C40" s="27" t="e">
        <f>일위대가목록!D39</f>
        <v>#REF!</v>
      </c>
      <c r="D40" s="60">
        <f>수량산출서!F40</f>
        <v>6</v>
      </c>
      <c r="E40" s="10"/>
      <c r="F40" s="10"/>
      <c r="G40" s="10"/>
      <c r="H40" s="10"/>
      <c r="I40" s="10"/>
      <c r="J40" s="10"/>
      <c r="K40" s="10"/>
      <c r="L40" s="10"/>
      <c r="M40" s="7" t="s">
        <v>356</v>
      </c>
      <c r="N40" s="2" t="s">
        <v>73</v>
      </c>
      <c r="O40" s="2" t="s">
        <v>47</v>
      </c>
      <c r="P40" s="2" t="s">
        <v>47</v>
      </c>
      <c r="Q40" s="2" t="s">
        <v>48</v>
      </c>
      <c r="R40" s="2" t="s">
        <v>51</v>
      </c>
      <c r="S40" s="2" t="s">
        <v>50</v>
      </c>
      <c r="T40" s="2" t="s">
        <v>50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47</v>
      </c>
      <c r="AS40" s="2" t="s">
        <v>47</v>
      </c>
      <c r="AT40" s="3"/>
      <c r="AU40" s="2" t="s">
        <v>74</v>
      </c>
      <c r="AV40" s="3">
        <v>14</v>
      </c>
    </row>
    <row r="41" spans="1:48" ht="30" customHeight="1" x14ac:dyDescent="0.3">
      <c r="A41" s="7" t="str">
        <f>일위대가목록!B40</f>
        <v>LED실내조명등 설치</v>
      </c>
      <c r="B41" s="7" t="e">
        <f>일위대가목록!C40</f>
        <v>#REF!</v>
      </c>
      <c r="C41" s="27" t="e">
        <f>일위대가목록!D40</f>
        <v>#REF!</v>
      </c>
      <c r="D41" s="60">
        <f>수량산출서!F41</f>
        <v>42</v>
      </c>
      <c r="E41" s="10"/>
      <c r="F41" s="10"/>
      <c r="G41" s="10"/>
      <c r="H41" s="10"/>
      <c r="I41" s="10"/>
      <c r="J41" s="10"/>
      <c r="K41" s="10"/>
      <c r="L41" s="10"/>
      <c r="M41" s="7" t="s">
        <v>357</v>
      </c>
      <c r="N41" s="2" t="s">
        <v>73</v>
      </c>
      <c r="O41" s="2" t="s">
        <v>47</v>
      </c>
      <c r="P41" s="2" t="s">
        <v>47</v>
      </c>
      <c r="Q41" s="2" t="s">
        <v>48</v>
      </c>
      <c r="R41" s="2" t="s">
        <v>51</v>
      </c>
      <c r="S41" s="2" t="s">
        <v>50</v>
      </c>
      <c r="T41" s="2" t="s">
        <v>50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 t="s">
        <v>47</v>
      </c>
      <c r="AS41" s="2" t="s">
        <v>47</v>
      </c>
      <c r="AT41" s="3"/>
      <c r="AU41" s="2" t="s">
        <v>74</v>
      </c>
      <c r="AV41" s="3">
        <v>14</v>
      </c>
    </row>
    <row r="42" spans="1:48" ht="30" customHeight="1" x14ac:dyDescent="0.3">
      <c r="A42" s="7" t="e">
        <f>수량산출서!B42</f>
        <v>#REF!</v>
      </c>
      <c r="B42" s="7" t="e">
        <f>수량산출서!C42</f>
        <v>#REF!</v>
      </c>
      <c r="C42" s="7" t="e">
        <f>수량산출서!D42</f>
        <v>#REF!</v>
      </c>
      <c r="D42" s="60">
        <f>수량산출서!F42</f>
        <v>26</v>
      </c>
      <c r="E42" s="10"/>
      <c r="F42" s="10"/>
      <c r="G42" s="10"/>
      <c r="H42" s="10"/>
      <c r="I42" s="10"/>
      <c r="J42" s="10"/>
      <c r="K42" s="10"/>
      <c r="L42" s="10"/>
      <c r="M42" s="7" t="s">
        <v>359</v>
      </c>
      <c r="N42" s="2" t="s">
        <v>65</v>
      </c>
      <c r="O42" s="2" t="s">
        <v>47</v>
      </c>
      <c r="P42" s="2" t="s">
        <v>47</v>
      </c>
      <c r="Q42" s="2" t="s">
        <v>48</v>
      </c>
      <c r="R42" s="2" t="s">
        <v>51</v>
      </c>
      <c r="S42" s="2" t="s">
        <v>50</v>
      </c>
      <c r="T42" s="2" t="s">
        <v>50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2" t="s">
        <v>47</v>
      </c>
      <c r="AS42" s="2" t="s">
        <v>47</v>
      </c>
      <c r="AT42" s="3"/>
      <c r="AU42" s="2" t="s">
        <v>66</v>
      </c>
      <c r="AV42" s="3">
        <v>10</v>
      </c>
    </row>
    <row r="43" spans="1:48" ht="30" customHeight="1" x14ac:dyDescent="0.3">
      <c r="A43" s="7" t="e">
        <f>수량산출서!B43</f>
        <v>#REF!</v>
      </c>
      <c r="B43" s="7" t="e">
        <f>수량산출서!C43</f>
        <v>#REF!</v>
      </c>
      <c r="C43" s="7" t="e">
        <f>수량산출서!D43</f>
        <v>#REF!</v>
      </c>
      <c r="D43" s="60">
        <f>수량산출서!F43</f>
        <v>208</v>
      </c>
      <c r="E43" s="10"/>
      <c r="F43" s="10"/>
      <c r="G43" s="10"/>
      <c r="H43" s="10"/>
      <c r="I43" s="10"/>
      <c r="J43" s="10"/>
      <c r="K43" s="10"/>
      <c r="L43" s="10"/>
      <c r="M43" s="7" t="s">
        <v>360</v>
      </c>
      <c r="N43" s="2" t="s">
        <v>67</v>
      </c>
      <c r="O43" s="2" t="s">
        <v>47</v>
      </c>
      <c r="P43" s="2" t="s">
        <v>47</v>
      </c>
      <c r="Q43" s="2" t="s">
        <v>48</v>
      </c>
      <c r="R43" s="2" t="s">
        <v>51</v>
      </c>
      <c r="S43" s="2" t="s">
        <v>50</v>
      </c>
      <c r="T43" s="2" t="s">
        <v>50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2" t="s">
        <v>47</v>
      </c>
      <c r="AS43" s="2" t="s">
        <v>47</v>
      </c>
      <c r="AT43" s="3"/>
      <c r="AU43" s="2" t="s">
        <v>68</v>
      </c>
      <c r="AV43" s="3">
        <v>11</v>
      </c>
    </row>
    <row r="44" spans="1:48" ht="30" customHeight="1" x14ac:dyDescent="0.3">
      <c r="A44" s="7" t="e">
        <f>수량산출서!B44</f>
        <v>#REF!</v>
      </c>
      <c r="B44" s="7" t="e">
        <f>수량산출서!C44</f>
        <v>#REF!</v>
      </c>
      <c r="C44" s="7" t="e">
        <f>수량산출서!D44</f>
        <v>#REF!</v>
      </c>
      <c r="D44" s="60">
        <f>수량산출서!F44</f>
        <v>13</v>
      </c>
      <c r="E44" s="10"/>
      <c r="F44" s="10"/>
      <c r="G44" s="10"/>
      <c r="H44" s="10"/>
      <c r="I44" s="10"/>
      <c r="J44" s="10"/>
      <c r="K44" s="10"/>
      <c r="L44" s="10"/>
      <c r="M44" s="7" t="s">
        <v>361</v>
      </c>
      <c r="N44" s="2" t="s">
        <v>69</v>
      </c>
      <c r="O44" s="2" t="s">
        <v>47</v>
      </c>
      <c r="P44" s="2" t="s">
        <v>47</v>
      </c>
      <c r="Q44" s="2" t="s">
        <v>48</v>
      </c>
      <c r="R44" s="2" t="s">
        <v>51</v>
      </c>
      <c r="S44" s="2" t="s">
        <v>50</v>
      </c>
      <c r="T44" s="2" t="s">
        <v>50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2" t="s">
        <v>47</v>
      </c>
      <c r="AS44" s="2" t="s">
        <v>47</v>
      </c>
      <c r="AT44" s="3"/>
      <c r="AU44" s="2" t="s">
        <v>70</v>
      </c>
      <c r="AV44" s="3">
        <v>12</v>
      </c>
    </row>
    <row r="45" spans="1:48" ht="30" customHeight="1" x14ac:dyDescent="0.3">
      <c r="A45" s="7" t="e">
        <f>수량산출서!B45</f>
        <v>#REF!</v>
      </c>
      <c r="B45" s="7" t="e">
        <f>수량산출서!C45</f>
        <v>#REF!</v>
      </c>
      <c r="C45" s="7" t="e">
        <f>수량산출서!D45</f>
        <v>#REF!</v>
      </c>
      <c r="D45" s="60">
        <f>수량산출서!F45</f>
        <v>4</v>
      </c>
      <c r="E45" s="10"/>
      <c r="F45" s="10"/>
      <c r="G45" s="10"/>
      <c r="H45" s="10"/>
      <c r="I45" s="10"/>
      <c r="J45" s="10"/>
      <c r="K45" s="10"/>
      <c r="L45" s="10"/>
      <c r="M45" s="7" t="s">
        <v>362</v>
      </c>
      <c r="N45" s="2" t="s">
        <v>71</v>
      </c>
      <c r="O45" s="2" t="s">
        <v>47</v>
      </c>
      <c r="P45" s="2" t="s">
        <v>47</v>
      </c>
      <c r="Q45" s="2" t="s">
        <v>48</v>
      </c>
      <c r="R45" s="2" t="s">
        <v>51</v>
      </c>
      <c r="S45" s="2" t="s">
        <v>50</v>
      </c>
      <c r="T45" s="2" t="s">
        <v>50</v>
      </c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2" t="s">
        <v>47</v>
      </c>
      <c r="AS45" s="2" t="s">
        <v>47</v>
      </c>
      <c r="AT45" s="3"/>
      <c r="AU45" s="2" t="s">
        <v>72</v>
      </c>
      <c r="AV45" s="3">
        <v>13</v>
      </c>
    </row>
    <row r="46" spans="1:48" ht="30" customHeight="1" x14ac:dyDescent="0.3">
      <c r="A46" s="7" t="e">
        <f>수량산출서!B46</f>
        <v>#REF!</v>
      </c>
      <c r="B46" s="7" t="e">
        <f>수량산출서!C46</f>
        <v>#REF!</v>
      </c>
      <c r="C46" s="7" t="e">
        <f>수량산출서!D46</f>
        <v>#REF!</v>
      </c>
      <c r="D46" s="60">
        <f>수량산출서!F46</f>
        <v>2</v>
      </c>
      <c r="E46" s="10"/>
      <c r="F46" s="10"/>
      <c r="G46" s="10"/>
      <c r="H46" s="10"/>
      <c r="I46" s="10"/>
      <c r="J46" s="10"/>
      <c r="K46" s="10"/>
      <c r="L46" s="10"/>
      <c r="M46" s="7" t="s">
        <v>363</v>
      </c>
      <c r="N46" s="2" t="s">
        <v>71</v>
      </c>
      <c r="O46" s="2" t="s">
        <v>47</v>
      </c>
      <c r="P46" s="2" t="s">
        <v>47</v>
      </c>
      <c r="Q46" s="2" t="s">
        <v>48</v>
      </c>
      <c r="R46" s="2" t="s">
        <v>51</v>
      </c>
      <c r="S46" s="2" t="s">
        <v>50</v>
      </c>
      <c r="T46" s="2" t="s">
        <v>50</v>
      </c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2" t="s">
        <v>47</v>
      </c>
      <c r="AS46" s="2" t="s">
        <v>47</v>
      </c>
      <c r="AT46" s="3"/>
      <c r="AU46" s="2" t="s">
        <v>72</v>
      </c>
      <c r="AV46" s="3">
        <v>13</v>
      </c>
    </row>
    <row r="47" spans="1:48" ht="30" customHeight="1" x14ac:dyDescent="0.3">
      <c r="A47" s="7" t="s">
        <v>206</v>
      </c>
      <c r="B47" s="7"/>
      <c r="C47" s="27"/>
      <c r="D47" s="8"/>
      <c r="E47" s="10"/>
      <c r="F47" s="10"/>
      <c r="G47" s="10"/>
      <c r="H47" s="10"/>
      <c r="I47" s="10"/>
      <c r="J47" s="10"/>
      <c r="K47" s="10"/>
      <c r="L47" s="10"/>
      <c r="M47" s="7"/>
      <c r="N47" s="2" t="s">
        <v>78</v>
      </c>
      <c r="O47" s="2" t="s">
        <v>47</v>
      </c>
      <c r="P47" s="2" t="s">
        <v>47</v>
      </c>
      <c r="Q47" s="2" t="s">
        <v>48</v>
      </c>
      <c r="R47" s="2" t="s">
        <v>50</v>
      </c>
      <c r="S47" s="2" t="s">
        <v>50</v>
      </c>
      <c r="T47" s="2" t="s">
        <v>51</v>
      </c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2" t="s">
        <v>47</v>
      </c>
      <c r="AS47" s="2" t="s">
        <v>47</v>
      </c>
      <c r="AT47" s="3"/>
      <c r="AU47" s="2" t="s">
        <v>79</v>
      </c>
      <c r="AV47" s="3">
        <v>19</v>
      </c>
    </row>
    <row r="48" spans="1:48" ht="30" customHeight="1" x14ac:dyDescent="0.3">
      <c r="A48" s="7" t="s">
        <v>350</v>
      </c>
      <c r="B48" s="7"/>
      <c r="C48" s="27"/>
      <c r="D48" s="60"/>
      <c r="E48" s="10"/>
      <c r="F48" s="10"/>
      <c r="G48" s="10"/>
      <c r="H48" s="10"/>
      <c r="I48" s="10"/>
      <c r="J48" s="10"/>
      <c r="K48" s="10"/>
      <c r="L48" s="10"/>
      <c r="M48" s="7"/>
      <c r="N48" s="2" t="s">
        <v>73</v>
      </c>
      <c r="O48" s="2" t="s">
        <v>47</v>
      </c>
      <c r="P48" s="2" t="s">
        <v>47</v>
      </c>
      <c r="Q48" s="2" t="s">
        <v>48</v>
      </c>
      <c r="R48" s="2" t="s">
        <v>51</v>
      </c>
      <c r="S48" s="2" t="s">
        <v>50</v>
      </c>
      <c r="T48" s="2" t="s">
        <v>50</v>
      </c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2" t="s">
        <v>47</v>
      </c>
      <c r="AS48" s="2" t="s">
        <v>47</v>
      </c>
      <c r="AT48" s="3"/>
      <c r="AU48" s="2" t="s">
        <v>74</v>
      </c>
      <c r="AV48" s="3">
        <v>14</v>
      </c>
    </row>
    <row r="49" spans="1:48" ht="30" customHeight="1" x14ac:dyDescent="0.3">
      <c r="A49" s="7" t="e">
        <f>#REF!</f>
        <v>#REF!</v>
      </c>
      <c r="B49" s="7" t="e">
        <f>#REF!</f>
        <v>#REF!</v>
      </c>
      <c r="C49" s="27" t="e">
        <f>#REF!</f>
        <v>#REF!</v>
      </c>
      <c r="D49" s="60">
        <f>수량산출서!F47</f>
        <v>42</v>
      </c>
      <c r="E49" s="10"/>
      <c r="F49" s="10"/>
      <c r="G49" s="10"/>
      <c r="H49" s="10"/>
      <c r="I49" s="10"/>
      <c r="J49" s="10"/>
      <c r="K49" s="10"/>
      <c r="L49" s="10"/>
      <c r="M49" s="7" t="s">
        <v>358</v>
      </c>
      <c r="N49" s="2" t="s">
        <v>73</v>
      </c>
      <c r="O49" s="2" t="s">
        <v>47</v>
      </c>
      <c r="P49" s="2" t="s">
        <v>47</v>
      </c>
      <c r="Q49" s="2" t="s">
        <v>48</v>
      </c>
      <c r="R49" s="2" t="s">
        <v>51</v>
      </c>
      <c r="S49" s="2" t="s">
        <v>50</v>
      </c>
      <c r="T49" s="2" t="s">
        <v>50</v>
      </c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2" t="s">
        <v>47</v>
      </c>
      <c r="AS49" s="2" t="s">
        <v>47</v>
      </c>
      <c r="AT49" s="3"/>
      <c r="AU49" s="2" t="s">
        <v>74</v>
      </c>
      <c r="AV49" s="3">
        <v>14</v>
      </c>
    </row>
    <row r="50" spans="1:48" ht="30" customHeight="1" x14ac:dyDescent="0.3">
      <c r="A50" s="7" t="s">
        <v>206</v>
      </c>
      <c r="B50" s="7"/>
      <c r="C50" s="27"/>
      <c r="D50" s="60"/>
      <c r="E50" s="10"/>
      <c r="F50" s="10">
        <f>SUM(F49)</f>
        <v>0</v>
      </c>
      <c r="G50" s="10"/>
      <c r="H50" s="10">
        <f>SUM(H49)</f>
        <v>0</v>
      </c>
      <c r="I50" s="10"/>
      <c r="J50" s="10">
        <f>SUM(J49)</f>
        <v>0</v>
      </c>
      <c r="K50" s="10"/>
      <c r="L50" s="10">
        <f>SUM(L49)</f>
        <v>0</v>
      </c>
      <c r="M50" s="7"/>
      <c r="N50" s="2" t="s">
        <v>78</v>
      </c>
      <c r="O50" s="2" t="s">
        <v>47</v>
      </c>
      <c r="P50" s="2" t="s">
        <v>47</v>
      </c>
      <c r="Q50" s="2" t="s">
        <v>48</v>
      </c>
      <c r="R50" s="2" t="s">
        <v>50</v>
      </c>
      <c r="S50" s="2" t="s">
        <v>50</v>
      </c>
      <c r="T50" s="2" t="s">
        <v>51</v>
      </c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2" t="s">
        <v>47</v>
      </c>
      <c r="AS50" s="2" t="s">
        <v>47</v>
      </c>
      <c r="AT50" s="3"/>
      <c r="AU50" s="2" t="s">
        <v>79</v>
      </c>
      <c r="AV50" s="3">
        <v>19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" type="noConversion"/>
  <pageMargins left="0.78740157480314954" right="0" top="0.39370078740157477" bottom="0.39370078740157477" header="0" footer="0"/>
  <pageSetup paperSize="9" scale="63" fitToHeight="0" orientation="landscape" r:id="rId1"/>
  <rowBreaks count="1" manualBreakCount="1"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9F621-1E5A-4382-8778-4232EF8C4550}">
  <dimension ref="A1:H50"/>
  <sheetViews>
    <sheetView view="pageBreakPreview" topLeftCell="A16" zoomScale="85" zoomScaleNormal="100" zoomScaleSheetLayoutView="85" workbookViewId="0">
      <selection activeCell="A5" sqref="A5"/>
    </sheetView>
  </sheetViews>
  <sheetFormatPr defaultColWidth="6.375" defaultRowHeight="22.5" customHeight="1" x14ac:dyDescent="0.3"/>
  <cols>
    <col min="1" max="1" width="15" style="24" customWidth="1"/>
    <col min="2" max="3" width="27.625" style="24" customWidth="1"/>
    <col min="4" max="4" width="8.5" style="25" customWidth="1"/>
    <col min="5" max="5" width="28.375" style="24" customWidth="1"/>
    <col min="6" max="6" width="7.875" style="25" customWidth="1"/>
    <col min="7" max="7" width="10" style="24" customWidth="1"/>
    <col min="8" max="8" width="59.75" style="23" hidden="1" customWidth="1"/>
    <col min="9" max="10" width="6.375" style="23" customWidth="1"/>
    <col min="11" max="253" width="6.375" style="23"/>
    <col min="254" max="255" width="21.375" style="23" customWidth="1"/>
    <col min="256" max="256" width="6.375" style="23"/>
    <col min="257" max="257" width="13.875" style="23" customWidth="1"/>
    <col min="258" max="259" width="21.375" style="23" customWidth="1"/>
    <col min="260" max="260" width="6.375" style="23"/>
    <col min="261" max="261" width="19.25" style="23" customWidth="1"/>
    <col min="262" max="262" width="6.375" style="23"/>
    <col min="263" max="263" width="8.625" style="23" customWidth="1"/>
    <col min="264" max="509" width="6.375" style="23"/>
    <col min="510" max="511" width="21.375" style="23" customWidth="1"/>
    <col min="512" max="512" width="6.375" style="23"/>
    <col min="513" max="513" width="13.875" style="23" customWidth="1"/>
    <col min="514" max="515" width="21.375" style="23" customWidth="1"/>
    <col min="516" max="516" width="6.375" style="23"/>
    <col min="517" max="517" width="19.25" style="23" customWidth="1"/>
    <col min="518" max="518" width="6.375" style="23"/>
    <col min="519" max="519" width="8.625" style="23" customWidth="1"/>
    <col min="520" max="765" width="6.375" style="23"/>
    <col min="766" max="767" width="21.375" style="23" customWidth="1"/>
    <col min="768" max="768" width="6.375" style="23"/>
    <col min="769" max="769" width="13.875" style="23" customWidth="1"/>
    <col min="770" max="771" width="21.375" style="23" customWidth="1"/>
    <col min="772" max="772" width="6.375" style="23"/>
    <col min="773" max="773" width="19.25" style="23" customWidth="1"/>
    <col min="774" max="774" width="6.375" style="23"/>
    <col min="775" max="775" width="8.625" style="23" customWidth="1"/>
    <col min="776" max="1021" width="6.375" style="23"/>
    <col min="1022" max="1023" width="21.375" style="23" customWidth="1"/>
    <col min="1024" max="1024" width="6.375" style="23"/>
    <col min="1025" max="1025" width="13.875" style="23" customWidth="1"/>
    <col min="1026" max="1027" width="21.375" style="23" customWidth="1"/>
    <col min="1028" max="1028" width="6.375" style="23"/>
    <col min="1029" max="1029" width="19.25" style="23" customWidth="1"/>
    <col min="1030" max="1030" width="6.375" style="23"/>
    <col min="1031" max="1031" width="8.625" style="23" customWidth="1"/>
    <col min="1032" max="1277" width="6.375" style="23"/>
    <col min="1278" max="1279" width="21.375" style="23" customWidth="1"/>
    <col min="1280" max="1280" width="6.375" style="23"/>
    <col min="1281" max="1281" width="13.875" style="23" customWidth="1"/>
    <col min="1282" max="1283" width="21.375" style="23" customWidth="1"/>
    <col min="1284" max="1284" width="6.375" style="23"/>
    <col min="1285" max="1285" width="19.25" style="23" customWidth="1"/>
    <col min="1286" max="1286" width="6.375" style="23"/>
    <col min="1287" max="1287" width="8.625" style="23" customWidth="1"/>
    <col min="1288" max="1533" width="6.375" style="23"/>
    <col min="1534" max="1535" width="21.375" style="23" customWidth="1"/>
    <col min="1536" max="1536" width="6.375" style="23"/>
    <col min="1537" max="1537" width="13.875" style="23" customWidth="1"/>
    <col min="1538" max="1539" width="21.375" style="23" customWidth="1"/>
    <col min="1540" max="1540" width="6.375" style="23"/>
    <col min="1541" max="1541" width="19.25" style="23" customWidth="1"/>
    <col min="1542" max="1542" width="6.375" style="23"/>
    <col min="1543" max="1543" width="8.625" style="23" customWidth="1"/>
    <col min="1544" max="1789" width="6.375" style="23"/>
    <col min="1790" max="1791" width="21.375" style="23" customWidth="1"/>
    <col min="1792" max="1792" width="6.375" style="23"/>
    <col min="1793" max="1793" width="13.875" style="23" customWidth="1"/>
    <col min="1794" max="1795" width="21.375" style="23" customWidth="1"/>
    <col min="1796" max="1796" width="6.375" style="23"/>
    <col min="1797" max="1797" width="19.25" style="23" customWidth="1"/>
    <col min="1798" max="1798" width="6.375" style="23"/>
    <col min="1799" max="1799" width="8.625" style="23" customWidth="1"/>
    <col min="1800" max="2045" width="6.375" style="23"/>
    <col min="2046" max="2047" width="21.375" style="23" customWidth="1"/>
    <col min="2048" max="2048" width="6.375" style="23"/>
    <col min="2049" max="2049" width="13.875" style="23" customWidth="1"/>
    <col min="2050" max="2051" width="21.375" style="23" customWidth="1"/>
    <col min="2052" max="2052" width="6.375" style="23"/>
    <col min="2053" max="2053" width="19.25" style="23" customWidth="1"/>
    <col min="2054" max="2054" width="6.375" style="23"/>
    <col min="2055" max="2055" width="8.625" style="23" customWidth="1"/>
    <col min="2056" max="2301" width="6.375" style="23"/>
    <col min="2302" max="2303" width="21.375" style="23" customWidth="1"/>
    <col min="2304" max="2304" width="6.375" style="23"/>
    <col min="2305" max="2305" width="13.875" style="23" customWidth="1"/>
    <col min="2306" max="2307" width="21.375" style="23" customWidth="1"/>
    <col min="2308" max="2308" width="6.375" style="23"/>
    <col min="2309" max="2309" width="19.25" style="23" customWidth="1"/>
    <col min="2310" max="2310" width="6.375" style="23"/>
    <col min="2311" max="2311" width="8.625" style="23" customWidth="1"/>
    <col min="2312" max="2557" width="6.375" style="23"/>
    <col min="2558" max="2559" width="21.375" style="23" customWidth="1"/>
    <col min="2560" max="2560" width="6.375" style="23"/>
    <col min="2561" max="2561" width="13.875" style="23" customWidth="1"/>
    <col min="2562" max="2563" width="21.375" style="23" customWidth="1"/>
    <col min="2564" max="2564" width="6.375" style="23"/>
    <col min="2565" max="2565" width="19.25" style="23" customWidth="1"/>
    <col min="2566" max="2566" width="6.375" style="23"/>
    <col min="2567" max="2567" width="8.625" style="23" customWidth="1"/>
    <col min="2568" max="2813" width="6.375" style="23"/>
    <col min="2814" max="2815" width="21.375" style="23" customWidth="1"/>
    <col min="2816" max="2816" width="6.375" style="23"/>
    <col min="2817" max="2817" width="13.875" style="23" customWidth="1"/>
    <col min="2818" max="2819" width="21.375" style="23" customWidth="1"/>
    <col min="2820" max="2820" width="6.375" style="23"/>
    <col min="2821" max="2821" width="19.25" style="23" customWidth="1"/>
    <col min="2822" max="2822" width="6.375" style="23"/>
    <col min="2823" max="2823" width="8.625" style="23" customWidth="1"/>
    <col min="2824" max="3069" width="6.375" style="23"/>
    <col min="3070" max="3071" width="21.375" style="23" customWidth="1"/>
    <col min="3072" max="3072" width="6.375" style="23"/>
    <col min="3073" max="3073" width="13.875" style="23" customWidth="1"/>
    <col min="3074" max="3075" width="21.375" style="23" customWidth="1"/>
    <col min="3076" max="3076" width="6.375" style="23"/>
    <col min="3077" max="3077" width="19.25" style="23" customWidth="1"/>
    <col min="3078" max="3078" width="6.375" style="23"/>
    <col min="3079" max="3079" width="8.625" style="23" customWidth="1"/>
    <col min="3080" max="3325" width="6.375" style="23"/>
    <col min="3326" max="3327" width="21.375" style="23" customWidth="1"/>
    <col min="3328" max="3328" width="6.375" style="23"/>
    <col min="3329" max="3329" width="13.875" style="23" customWidth="1"/>
    <col min="3330" max="3331" width="21.375" style="23" customWidth="1"/>
    <col min="3332" max="3332" width="6.375" style="23"/>
    <col min="3333" max="3333" width="19.25" style="23" customWidth="1"/>
    <col min="3334" max="3334" width="6.375" style="23"/>
    <col min="3335" max="3335" width="8.625" style="23" customWidth="1"/>
    <col min="3336" max="3581" width="6.375" style="23"/>
    <col min="3582" max="3583" width="21.375" style="23" customWidth="1"/>
    <col min="3584" max="3584" width="6.375" style="23"/>
    <col min="3585" max="3585" width="13.875" style="23" customWidth="1"/>
    <col min="3586" max="3587" width="21.375" style="23" customWidth="1"/>
    <col min="3588" max="3588" width="6.375" style="23"/>
    <col min="3589" max="3589" width="19.25" style="23" customWidth="1"/>
    <col min="3590" max="3590" width="6.375" style="23"/>
    <col min="3591" max="3591" width="8.625" style="23" customWidth="1"/>
    <col min="3592" max="3837" width="6.375" style="23"/>
    <col min="3838" max="3839" width="21.375" style="23" customWidth="1"/>
    <col min="3840" max="3840" width="6.375" style="23"/>
    <col min="3841" max="3841" width="13.875" style="23" customWidth="1"/>
    <col min="3842" max="3843" width="21.375" style="23" customWidth="1"/>
    <col min="3844" max="3844" width="6.375" style="23"/>
    <col min="3845" max="3845" width="19.25" style="23" customWidth="1"/>
    <col min="3846" max="3846" width="6.375" style="23"/>
    <col min="3847" max="3847" width="8.625" style="23" customWidth="1"/>
    <col min="3848" max="4093" width="6.375" style="23"/>
    <col min="4094" max="4095" width="21.375" style="23" customWidth="1"/>
    <col min="4096" max="4096" width="6.375" style="23"/>
    <col min="4097" max="4097" width="13.875" style="23" customWidth="1"/>
    <col min="4098" max="4099" width="21.375" style="23" customWidth="1"/>
    <col min="4100" max="4100" width="6.375" style="23"/>
    <col min="4101" max="4101" width="19.25" style="23" customWidth="1"/>
    <col min="4102" max="4102" width="6.375" style="23"/>
    <col min="4103" max="4103" width="8.625" style="23" customWidth="1"/>
    <col min="4104" max="4349" width="6.375" style="23"/>
    <col min="4350" max="4351" width="21.375" style="23" customWidth="1"/>
    <col min="4352" max="4352" width="6.375" style="23"/>
    <col min="4353" max="4353" width="13.875" style="23" customWidth="1"/>
    <col min="4354" max="4355" width="21.375" style="23" customWidth="1"/>
    <col min="4356" max="4356" width="6.375" style="23"/>
    <col min="4357" max="4357" width="19.25" style="23" customWidth="1"/>
    <col min="4358" max="4358" width="6.375" style="23"/>
    <col min="4359" max="4359" width="8.625" style="23" customWidth="1"/>
    <col min="4360" max="4605" width="6.375" style="23"/>
    <col min="4606" max="4607" width="21.375" style="23" customWidth="1"/>
    <col min="4608" max="4608" width="6.375" style="23"/>
    <col min="4609" max="4609" width="13.875" style="23" customWidth="1"/>
    <col min="4610" max="4611" width="21.375" style="23" customWidth="1"/>
    <col min="4612" max="4612" width="6.375" style="23"/>
    <col min="4613" max="4613" width="19.25" style="23" customWidth="1"/>
    <col min="4614" max="4614" width="6.375" style="23"/>
    <col min="4615" max="4615" width="8.625" style="23" customWidth="1"/>
    <col min="4616" max="4861" width="6.375" style="23"/>
    <col min="4862" max="4863" width="21.375" style="23" customWidth="1"/>
    <col min="4864" max="4864" width="6.375" style="23"/>
    <col min="4865" max="4865" width="13.875" style="23" customWidth="1"/>
    <col min="4866" max="4867" width="21.375" style="23" customWidth="1"/>
    <col min="4868" max="4868" width="6.375" style="23"/>
    <col min="4869" max="4869" width="19.25" style="23" customWidth="1"/>
    <col min="4870" max="4870" width="6.375" style="23"/>
    <col min="4871" max="4871" width="8.625" style="23" customWidth="1"/>
    <col min="4872" max="5117" width="6.375" style="23"/>
    <col min="5118" max="5119" width="21.375" style="23" customWidth="1"/>
    <col min="5120" max="5120" width="6.375" style="23"/>
    <col min="5121" max="5121" width="13.875" style="23" customWidth="1"/>
    <col min="5122" max="5123" width="21.375" style="23" customWidth="1"/>
    <col min="5124" max="5124" width="6.375" style="23"/>
    <col min="5125" max="5125" width="19.25" style="23" customWidth="1"/>
    <col min="5126" max="5126" width="6.375" style="23"/>
    <col min="5127" max="5127" width="8.625" style="23" customWidth="1"/>
    <col min="5128" max="5373" width="6.375" style="23"/>
    <col min="5374" max="5375" width="21.375" style="23" customWidth="1"/>
    <col min="5376" max="5376" width="6.375" style="23"/>
    <col min="5377" max="5377" width="13.875" style="23" customWidth="1"/>
    <col min="5378" max="5379" width="21.375" style="23" customWidth="1"/>
    <col min="5380" max="5380" width="6.375" style="23"/>
    <col min="5381" max="5381" width="19.25" style="23" customWidth="1"/>
    <col min="5382" max="5382" width="6.375" style="23"/>
    <col min="5383" max="5383" width="8.625" style="23" customWidth="1"/>
    <col min="5384" max="5629" width="6.375" style="23"/>
    <col min="5630" max="5631" width="21.375" style="23" customWidth="1"/>
    <col min="5632" max="5632" width="6.375" style="23"/>
    <col min="5633" max="5633" width="13.875" style="23" customWidth="1"/>
    <col min="5634" max="5635" width="21.375" style="23" customWidth="1"/>
    <col min="5636" max="5636" width="6.375" style="23"/>
    <col min="5637" max="5637" width="19.25" style="23" customWidth="1"/>
    <col min="5638" max="5638" width="6.375" style="23"/>
    <col min="5639" max="5639" width="8.625" style="23" customWidth="1"/>
    <col min="5640" max="5885" width="6.375" style="23"/>
    <col min="5886" max="5887" width="21.375" style="23" customWidth="1"/>
    <col min="5888" max="5888" width="6.375" style="23"/>
    <col min="5889" max="5889" width="13.875" style="23" customWidth="1"/>
    <col min="5890" max="5891" width="21.375" style="23" customWidth="1"/>
    <col min="5892" max="5892" width="6.375" style="23"/>
    <col min="5893" max="5893" width="19.25" style="23" customWidth="1"/>
    <col min="5894" max="5894" width="6.375" style="23"/>
    <col min="5895" max="5895" width="8.625" style="23" customWidth="1"/>
    <col min="5896" max="6141" width="6.375" style="23"/>
    <col min="6142" max="6143" width="21.375" style="23" customWidth="1"/>
    <col min="6144" max="6144" width="6.375" style="23"/>
    <col min="6145" max="6145" width="13.875" style="23" customWidth="1"/>
    <col min="6146" max="6147" width="21.375" style="23" customWidth="1"/>
    <col min="6148" max="6148" width="6.375" style="23"/>
    <col min="6149" max="6149" width="19.25" style="23" customWidth="1"/>
    <col min="6150" max="6150" width="6.375" style="23"/>
    <col min="6151" max="6151" width="8.625" style="23" customWidth="1"/>
    <col min="6152" max="6397" width="6.375" style="23"/>
    <col min="6398" max="6399" width="21.375" style="23" customWidth="1"/>
    <col min="6400" max="6400" width="6.375" style="23"/>
    <col min="6401" max="6401" width="13.875" style="23" customWidth="1"/>
    <col min="6402" max="6403" width="21.375" style="23" customWidth="1"/>
    <col min="6404" max="6404" width="6.375" style="23"/>
    <col min="6405" max="6405" width="19.25" style="23" customWidth="1"/>
    <col min="6406" max="6406" width="6.375" style="23"/>
    <col min="6407" max="6407" width="8.625" style="23" customWidth="1"/>
    <col min="6408" max="6653" width="6.375" style="23"/>
    <col min="6654" max="6655" width="21.375" style="23" customWidth="1"/>
    <col min="6656" max="6656" width="6.375" style="23"/>
    <col min="6657" max="6657" width="13.875" style="23" customWidth="1"/>
    <col min="6658" max="6659" width="21.375" style="23" customWidth="1"/>
    <col min="6660" max="6660" width="6.375" style="23"/>
    <col min="6661" max="6661" width="19.25" style="23" customWidth="1"/>
    <col min="6662" max="6662" width="6.375" style="23"/>
    <col min="6663" max="6663" width="8.625" style="23" customWidth="1"/>
    <col min="6664" max="6909" width="6.375" style="23"/>
    <col min="6910" max="6911" width="21.375" style="23" customWidth="1"/>
    <col min="6912" max="6912" width="6.375" style="23"/>
    <col min="6913" max="6913" width="13.875" style="23" customWidth="1"/>
    <col min="6914" max="6915" width="21.375" style="23" customWidth="1"/>
    <col min="6916" max="6916" width="6.375" style="23"/>
    <col min="6917" max="6917" width="19.25" style="23" customWidth="1"/>
    <col min="6918" max="6918" width="6.375" style="23"/>
    <col min="6919" max="6919" width="8.625" style="23" customWidth="1"/>
    <col min="6920" max="7165" width="6.375" style="23"/>
    <col min="7166" max="7167" width="21.375" style="23" customWidth="1"/>
    <col min="7168" max="7168" width="6.375" style="23"/>
    <col min="7169" max="7169" width="13.875" style="23" customWidth="1"/>
    <col min="7170" max="7171" width="21.375" style="23" customWidth="1"/>
    <col min="7172" max="7172" width="6.375" style="23"/>
    <col min="7173" max="7173" width="19.25" style="23" customWidth="1"/>
    <col min="7174" max="7174" width="6.375" style="23"/>
    <col min="7175" max="7175" width="8.625" style="23" customWidth="1"/>
    <col min="7176" max="7421" width="6.375" style="23"/>
    <col min="7422" max="7423" width="21.375" style="23" customWidth="1"/>
    <col min="7424" max="7424" width="6.375" style="23"/>
    <col min="7425" max="7425" width="13.875" style="23" customWidth="1"/>
    <col min="7426" max="7427" width="21.375" style="23" customWidth="1"/>
    <col min="7428" max="7428" width="6.375" style="23"/>
    <col min="7429" max="7429" width="19.25" style="23" customWidth="1"/>
    <col min="7430" max="7430" width="6.375" style="23"/>
    <col min="7431" max="7431" width="8.625" style="23" customWidth="1"/>
    <col min="7432" max="7677" width="6.375" style="23"/>
    <col min="7678" max="7679" width="21.375" style="23" customWidth="1"/>
    <col min="7680" max="7680" width="6.375" style="23"/>
    <col min="7681" max="7681" width="13.875" style="23" customWidth="1"/>
    <col min="7682" max="7683" width="21.375" style="23" customWidth="1"/>
    <col min="7684" max="7684" width="6.375" style="23"/>
    <col min="7685" max="7685" width="19.25" style="23" customWidth="1"/>
    <col min="7686" max="7686" width="6.375" style="23"/>
    <col min="7687" max="7687" width="8.625" style="23" customWidth="1"/>
    <col min="7688" max="7933" width="6.375" style="23"/>
    <col min="7934" max="7935" width="21.375" style="23" customWidth="1"/>
    <col min="7936" max="7936" width="6.375" style="23"/>
    <col min="7937" max="7937" width="13.875" style="23" customWidth="1"/>
    <col min="7938" max="7939" width="21.375" style="23" customWidth="1"/>
    <col min="7940" max="7940" width="6.375" style="23"/>
    <col min="7941" max="7941" width="19.25" style="23" customWidth="1"/>
    <col min="7942" max="7942" width="6.375" style="23"/>
    <col min="7943" max="7943" width="8.625" style="23" customWidth="1"/>
    <col min="7944" max="8189" width="6.375" style="23"/>
    <col min="8190" max="8191" width="21.375" style="23" customWidth="1"/>
    <col min="8192" max="8192" width="6.375" style="23"/>
    <col min="8193" max="8193" width="13.875" style="23" customWidth="1"/>
    <col min="8194" max="8195" width="21.375" style="23" customWidth="1"/>
    <col min="8196" max="8196" width="6.375" style="23"/>
    <col min="8197" max="8197" width="19.25" style="23" customWidth="1"/>
    <col min="8198" max="8198" width="6.375" style="23"/>
    <col min="8199" max="8199" width="8.625" style="23" customWidth="1"/>
    <col min="8200" max="8445" width="6.375" style="23"/>
    <col min="8446" max="8447" width="21.375" style="23" customWidth="1"/>
    <col min="8448" max="8448" width="6.375" style="23"/>
    <col min="8449" max="8449" width="13.875" style="23" customWidth="1"/>
    <col min="8450" max="8451" width="21.375" style="23" customWidth="1"/>
    <col min="8452" max="8452" width="6.375" style="23"/>
    <col min="8453" max="8453" width="19.25" style="23" customWidth="1"/>
    <col min="8454" max="8454" width="6.375" style="23"/>
    <col min="8455" max="8455" width="8.625" style="23" customWidth="1"/>
    <col min="8456" max="8701" width="6.375" style="23"/>
    <col min="8702" max="8703" width="21.375" style="23" customWidth="1"/>
    <col min="8704" max="8704" width="6.375" style="23"/>
    <col min="8705" max="8705" width="13.875" style="23" customWidth="1"/>
    <col min="8706" max="8707" width="21.375" style="23" customWidth="1"/>
    <col min="8708" max="8708" width="6.375" style="23"/>
    <col min="8709" max="8709" width="19.25" style="23" customWidth="1"/>
    <col min="8710" max="8710" width="6.375" style="23"/>
    <col min="8711" max="8711" width="8.625" style="23" customWidth="1"/>
    <col min="8712" max="8957" width="6.375" style="23"/>
    <col min="8958" max="8959" width="21.375" style="23" customWidth="1"/>
    <col min="8960" max="8960" width="6.375" style="23"/>
    <col min="8961" max="8961" width="13.875" style="23" customWidth="1"/>
    <col min="8962" max="8963" width="21.375" style="23" customWidth="1"/>
    <col min="8964" max="8964" width="6.375" style="23"/>
    <col min="8965" max="8965" width="19.25" style="23" customWidth="1"/>
    <col min="8966" max="8966" width="6.375" style="23"/>
    <col min="8967" max="8967" width="8.625" style="23" customWidth="1"/>
    <col min="8968" max="9213" width="6.375" style="23"/>
    <col min="9214" max="9215" width="21.375" style="23" customWidth="1"/>
    <col min="9216" max="9216" width="6.375" style="23"/>
    <col min="9217" max="9217" width="13.875" style="23" customWidth="1"/>
    <col min="9218" max="9219" width="21.375" style="23" customWidth="1"/>
    <col min="9220" max="9220" width="6.375" style="23"/>
    <col min="9221" max="9221" width="19.25" style="23" customWidth="1"/>
    <col min="9222" max="9222" width="6.375" style="23"/>
    <col min="9223" max="9223" width="8.625" style="23" customWidth="1"/>
    <col min="9224" max="9469" width="6.375" style="23"/>
    <col min="9470" max="9471" width="21.375" style="23" customWidth="1"/>
    <col min="9472" max="9472" width="6.375" style="23"/>
    <col min="9473" max="9473" width="13.875" style="23" customWidth="1"/>
    <col min="9474" max="9475" width="21.375" style="23" customWidth="1"/>
    <col min="9476" max="9476" width="6.375" style="23"/>
    <col min="9477" max="9477" width="19.25" style="23" customWidth="1"/>
    <col min="9478" max="9478" width="6.375" style="23"/>
    <col min="9479" max="9479" width="8.625" style="23" customWidth="1"/>
    <col min="9480" max="9725" width="6.375" style="23"/>
    <col min="9726" max="9727" width="21.375" style="23" customWidth="1"/>
    <col min="9728" max="9728" width="6.375" style="23"/>
    <col min="9729" max="9729" width="13.875" style="23" customWidth="1"/>
    <col min="9730" max="9731" width="21.375" style="23" customWidth="1"/>
    <col min="9732" max="9732" width="6.375" style="23"/>
    <col min="9733" max="9733" width="19.25" style="23" customWidth="1"/>
    <col min="9734" max="9734" width="6.375" style="23"/>
    <col min="9735" max="9735" width="8.625" style="23" customWidth="1"/>
    <col min="9736" max="9981" width="6.375" style="23"/>
    <col min="9982" max="9983" width="21.375" style="23" customWidth="1"/>
    <col min="9984" max="9984" width="6.375" style="23"/>
    <col min="9985" max="9985" width="13.875" style="23" customWidth="1"/>
    <col min="9986" max="9987" width="21.375" style="23" customWidth="1"/>
    <col min="9988" max="9988" width="6.375" style="23"/>
    <col min="9989" max="9989" width="19.25" style="23" customWidth="1"/>
    <col min="9990" max="9990" width="6.375" style="23"/>
    <col min="9991" max="9991" width="8.625" style="23" customWidth="1"/>
    <col min="9992" max="10237" width="6.375" style="23"/>
    <col min="10238" max="10239" width="21.375" style="23" customWidth="1"/>
    <col min="10240" max="10240" width="6.375" style="23"/>
    <col min="10241" max="10241" width="13.875" style="23" customWidth="1"/>
    <col min="10242" max="10243" width="21.375" style="23" customWidth="1"/>
    <col min="10244" max="10244" width="6.375" style="23"/>
    <col min="10245" max="10245" width="19.25" style="23" customWidth="1"/>
    <col min="10246" max="10246" width="6.375" style="23"/>
    <col min="10247" max="10247" width="8.625" style="23" customWidth="1"/>
    <col min="10248" max="10493" width="6.375" style="23"/>
    <col min="10494" max="10495" width="21.375" style="23" customWidth="1"/>
    <col min="10496" max="10496" width="6.375" style="23"/>
    <col min="10497" max="10497" width="13.875" style="23" customWidth="1"/>
    <col min="10498" max="10499" width="21.375" style="23" customWidth="1"/>
    <col min="10500" max="10500" width="6.375" style="23"/>
    <col min="10501" max="10501" width="19.25" style="23" customWidth="1"/>
    <col min="10502" max="10502" width="6.375" style="23"/>
    <col min="10503" max="10503" width="8.625" style="23" customWidth="1"/>
    <col min="10504" max="10749" width="6.375" style="23"/>
    <col min="10750" max="10751" width="21.375" style="23" customWidth="1"/>
    <col min="10752" max="10752" width="6.375" style="23"/>
    <col min="10753" max="10753" width="13.875" style="23" customWidth="1"/>
    <col min="10754" max="10755" width="21.375" style="23" customWidth="1"/>
    <col min="10756" max="10756" width="6.375" style="23"/>
    <col min="10757" max="10757" width="19.25" style="23" customWidth="1"/>
    <col min="10758" max="10758" width="6.375" style="23"/>
    <col min="10759" max="10759" width="8.625" style="23" customWidth="1"/>
    <col min="10760" max="11005" width="6.375" style="23"/>
    <col min="11006" max="11007" width="21.375" style="23" customWidth="1"/>
    <col min="11008" max="11008" width="6.375" style="23"/>
    <col min="11009" max="11009" width="13.875" style="23" customWidth="1"/>
    <col min="11010" max="11011" width="21.375" style="23" customWidth="1"/>
    <col min="11012" max="11012" width="6.375" style="23"/>
    <col min="11013" max="11013" width="19.25" style="23" customWidth="1"/>
    <col min="11014" max="11014" width="6.375" style="23"/>
    <col min="11015" max="11015" width="8.625" style="23" customWidth="1"/>
    <col min="11016" max="11261" width="6.375" style="23"/>
    <col min="11262" max="11263" width="21.375" style="23" customWidth="1"/>
    <col min="11264" max="11264" width="6.375" style="23"/>
    <col min="11265" max="11265" width="13.875" style="23" customWidth="1"/>
    <col min="11266" max="11267" width="21.375" style="23" customWidth="1"/>
    <col min="11268" max="11268" width="6.375" style="23"/>
    <col min="11269" max="11269" width="19.25" style="23" customWidth="1"/>
    <col min="11270" max="11270" width="6.375" style="23"/>
    <col min="11271" max="11271" width="8.625" style="23" customWidth="1"/>
    <col min="11272" max="11517" width="6.375" style="23"/>
    <col min="11518" max="11519" width="21.375" style="23" customWidth="1"/>
    <col min="11520" max="11520" width="6.375" style="23"/>
    <col min="11521" max="11521" width="13.875" style="23" customWidth="1"/>
    <col min="11522" max="11523" width="21.375" style="23" customWidth="1"/>
    <col min="11524" max="11524" width="6.375" style="23"/>
    <col min="11525" max="11525" width="19.25" style="23" customWidth="1"/>
    <col min="11526" max="11526" width="6.375" style="23"/>
    <col min="11527" max="11527" width="8.625" style="23" customWidth="1"/>
    <col min="11528" max="11773" width="6.375" style="23"/>
    <col min="11774" max="11775" width="21.375" style="23" customWidth="1"/>
    <col min="11776" max="11776" width="6.375" style="23"/>
    <col min="11777" max="11777" width="13.875" style="23" customWidth="1"/>
    <col min="11778" max="11779" width="21.375" style="23" customWidth="1"/>
    <col min="11780" max="11780" width="6.375" style="23"/>
    <col min="11781" max="11781" width="19.25" style="23" customWidth="1"/>
    <col min="11782" max="11782" width="6.375" style="23"/>
    <col min="11783" max="11783" width="8.625" style="23" customWidth="1"/>
    <col min="11784" max="12029" width="6.375" style="23"/>
    <col min="12030" max="12031" width="21.375" style="23" customWidth="1"/>
    <col min="12032" max="12032" width="6.375" style="23"/>
    <col min="12033" max="12033" width="13.875" style="23" customWidth="1"/>
    <col min="12034" max="12035" width="21.375" style="23" customWidth="1"/>
    <col min="12036" max="12036" width="6.375" style="23"/>
    <col min="12037" max="12037" width="19.25" style="23" customWidth="1"/>
    <col min="12038" max="12038" width="6.375" style="23"/>
    <col min="12039" max="12039" width="8.625" style="23" customWidth="1"/>
    <col min="12040" max="12285" width="6.375" style="23"/>
    <col min="12286" max="12287" width="21.375" style="23" customWidth="1"/>
    <col min="12288" max="12288" width="6.375" style="23"/>
    <col min="12289" max="12289" width="13.875" style="23" customWidth="1"/>
    <col min="12290" max="12291" width="21.375" style="23" customWidth="1"/>
    <col min="12292" max="12292" width="6.375" style="23"/>
    <col min="12293" max="12293" width="19.25" style="23" customWidth="1"/>
    <col min="12294" max="12294" width="6.375" style="23"/>
    <col min="12295" max="12295" width="8.625" style="23" customWidth="1"/>
    <col min="12296" max="12541" width="6.375" style="23"/>
    <col min="12542" max="12543" width="21.375" style="23" customWidth="1"/>
    <col min="12544" max="12544" width="6.375" style="23"/>
    <col min="12545" max="12545" width="13.875" style="23" customWidth="1"/>
    <col min="12546" max="12547" width="21.375" style="23" customWidth="1"/>
    <col min="12548" max="12548" width="6.375" style="23"/>
    <col min="12549" max="12549" width="19.25" style="23" customWidth="1"/>
    <col min="12550" max="12550" width="6.375" style="23"/>
    <col min="12551" max="12551" width="8.625" style="23" customWidth="1"/>
    <col min="12552" max="12797" width="6.375" style="23"/>
    <col min="12798" max="12799" width="21.375" style="23" customWidth="1"/>
    <col min="12800" max="12800" width="6.375" style="23"/>
    <col min="12801" max="12801" width="13.875" style="23" customWidth="1"/>
    <col min="12802" max="12803" width="21.375" style="23" customWidth="1"/>
    <col min="12804" max="12804" width="6.375" style="23"/>
    <col min="12805" max="12805" width="19.25" style="23" customWidth="1"/>
    <col min="12806" max="12806" width="6.375" style="23"/>
    <col min="12807" max="12807" width="8.625" style="23" customWidth="1"/>
    <col min="12808" max="13053" width="6.375" style="23"/>
    <col min="13054" max="13055" width="21.375" style="23" customWidth="1"/>
    <col min="13056" max="13056" width="6.375" style="23"/>
    <col min="13057" max="13057" width="13.875" style="23" customWidth="1"/>
    <col min="13058" max="13059" width="21.375" style="23" customWidth="1"/>
    <col min="13060" max="13060" width="6.375" style="23"/>
    <col min="13061" max="13061" width="19.25" style="23" customWidth="1"/>
    <col min="13062" max="13062" width="6.375" style="23"/>
    <col min="13063" max="13063" width="8.625" style="23" customWidth="1"/>
    <col min="13064" max="13309" width="6.375" style="23"/>
    <col min="13310" max="13311" width="21.375" style="23" customWidth="1"/>
    <col min="13312" max="13312" width="6.375" style="23"/>
    <col min="13313" max="13313" width="13.875" style="23" customWidth="1"/>
    <col min="13314" max="13315" width="21.375" style="23" customWidth="1"/>
    <col min="13316" max="13316" width="6.375" style="23"/>
    <col min="13317" max="13317" width="19.25" style="23" customWidth="1"/>
    <col min="13318" max="13318" width="6.375" style="23"/>
    <col min="13319" max="13319" width="8.625" style="23" customWidth="1"/>
    <col min="13320" max="13565" width="6.375" style="23"/>
    <col min="13566" max="13567" width="21.375" style="23" customWidth="1"/>
    <col min="13568" max="13568" width="6.375" style="23"/>
    <col min="13569" max="13569" width="13.875" style="23" customWidth="1"/>
    <col min="13570" max="13571" width="21.375" style="23" customWidth="1"/>
    <col min="13572" max="13572" width="6.375" style="23"/>
    <col min="13573" max="13573" width="19.25" style="23" customWidth="1"/>
    <col min="13574" max="13574" width="6.375" style="23"/>
    <col min="13575" max="13575" width="8.625" style="23" customWidth="1"/>
    <col min="13576" max="13821" width="6.375" style="23"/>
    <col min="13822" max="13823" width="21.375" style="23" customWidth="1"/>
    <col min="13824" max="13824" width="6.375" style="23"/>
    <col min="13825" max="13825" width="13.875" style="23" customWidth="1"/>
    <col min="13826" max="13827" width="21.375" style="23" customWidth="1"/>
    <col min="13828" max="13828" width="6.375" style="23"/>
    <col min="13829" max="13829" width="19.25" style="23" customWidth="1"/>
    <col min="13830" max="13830" width="6.375" style="23"/>
    <col min="13831" max="13831" width="8.625" style="23" customWidth="1"/>
    <col min="13832" max="14077" width="6.375" style="23"/>
    <col min="14078" max="14079" width="21.375" style="23" customWidth="1"/>
    <col min="14080" max="14080" width="6.375" style="23"/>
    <col min="14081" max="14081" width="13.875" style="23" customWidth="1"/>
    <col min="14082" max="14083" width="21.375" style="23" customWidth="1"/>
    <col min="14084" max="14084" width="6.375" style="23"/>
    <col min="14085" max="14085" width="19.25" style="23" customWidth="1"/>
    <col min="14086" max="14086" width="6.375" style="23"/>
    <col min="14087" max="14087" width="8.625" style="23" customWidth="1"/>
    <col min="14088" max="14333" width="6.375" style="23"/>
    <col min="14334" max="14335" width="21.375" style="23" customWidth="1"/>
    <col min="14336" max="14336" width="6.375" style="23"/>
    <col min="14337" max="14337" width="13.875" style="23" customWidth="1"/>
    <col min="14338" max="14339" width="21.375" style="23" customWidth="1"/>
    <col min="14340" max="14340" width="6.375" style="23"/>
    <col min="14341" max="14341" width="19.25" style="23" customWidth="1"/>
    <col min="14342" max="14342" width="6.375" style="23"/>
    <col min="14343" max="14343" width="8.625" style="23" customWidth="1"/>
    <col min="14344" max="14589" width="6.375" style="23"/>
    <col min="14590" max="14591" width="21.375" style="23" customWidth="1"/>
    <col min="14592" max="14592" width="6.375" style="23"/>
    <col min="14593" max="14593" width="13.875" style="23" customWidth="1"/>
    <col min="14594" max="14595" width="21.375" style="23" customWidth="1"/>
    <col min="14596" max="14596" width="6.375" style="23"/>
    <col min="14597" max="14597" width="19.25" style="23" customWidth="1"/>
    <col min="14598" max="14598" width="6.375" style="23"/>
    <col min="14599" max="14599" width="8.625" style="23" customWidth="1"/>
    <col min="14600" max="14845" width="6.375" style="23"/>
    <col min="14846" max="14847" width="21.375" style="23" customWidth="1"/>
    <col min="14848" max="14848" width="6.375" style="23"/>
    <col min="14849" max="14849" width="13.875" style="23" customWidth="1"/>
    <col min="14850" max="14851" width="21.375" style="23" customWidth="1"/>
    <col min="14852" max="14852" width="6.375" style="23"/>
    <col min="14853" max="14853" width="19.25" style="23" customWidth="1"/>
    <col min="14854" max="14854" width="6.375" style="23"/>
    <col min="14855" max="14855" width="8.625" style="23" customWidth="1"/>
    <col min="14856" max="15101" width="6.375" style="23"/>
    <col min="15102" max="15103" width="21.375" style="23" customWidth="1"/>
    <col min="15104" max="15104" width="6.375" style="23"/>
    <col min="15105" max="15105" width="13.875" style="23" customWidth="1"/>
    <col min="15106" max="15107" width="21.375" style="23" customWidth="1"/>
    <col min="15108" max="15108" width="6.375" style="23"/>
    <col min="15109" max="15109" width="19.25" style="23" customWidth="1"/>
    <col min="15110" max="15110" width="6.375" style="23"/>
    <col min="15111" max="15111" width="8.625" style="23" customWidth="1"/>
    <col min="15112" max="15357" width="6.375" style="23"/>
    <col min="15358" max="15359" width="21.375" style="23" customWidth="1"/>
    <col min="15360" max="15360" width="6.375" style="23"/>
    <col min="15361" max="15361" width="13.875" style="23" customWidth="1"/>
    <col min="15362" max="15363" width="21.375" style="23" customWidth="1"/>
    <col min="15364" max="15364" width="6.375" style="23"/>
    <col min="15365" max="15365" width="19.25" style="23" customWidth="1"/>
    <col min="15366" max="15366" width="6.375" style="23"/>
    <col min="15367" max="15367" width="8.625" style="23" customWidth="1"/>
    <col min="15368" max="15613" width="6.375" style="23"/>
    <col min="15614" max="15615" width="21.375" style="23" customWidth="1"/>
    <col min="15616" max="15616" width="6.375" style="23"/>
    <col min="15617" max="15617" width="13.875" style="23" customWidth="1"/>
    <col min="15618" max="15619" width="21.375" style="23" customWidth="1"/>
    <col min="15620" max="15620" width="6.375" style="23"/>
    <col min="15621" max="15621" width="19.25" style="23" customWidth="1"/>
    <col min="15622" max="15622" width="6.375" style="23"/>
    <col min="15623" max="15623" width="8.625" style="23" customWidth="1"/>
    <col min="15624" max="15869" width="6.375" style="23"/>
    <col min="15870" max="15871" width="21.375" style="23" customWidth="1"/>
    <col min="15872" max="15872" width="6.375" style="23"/>
    <col min="15873" max="15873" width="13.875" style="23" customWidth="1"/>
    <col min="15874" max="15875" width="21.375" style="23" customWidth="1"/>
    <col min="15876" max="15876" width="6.375" style="23"/>
    <col min="15877" max="15877" width="19.25" style="23" customWidth="1"/>
    <col min="15878" max="15878" width="6.375" style="23"/>
    <col min="15879" max="15879" width="8.625" style="23" customWidth="1"/>
    <col min="15880" max="16125" width="6.375" style="23"/>
    <col min="16126" max="16127" width="21.375" style="23" customWidth="1"/>
    <col min="16128" max="16128" width="6.375" style="23"/>
    <col min="16129" max="16129" width="13.875" style="23" customWidth="1"/>
    <col min="16130" max="16131" width="21.375" style="23" customWidth="1"/>
    <col min="16132" max="16132" width="6.375" style="23"/>
    <col min="16133" max="16133" width="19.25" style="23" customWidth="1"/>
    <col min="16134" max="16134" width="6.375" style="23"/>
    <col min="16135" max="16135" width="8.625" style="23" customWidth="1"/>
    <col min="16136" max="16384" width="6.375" style="23"/>
  </cols>
  <sheetData>
    <row r="1" spans="1:8" ht="26.25" customHeight="1" x14ac:dyDescent="0.3">
      <c r="A1" s="103" t="s">
        <v>190</v>
      </c>
      <c r="B1" s="103"/>
      <c r="C1" s="103"/>
      <c r="D1" s="103"/>
      <c r="E1" s="103"/>
      <c r="F1" s="103"/>
      <c r="G1" s="103"/>
    </row>
    <row r="2" spans="1:8" ht="22.5" customHeight="1" x14ac:dyDescent="0.3">
      <c r="A2" s="101" t="str">
        <f>"공  사  명 : " &amp; 원가계산서!B2</f>
        <v>공  사  명 : 제1공학관 창의공학지원실 노후시설 개선 전기공사</v>
      </c>
      <c r="B2" s="101"/>
      <c r="C2" s="101"/>
      <c r="D2" s="101"/>
      <c r="E2" s="23"/>
      <c r="G2" s="23"/>
    </row>
    <row r="3" spans="1:8" ht="22.5" customHeight="1" x14ac:dyDescent="0.3">
      <c r="A3" s="102" t="str">
        <f>"공  종  명 : 전기공사 _ " &amp; 원가계산서!B2</f>
        <v>공  종  명 : 전기공사 _ 제1공학관 창의공학지원실 노후시설 개선 전기공사</v>
      </c>
      <c r="B3" s="102"/>
      <c r="C3" s="102"/>
      <c r="D3" s="102"/>
      <c r="E3" s="100" t="s">
        <v>173</v>
      </c>
      <c r="F3" s="101"/>
      <c r="G3" s="101"/>
    </row>
    <row r="4" spans="1:8" ht="30" customHeight="1" x14ac:dyDescent="0.3">
      <c r="A4" s="21" t="s">
        <v>83</v>
      </c>
      <c r="B4" s="21" t="s">
        <v>1</v>
      </c>
      <c r="C4" s="21" t="s">
        <v>2</v>
      </c>
      <c r="D4" s="21" t="s">
        <v>176</v>
      </c>
      <c r="E4" s="21" t="s">
        <v>174</v>
      </c>
      <c r="F4" s="21" t="s">
        <v>175</v>
      </c>
      <c r="G4" s="21" t="s">
        <v>11</v>
      </c>
    </row>
    <row r="5" spans="1:8" ht="30" customHeight="1" x14ac:dyDescent="0.3">
      <c r="A5" s="22" t="s">
        <v>177</v>
      </c>
      <c r="B5" s="22" t="str">
        <f>일위대가목록!B4</f>
        <v>금속덕트 철거</v>
      </c>
      <c r="C5" s="22" t="str">
        <f>일위대가목록!C4</f>
        <v>300mm*200mm</v>
      </c>
      <c r="D5" s="21" t="str">
        <f>일위대가목록!D4</f>
        <v>m</v>
      </c>
      <c r="E5" s="22" t="str">
        <f ca="1">RIGHT(H5,(LEN(H5)-1))</f>
        <v>12</v>
      </c>
      <c r="F5" s="71">
        <f>12</f>
        <v>12</v>
      </c>
      <c r="G5" s="22"/>
      <c r="H5" s="23" t="str">
        <f ca="1">_xlfn.FORMULATEXT(F5)</f>
        <v>=12</v>
      </c>
    </row>
    <row r="6" spans="1:8" ht="30" customHeight="1" x14ac:dyDescent="0.3">
      <c r="A6" s="22" t="s">
        <v>178</v>
      </c>
      <c r="B6" s="22" t="str">
        <f>일위대가목록!B5</f>
        <v>금속덕트 철거</v>
      </c>
      <c r="C6" s="22" t="str">
        <f>일위대가목록!C5</f>
        <v>200mm*100mm</v>
      </c>
      <c r="D6" s="21" t="str">
        <f>일위대가목록!D5</f>
        <v>m</v>
      </c>
      <c r="E6" s="22" t="str">
        <f t="shared" ref="E6:E15" ca="1" si="0">RIGHT(H6,(LEN(H6)-1))</f>
        <v>21*3</v>
      </c>
      <c r="F6" s="71">
        <f>21*3</f>
        <v>63</v>
      </c>
      <c r="G6" s="22"/>
      <c r="H6" s="23" t="str">
        <f t="shared" ref="H6:H21" ca="1" si="1">_xlfn.FORMULATEXT(F6)</f>
        <v>=21*3</v>
      </c>
    </row>
    <row r="7" spans="1:8" ht="30" customHeight="1" x14ac:dyDescent="0.3">
      <c r="A7" s="22" t="s">
        <v>179</v>
      </c>
      <c r="B7" s="22" t="str">
        <f>일위대가목록!B6</f>
        <v>강제전선관 철거</v>
      </c>
      <c r="C7" s="22" t="str">
        <f>일위대가목록!C6</f>
        <v>후강전선관, 아연도, 22mm</v>
      </c>
      <c r="D7" s="21" t="str">
        <f>일위대가목록!D6</f>
        <v>m</v>
      </c>
      <c r="E7" s="22" t="str">
        <f t="shared" ca="1" si="0"/>
        <v>3*5+3*3</v>
      </c>
      <c r="F7" s="71">
        <f>3*5+3*3</f>
        <v>24</v>
      </c>
      <c r="G7" s="22"/>
      <c r="H7" s="23" t="str">
        <f t="shared" ca="1" si="1"/>
        <v>=3*5+3*3</v>
      </c>
    </row>
    <row r="8" spans="1:8" ht="30" customHeight="1" x14ac:dyDescent="0.3">
      <c r="A8" s="22" t="s">
        <v>180</v>
      </c>
      <c r="B8" s="22" t="str">
        <f>일위대가목록!B7</f>
        <v>합성수지전선관 철거</v>
      </c>
      <c r="C8" s="22" t="str">
        <f>일위대가목록!C7</f>
        <v>28mm</v>
      </c>
      <c r="D8" s="21" t="str">
        <f>일위대가목록!D7</f>
        <v>m</v>
      </c>
      <c r="E8" s="22" t="str">
        <f t="shared" ca="1" si="0"/>
        <v>5+8+8</v>
      </c>
      <c r="F8" s="71">
        <f>5+8+8</f>
        <v>21</v>
      </c>
      <c r="G8" s="22"/>
      <c r="H8" s="23" t="str">
        <f t="shared" ca="1" si="1"/>
        <v>=5+8+8</v>
      </c>
    </row>
    <row r="9" spans="1:8" ht="30" customHeight="1" x14ac:dyDescent="0.3">
      <c r="A9" s="22" t="s">
        <v>181</v>
      </c>
      <c r="B9" s="22" t="str">
        <f>일위대가목록!B8</f>
        <v>합성수지전선관 철거</v>
      </c>
      <c r="C9" s="22" t="str">
        <f>일위대가목록!C8</f>
        <v>22mm</v>
      </c>
      <c r="D9" s="21" t="str">
        <f>일위대가목록!D8</f>
        <v>m</v>
      </c>
      <c r="E9" s="22" t="str">
        <f t="shared" ca="1" si="0"/>
        <v>8</v>
      </c>
      <c r="F9" s="71">
        <f>8</f>
        <v>8</v>
      </c>
      <c r="G9" s="22"/>
      <c r="H9" s="23" t="str">
        <f t="shared" ca="1" si="1"/>
        <v>=8</v>
      </c>
    </row>
    <row r="10" spans="1:8" ht="30" customHeight="1" x14ac:dyDescent="0.3">
      <c r="A10" s="22" t="s">
        <v>182</v>
      </c>
      <c r="B10" s="22" t="str">
        <f>일위대가목록!B9</f>
        <v>전력케이블 철거</v>
      </c>
      <c r="C10" s="22" t="str">
        <f>일위대가목록!C9</f>
        <v xml:space="preserve">F-CV, 0.6/1kV, 4C 16mm²  </v>
      </c>
      <c r="D10" s="21" t="str">
        <f>일위대가목록!D9</f>
        <v>m</v>
      </c>
      <c r="E10" s="22" t="str">
        <f t="shared" ca="1" si="0"/>
        <v>3+6+15+3</v>
      </c>
      <c r="F10" s="71">
        <f>3+6+15+3</f>
        <v>27</v>
      </c>
      <c r="G10" s="22"/>
      <c r="H10" s="23" t="str">
        <f t="shared" ca="1" si="1"/>
        <v>=3+6+15+3</v>
      </c>
    </row>
    <row r="11" spans="1:8" ht="30" customHeight="1" x14ac:dyDescent="0.3">
      <c r="A11" s="22" t="s">
        <v>183</v>
      </c>
      <c r="B11" s="22" t="str">
        <f>일위대가목록!B10</f>
        <v>전력케이블 철거</v>
      </c>
      <c r="C11" s="22" t="str">
        <f>일위대가목록!C10</f>
        <v xml:space="preserve">F-CV, 0.6/1kV, 4C 10mm²  </v>
      </c>
      <c r="D11" s="21" t="str">
        <f>일위대가목록!D10</f>
        <v>m</v>
      </c>
      <c r="E11" s="22" t="str">
        <f t="shared" ca="1" si="0"/>
        <v>3+6+19+3</v>
      </c>
      <c r="F11" s="71">
        <f>3+6+19+3</f>
        <v>31</v>
      </c>
      <c r="G11" s="22"/>
      <c r="H11" s="23" t="str">
        <f t="shared" ca="1" si="1"/>
        <v>=3+6+19+3</v>
      </c>
    </row>
    <row r="12" spans="1:8" ht="30" customHeight="1" x14ac:dyDescent="0.3">
      <c r="A12" s="22" t="s">
        <v>184</v>
      </c>
      <c r="B12" s="22" t="str">
        <f>일위대가목록!B11</f>
        <v>전력케이블 철거</v>
      </c>
      <c r="C12" s="22" t="str">
        <f>일위대가목록!C11</f>
        <v xml:space="preserve">F-CV, 0.6/1kV, 4C 6mm²  </v>
      </c>
      <c r="D12" s="21" t="str">
        <f>일위대가목록!D11</f>
        <v>m</v>
      </c>
      <c r="E12" s="22" t="str">
        <f t="shared" ca="1" si="0"/>
        <v>(3+15)+(3+15+6+3)+(3+15+21+3)</v>
      </c>
      <c r="F12" s="71">
        <f>(3+15)+(3+15+6+3)+(3+15+21+3)</f>
        <v>87</v>
      </c>
      <c r="G12" s="22"/>
      <c r="H12" s="23" t="str">
        <f t="shared" ca="1" si="1"/>
        <v>=(3+15)+(3+15+6+3)+(3+15+21+3)</v>
      </c>
    </row>
    <row r="13" spans="1:8" ht="33.75" x14ac:dyDescent="0.3">
      <c r="A13" s="22" t="s">
        <v>185</v>
      </c>
      <c r="B13" s="22" t="str">
        <f>일위대가목록!B12</f>
        <v>전력케이블 철거</v>
      </c>
      <c r="C13" s="22" t="str">
        <f>일위대가목록!C12</f>
        <v xml:space="preserve">F-CV, 0.6/1kV, 1C 6mm²  </v>
      </c>
      <c r="D13" s="21" t="str">
        <f>일위대가목록!D12</f>
        <v>m</v>
      </c>
      <c r="E13" s="22" t="str">
        <f t="shared" ca="1" si="0"/>
        <v>(3+12+15+3)*3+(3+12+15+2+3)*3+(3+12+15+3)*3+(3+12+15+3+2+3)*3+(3+12+15+5+2+3)*3</v>
      </c>
      <c r="F13" s="71">
        <f>(3+12+15+3)*3+(3+12+15+2+3)*3+(3+12+15+3)*3+(3+12+15+3+2+3)*3+(3+12+15+5+2+3)*3</f>
        <v>537</v>
      </c>
      <c r="G13" s="22"/>
      <c r="H13" s="23" t="str">
        <f t="shared" ca="1" si="1"/>
        <v>=(3+12+15+3)*3+(3+12+15+2+3)*3+(3+12+15+3)*3+(3+12+15+3+2+3)*3+(3+12+15+5+2+3)*3</v>
      </c>
    </row>
    <row r="14" spans="1:8" ht="30" customHeight="1" x14ac:dyDescent="0.3">
      <c r="A14" s="22" t="s">
        <v>186</v>
      </c>
      <c r="B14" s="22" t="str">
        <f>일위대가목록!B13</f>
        <v>전력케이블 철거</v>
      </c>
      <c r="C14" s="22" t="str">
        <f>일위대가목록!C13</f>
        <v xml:space="preserve">F-CV, 0.6/1kV, 3C 4mm²  </v>
      </c>
      <c r="D14" s="21" t="str">
        <f>일위대가목록!D13</f>
        <v>m</v>
      </c>
      <c r="E14" s="22" t="str">
        <f t="shared" ca="1" si="0"/>
        <v>3+15+16</v>
      </c>
      <c r="F14" s="71">
        <f>3+15+16</f>
        <v>34</v>
      </c>
      <c r="G14" s="22"/>
      <c r="H14" s="23" t="str">
        <f t="shared" ca="1" si="1"/>
        <v>=3+15+16</v>
      </c>
    </row>
    <row r="15" spans="1:8" ht="33.75" x14ac:dyDescent="0.3">
      <c r="A15" s="22" t="s">
        <v>187</v>
      </c>
      <c r="B15" s="22" t="str">
        <f>일위대가목록!B14</f>
        <v>절연전선 철거</v>
      </c>
      <c r="C15" s="22" t="str">
        <f>일위대가목록!C14</f>
        <v xml:space="preserve">HFIX, 450/750V, 6mm²  </v>
      </c>
      <c r="D15" s="21" t="str">
        <f>일위대가목록!D14</f>
        <v>m</v>
      </c>
      <c r="E15" s="22" t="str">
        <f t="shared" ca="1" si="0"/>
        <v>(8+10+12+14+16+18+20+22+24+26)*2+(11+13+15+17+19+21+23+25+27+29)*2+(14+16+18+20+22+24+26+28+30+32)*2</v>
      </c>
      <c r="F15" s="71">
        <f>(8+10+12+14+16+18+20+22+24+26)*2+(11+13+15+17+19+21+23+25+27+29)*2+(14+16+18+20+22+24+26+28+30+32)*2</f>
        <v>1200</v>
      </c>
      <c r="G15" s="22"/>
      <c r="H15" s="23" t="str">
        <f t="shared" ca="1" si="1"/>
        <v>=(8+10+12+14+16+18+20+22+24+26)*2+(11+13+15+17+19+21+23+25+27+29)*2+(14+16+18+20+22+24+26+28+30+32)*2</v>
      </c>
    </row>
    <row r="16" spans="1:8" ht="30" customHeight="1" x14ac:dyDescent="0.3">
      <c r="A16" s="22" t="s">
        <v>188</v>
      </c>
      <c r="B16" s="22" t="str">
        <f>일위대가목록!B15</f>
        <v>접지용전선 철거</v>
      </c>
      <c r="C16" s="22" t="str">
        <f>일위대가목록!C15</f>
        <v xml:space="preserve">GV, 4mm²  </v>
      </c>
      <c r="D16" s="21" t="str">
        <f>일위대가목록!D15</f>
        <v>m</v>
      </c>
      <c r="E16" s="22" t="str">
        <f ca="1">RIGHT(H16,(LEN(H16)-1))</f>
        <v>(3+15)+(3+15+6+3)+(3+15+21+3)</v>
      </c>
      <c r="F16" s="71">
        <f>(3+15)+(3+15+6+3)+(3+15+21+3)</f>
        <v>87</v>
      </c>
      <c r="G16" s="22"/>
      <c r="H16" s="23" t="str">
        <f t="shared" ca="1" si="1"/>
        <v>=(3+15)+(3+15+6+3)+(3+15+21+3)</v>
      </c>
    </row>
    <row r="17" spans="1:8" ht="30" customHeight="1" x14ac:dyDescent="0.3">
      <c r="A17" s="22" t="s">
        <v>189</v>
      </c>
      <c r="B17" s="22" t="str">
        <f>일위대가목록!B16</f>
        <v>케이블트레이 설치</v>
      </c>
      <c r="C17" s="22" t="e">
        <f>일위대가목록!C16</f>
        <v>#REF!</v>
      </c>
      <c r="D17" s="21" t="e">
        <f>일위대가목록!D16</f>
        <v>#REF!</v>
      </c>
      <c r="E17" s="22" t="str">
        <f t="shared" ref="E17:E29" ca="1" si="2">RIGHT(H17,(LEN(H17)-1))</f>
        <v>4+5+21</v>
      </c>
      <c r="F17" s="71">
        <f>4+5+21</f>
        <v>30</v>
      </c>
      <c r="G17" s="22"/>
      <c r="H17" s="23" t="str">
        <f t="shared" ca="1" si="1"/>
        <v>=4+5+21</v>
      </c>
    </row>
    <row r="18" spans="1:8" ht="30" customHeight="1" x14ac:dyDescent="0.3">
      <c r="A18" s="22" t="s">
        <v>226</v>
      </c>
      <c r="B18" s="22" t="str">
        <f>일위대가목록!B17</f>
        <v>케이블트레이부속품 설치</v>
      </c>
      <c r="C18" s="22" t="e">
        <f>일위대가목록!C17</f>
        <v>#REF!</v>
      </c>
      <c r="D18" s="21" t="e">
        <f>일위대가목록!D17</f>
        <v>#REF!</v>
      </c>
      <c r="E18" s="22" t="str">
        <f t="shared" ca="1" si="2"/>
        <v>1</v>
      </c>
      <c r="F18" s="71">
        <f>1</f>
        <v>1</v>
      </c>
      <c r="G18" s="22"/>
      <c r="H18" s="23" t="str">
        <f t="shared" ca="1" si="1"/>
        <v>=1</v>
      </c>
    </row>
    <row r="19" spans="1:8" ht="30" customHeight="1" x14ac:dyDescent="0.3">
      <c r="A19" s="22" t="s">
        <v>227</v>
      </c>
      <c r="B19" s="22" t="str">
        <f>일위대가목록!B18</f>
        <v>케이블트레이부속품 설치</v>
      </c>
      <c r="C19" s="22" t="e">
        <f>일위대가목록!C18</f>
        <v>#REF!</v>
      </c>
      <c r="D19" s="21" t="e">
        <f>일위대가목록!D18</f>
        <v>#REF!</v>
      </c>
      <c r="E19" s="22" t="str">
        <f t="shared" ca="1" si="2"/>
        <v>1+1</v>
      </c>
      <c r="F19" s="71">
        <f>1+1</f>
        <v>2</v>
      </c>
      <c r="G19" s="22"/>
      <c r="H19" s="23" t="str">
        <f t="shared" ca="1" si="1"/>
        <v>=1+1</v>
      </c>
    </row>
    <row r="20" spans="1:8" ht="30" customHeight="1" x14ac:dyDescent="0.3">
      <c r="A20" s="22" t="s">
        <v>228</v>
      </c>
      <c r="B20" s="22" t="str">
        <f>일위대가목록!B19</f>
        <v>케이블트레이지지대 설치</v>
      </c>
      <c r="C20" s="22" t="str">
        <f>일위대가목록!C19</f>
        <v>스트롱앵커(천장) 3/8"</v>
      </c>
      <c r="D20" s="21" t="e">
        <f>일위대가목록!D19</f>
        <v>#REF!</v>
      </c>
      <c r="E20" s="22" t="str">
        <f t="shared" ca="1" si="2"/>
        <v>30/1.5</v>
      </c>
      <c r="F20" s="71">
        <f>30/1.5</f>
        <v>20</v>
      </c>
      <c r="G20" s="22"/>
      <c r="H20" s="23" t="str">
        <f t="shared" ca="1" si="1"/>
        <v>=30/1.5</v>
      </c>
    </row>
    <row r="21" spans="1:8" ht="30" customHeight="1" x14ac:dyDescent="0.3">
      <c r="A21" s="22" t="s">
        <v>234</v>
      </c>
      <c r="B21" s="22" t="str">
        <f>일위대가목록!B20</f>
        <v>강제전선관 설치</v>
      </c>
      <c r="C21" s="22" t="e">
        <f>일위대가목록!C20</f>
        <v>#REF!</v>
      </c>
      <c r="D21" s="21" t="e">
        <f>일위대가목록!D20</f>
        <v>#REF!</v>
      </c>
      <c r="E21" s="22" t="str">
        <f t="shared" ca="1" si="2"/>
        <v>(4+15)+(4+15+7+4)+(4+15+21+4)</v>
      </c>
      <c r="F21" s="71">
        <f>(4+15)+(4+15+7+4)+(4+15+21+4)</f>
        <v>93</v>
      </c>
      <c r="G21" s="22"/>
      <c r="H21" s="23" t="str">
        <f t="shared" ca="1" si="1"/>
        <v>=(4+15)+(4+15+7+4)+(4+15+21+4)</v>
      </c>
    </row>
    <row r="22" spans="1:8" ht="30" customHeight="1" x14ac:dyDescent="0.3">
      <c r="A22" s="22" t="s">
        <v>283</v>
      </c>
      <c r="B22" s="22" t="str">
        <f>일위대가목록!B21</f>
        <v>강제전선관 설치</v>
      </c>
      <c r="C22" s="22" t="e">
        <f>일위대가목록!C21</f>
        <v>#REF!</v>
      </c>
      <c r="D22" s="21" t="e">
        <f>일위대가목록!D21</f>
        <v>#REF!</v>
      </c>
      <c r="E22" s="22" t="str">
        <f t="shared" ca="1" si="2"/>
        <v>(4+15+17+4)+(2+3)+(2+3)+(1+3)+(1+3)+(2+3)</v>
      </c>
      <c r="F22" s="71">
        <f>(4+15+17+4)+(2+3)+(2+3)+(1+3)+(1+3)+(2+3)</f>
        <v>63</v>
      </c>
      <c r="G22" s="22"/>
      <c r="H22" s="23" t="str">
        <f t="shared" ref="H22:H47" ca="1" si="3">_xlfn.FORMULATEXT(F22)</f>
        <v>=(4+15+17+4)+(2+3)+(2+3)+(1+3)+(1+3)+(2+3)</v>
      </c>
    </row>
    <row r="23" spans="1:8" ht="30" customHeight="1" x14ac:dyDescent="0.3">
      <c r="A23" s="22" t="s">
        <v>284</v>
      </c>
      <c r="B23" s="22" t="str">
        <f>일위대가목록!B22</f>
        <v>강제전선관 설치</v>
      </c>
      <c r="C23" s="22" t="e">
        <f>일위대가목록!C22</f>
        <v>#REF!</v>
      </c>
      <c r="D23" s="21" t="e">
        <f>일위대가목록!D22</f>
        <v>#REF!</v>
      </c>
      <c r="E23" s="22" t="str">
        <f t="shared" ca="1" si="2"/>
        <v>4+15+7+4</v>
      </c>
      <c r="F23" s="71">
        <f>4+15+7+4</f>
        <v>30</v>
      </c>
      <c r="G23" s="22"/>
      <c r="H23" s="23" t="str">
        <f t="shared" ca="1" si="3"/>
        <v>=4+15+7+4</v>
      </c>
    </row>
    <row r="24" spans="1:8" ht="30" customHeight="1" x14ac:dyDescent="0.3">
      <c r="A24" s="22" t="s">
        <v>285</v>
      </c>
      <c r="B24" s="22" t="str">
        <f>일위대가목록!B23</f>
        <v>강제전선관 설치</v>
      </c>
      <c r="C24" s="22" t="e">
        <f>일위대가목록!C23</f>
        <v>#REF!</v>
      </c>
      <c r="D24" s="21" t="e">
        <f>일위대가목록!D23</f>
        <v>#REF!</v>
      </c>
      <c r="E24" s="22" t="str">
        <f t="shared" ca="1" si="2"/>
        <v>3+15+3</v>
      </c>
      <c r="F24" s="71">
        <f>3+15+3</f>
        <v>21</v>
      </c>
      <c r="G24" s="22"/>
      <c r="H24" s="23" t="str">
        <f t="shared" ca="1" si="3"/>
        <v>=3+15+3</v>
      </c>
    </row>
    <row r="25" spans="1:8" ht="30" customHeight="1" x14ac:dyDescent="0.3">
      <c r="A25" s="22" t="s">
        <v>286</v>
      </c>
      <c r="B25" s="22" t="str">
        <f>일위대가목록!B24</f>
        <v>풀박스 설치</v>
      </c>
      <c r="C25" s="22" t="e">
        <f>일위대가목록!C24</f>
        <v>#REF!</v>
      </c>
      <c r="D25" s="21" t="e">
        <f>일위대가목록!D24</f>
        <v>#REF!</v>
      </c>
      <c r="E25" s="22" t="str">
        <f t="shared" ca="1" si="2"/>
        <v>4+2</v>
      </c>
      <c r="F25" s="71">
        <f>4+2</f>
        <v>6</v>
      </c>
      <c r="G25" s="22"/>
      <c r="H25" s="23" t="str">
        <f t="shared" ca="1" si="3"/>
        <v>=4+2</v>
      </c>
    </row>
    <row r="26" spans="1:8" ht="30" customHeight="1" x14ac:dyDescent="0.3">
      <c r="A26" s="22" t="s">
        <v>287</v>
      </c>
      <c r="B26" s="22" t="str">
        <f>일위대가목록!B25</f>
        <v>전력케이블 설치</v>
      </c>
      <c r="C26" s="22" t="e">
        <f>일위대가목록!C25</f>
        <v>#REF!</v>
      </c>
      <c r="D26" s="21" t="e">
        <f>일위대가목록!D25</f>
        <v>#REF!</v>
      </c>
      <c r="E26" s="22" t="str">
        <f t="shared" ca="1" si="2"/>
        <v>4+5+16+5</v>
      </c>
      <c r="F26" s="71">
        <f>4+5+16+5</f>
        <v>30</v>
      </c>
      <c r="G26" s="22"/>
      <c r="H26" s="23" t="str">
        <f t="shared" ca="1" si="3"/>
        <v>=4+5+16+5</v>
      </c>
    </row>
    <row r="27" spans="1:8" ht="30" customHeight="1" x14ac:dyDescent="0.3">
      <c r="A27" s="22" t="s">
        <v>288</v>
      </c>
      <c r="B27" s="22" t="str">
        <f>일위대가목록!B26</f>
        <v>전력케이블 설치</v>
      </c>
      <c r="C27" s="22" t="e">
        <f>일위대가목록!C26</f>
        <v>#REF!</v>
      </c>
      <c r="D27" s="21" t="e">
        <f>일위대가목록!D26</f>
        <v>#REF!</v>
      </c>
      <c r="E27" s="22" t="str">
        <f t="shared" ca="1" si="2"/>
        <v>(4+5+5+5)+(4+5+21+5)</v>
      </c>
      <c r="F27" s="71">
        <f>(4+5+5+5)+(4+5+21+5)</f>
        <v>54</v>
      </c>
      <c r="G27" s="22"/>
      <c r="H27" s="23" t="str">
        <f t="shared" ca="1" si="3"/>
        <v>=(4+5+5+5)+(4+5+21+5)</v>
      </c>
    </row>
    <row r="28" spans="1:8" ht="33.75" x14ac:dyDescent="0.3">
      <c r="A28" s="22" t="s">
        <v>289</v>
      </c>
      <c r="B28" s="22" t="str">
        <f>일위대가목록!B27</f>
        <v>전력케이블 설치</v>
      </c>
      <c r="C28" s="22" t="e">
        <f>일위대가목록!C27</f>
        <v>#REF!</v>
      </c>
      <c r="D28" s="21" t="e">
        <f>일위대가목록!D27</f>
        <v>#REF!</v>
      </c>
      <c r="E28" s="22" t="str">
        <f t="shared" ca="1" si="2"/>
        <v>(4+15)+(4+15+7+4)+(4+15+21+4)+(4+2+5+2+3)+(4+2+7+2+3)+(4+2+5+2+3)+(4+2+7+2+3)+(4+2+7+2+3)</v>
      </c>
      <c r="F28" s="71">
        <f>(4+15)+(4+15+7+4)+(4+15+21+4)+(4+2+5+2+3)+(4+2+7+2+3)+(4+2+5+2+3)+(4+2+7+2+3)+(4+2+7+2+3)</f>
        <v>179</v>
      </c>
      <c r="G28" s="22"/>
      <c r="H28" s="23" t="str">
        <f t="shared" ca="1" si="3"/>
        <v>=(4+15)+(4+15+7+4)+(4+15+21+4)+(4+2+5+2+3)+(4+2+7+2+3)+(4+2+5+2+3)+(4+2+7+2+3)+(4+2+7+2+3)</v>
      </c>
    </row>
    <row r="29" spans="1:8" ht="30" customHeight="1" x14ac:dyDescent="0.3">
      <c r="A29" s="22" t="s">
        <v>290</v>
      </c>
      <c r="B29" s="22" t="str">
        <f>일위대가목록!B28</f>
        <v>전력케이블 설치</v>
      </c>
      <c r="C29" s="22" t="e">
        <f>일위대가목록!C28</f>
        <v>#REF!</v>
      </c>
      <c r="D29" s="21" t="e">
        <f>일위대가목록!D28</f>
        <v>#REF!</v>
      </c>
      <c r="E29" s="22" t="str">
        <f t="shared" ca="1" si="2"/>
        <v>4+15+16+4</v>
      </c>
      <c r="F29" s="71">
        <f>4+15+16+4</f>
        <v>39</v>
      </c>
      <c r="G29" s="22"/>
      <c r="H29" s="23" t="str">
        <f t="shared" ca="1" si="3"/>
        <v>=4+15+16+4</v>
      </c>
    </row>
    <row r="30" spans="1:8" ht="30" customHeight="1" x14ac:dyDescent="0.3">
      <c r="A30" s="22" t="s">
        <v>291</v>
      </c>
      <c r="B30" s="22" t="str">
        <f>일위대가목록!B29</f>
        <v>전력케이블 설치</v>
      </c>
      <c r="C30" s="22" t="e">
        <f>일위대가목록!C29</f>
        <v>#REF!</v>
      </c>
      <c r="D30" s="21" t="e">
        <f>일위대가목록!D29</f>
        <v>#REF!</v>
      </c>
      <c r="E30" s="22" t="str">
        <f ca="1">RIGHT(H30,(LEN(H30)-1))</f>
        <v>(4+15+7+4)+(4+5+10+3)*12+6*2+3*2+3*2+6*2+9*2+3*6</v>
      </c>
      <c r="F30" s="71">
        <f>(4+15+7+4)+(4+5+10+3)*12+6*2+3*2+3*2+6*2+9*2+3*6</f>
        <v>366</v>
      </c>
      <c r="G30" s="22"/>
      <c r="H30" s="23" t="str">
        <f t="shared" ca="1" si="3"/>
        <v>=(4+15+7+4)+(4+5+10+3)*12+6*2+3*2+3*2+6*2+9*2+3*6</v>
      </c>
    </row>
    <row r="31" spans="1:8" ht="30" customHeight="1" x14ac:dyDescent="0.3">
      <c r="A31" s="22" t="s">
        <v>292</v>
      </c>
      <c r="B31" s="22" t="str">
        <f>일위대가목록!B30</f>
        <v>UTP케이블 설치</v>
      </c>
      <c r="C31" s="22" t="e">
        <f>일위대가목록!C30</f>
        <v>#REF!</v>
      </c>
      <c r="D31" s="21" t="e">
        <f>일위대가목록!D30</f>
        <v>#REF!</v>
      </c>
      <c r="E31" s="22" t="str">
        <f t="shared" ref="E31:E47" ca="1" si="4">RIGHT(H31,(LEN(H31)-1))</f>
        <v>10+3+15+3</v>
      </c>
      <c r="F31" s="71">
        <f>10+3+15+3</f>
        <v>31</v>
      </c>
      <c r="G31" s="22"/>
      <c r="H31" s="23" t="str">
        <f t="shared" ca="1" si="3"/>
        <v>=10+3+15+3</v>
      </c>
    </row>
    <row r="32" spans="1:8" ht="30" customHeight="1" x14ac:dyDescent="0.3">
      <c r="A32" s="22" t="s">
        <v>293</v>
      </c>
      <c r="B32" s="22" t="str">
        <f>일위대가목록!B31</f>
        <v>접지용전선 설치</v>
      </c>
      <c r="C32" s="22" t="e">
        <f>일위대가목록!C31</f>
        <v>#REF!</v>
      </c>
      <c r="D32" s="21" t="e">
        <f>일위대가목록!D31</f>
        <v>#REF!</v>
      </c>
      <c r="E32" s="22" t="str">
        <f t="shared" ca="1" si="4"/>
        <v>(4+15)+(4+15+7+4)+(4+15+21+4)</v>
      </c>
      <c r="F32" s="71">
        <f>(4+15)+(4+15+7+4)+(4+15+21+4)</f>
        <v>93</v>
      </c>
      <c r="G32" s="22"/>
      <c r="H32" s="23" t="str">
        <f t="shared" ca="1" si="3"/>
        <v>=(4+15)+(4+15+7+4)+(4+15+21+4)</v>
      </c>
    </row>
    <row r="33" spans="1:8" ht="30" customHeight="1" x14ac:dyDescent="0.3">
      <c r="A33" s="22" t="s">
        <v>294</v>
      </c>
      <c r="B33" s="22" t="str">
        <f>일위대가목록!B32</f>
        <v>배관 해체</v>
      </c>
      <c r="C33" s="22" t="str">
        <f>일위대가목록!C32</f>
        <v>D25</v>
      </c>
      <c r="D33" s="21" t="str">
        <f>일위대가목록!D32</f>
        <v>m</v>
      </c>
      <c r="E33" s="22" t="str">
        <f t="shared" ref="E33:E36" ca="1" si="5">RIGHT(H33,(LEN(H33)-1))</f>
        <v>21+21+21+10</v>
      </c>
      <c r="F33" s="71">
        <f>21+21+21+10</f>
        <v>73</v>
      </c>
      <c r="G33" s="22"/>
      <c r="H33" s="23" t="str">
        <f t="shared" ref="H33:H41" ca="1" si="6">_xlfn.FORMULATEXT(F33)</f>
        <v>=21+21+21+10</v>
      </c>
    </row>
    <row r="34" spans="1:8" ht="30" customHeight="1" x14ac:dyDescent="0.3">
      <c r="A34" s="22" t="s">
        <v>295</v>
      </c>
      <c r="B34" s="22" t="str">
        <f>일위대가목록!B33</f>
        <v>스위치 철거</v>
      </c>
      <c r="C34" s="22" t="str">
        <f>일위대가목록!C33</f>
        <v>텀블러 스위치 단로용</v>
      </c>
      <c r="D34" s="21" t="str">
        <f>일위대가목록!D33</f>
        <v>개</v>
      </c>
      <c r="E34" s="22" t="str">
        <f t="shared" ca="1" si="5"/>
        <v>5</v>
      </c>
      <c r="F34" s="71">
        <f>5</f>
        <v>5</v>
      </c>
      <c r="G34" s="22"/>
      <c r="H34" s="23" t="str">
        <f t="shared" ca="1" si="6"/>
        <v>=5</v>
      </c>
    </row>
    <row r="35" spans="1:8" ht="30" customHeight="1" x14ac:dyDescent="0.3">
      <c r="A35" s="22" t="s">
        <v>296</v>
      </c>
      <c r="B35" s="22" t="str">
        <f>일위대가목록!B34</f>
        <v>스위치 설치</v>
      </c>
      <c r="C35" s="22" t="e">
        <f>일위대가목록!C34</f>
        <v>#REF!</v>
      </c>
      <c r="D35" s="21" t="e">
        <f>일위대가목록!D34</f>
        <v>#REF!</v>
      </c>
      <c r="E35" s="22" t="str">
        <f t="shared" ca="1" si="5"/>
        <v>2</v>
      </c>
      <c r="F35" s="71">
        <f>2</f>
        <v>2</v>
      </c>
      <c r="G35" s="22"/>
      <c r="H35" s="23" t="str">
        <f t="shared" ca="1" si="6"/>
        <v>=2</v>
      </c>
    </row>
    <row r="36" spans="1:8" ht="30" customHeight="1" x14ac:dyDescent="0.3">
      <c r="A36" s="22" t="s">
        <v>323</v>
      </c>
      <c r="B36" s="22" t="str">
        <f>일위대가목록!B35</f>
        <v>스위치 설치</v>
      </c>
      <c r="C36" s="22" t="e">
        <f>일위대가목록!C35</f>
        <v>#REF!</v>
      </c>
      <c r="D36" s="21" t="e">
        <f>일위대가목록!D35</f>
        <v>#REF!</v>
      </c>
      <c r="E36" s="22" t="str">
        <f t="shared" ca="1" si="5"/>
        <v>3</v>
      </c>
      <c r="F36" s="71">
        <f>3</f>
        <v>3</v>
      </c>
      <c r="G36" s="22"/>
      <c r="H36" s="23" t="str">
        <f t="shared" ca="1" si="6"/>
        <v>=3</v>
      </c>
    </row>
    <row r="37" spans="1:8" ht="30" customHeight="1" x14ac:dyDescent="0.3">
      <c r="A37" s="22" t="s">
        <v>331</v>
      </c>
      <c r="B37" s="22" t="str">
        <f>일위대가목록!B36</f>
        <v>스위치 설치</v>
      </c>
      <c r="C37" s="22" t="e">
        <f>일위대가목록!C36</f>
        <v>#REF!</v>
      </c>
      <c r="D37" s="21" t="e">
        <f>일위대가목록!D36</f>
        <v>#REF!</v>
      </c>
      <c r="E37" s="22" t="str">
        <f t="shared" ref="E37:E38" ca="1" si="7">RIGHT(H37,(LEN(H37)-1))</f>
        <v>2+2</v>
      </c>
      <c r="F37" s="71">
        <f>2+2</f>
        <v>4</v>
      </c>
      <c r="G37" s="22"/>
      <c r="H37" s="23" t="str">
        <f t="shared" ref="H37:H38" ca="1" si="8">_xlfn.FORMULATEXT(F37)</f>
        <v>=2+2</v>
      </c>
    </row>
    <row r="38" spans="1:8" ht="30" customHeight="1" x14ac:dyDescent="0.3">
      <c r="A38" s="22" t="s">
        <v>332</v>
      </c>
      <c r="B38" s="22" t="str">
        <f>일위대가목록!B37</f>
        <v>콘센트 철거</v>
      </c>
      <c r="C38" s="22" t="str">
        <f>일위대가목록!C37</f>
        <v>접지극부 15A</v>
      </c>
      <c r="D38" s="21" t="str">
        <f>일위대가목록!D37</f>
        <v>개</v>
      </c>
      <c r="E38" s="22" t="str">
        <f t="shared" ca="1" si="7"/>
        <v>19</v>
      </c>
      <c r="F38" s="71">
        <f>19</f>
        <v>19</v>
      </c>
      <c r="G38" s="22"/>
      <c r="H38" s="23" t="str">
        <f t="shared" ca="1" si="8"/>
        <v>=19</v>
      </c>
    </row>
    <row r="39" spans="1:8" ht="30" customHeight="1" x14ac:dyDescent="0.3">
      <c r="A39" s="22" t="s">
        <v>333</v>
      </c>
      <c r="B39" s="22" t="str">
        <f>일위대가목록!B38</f>
        <v>콘센트 설치</v>
      </c>
      <c r="C39" s="22" t="e">
        <f>일위대가목록!C38</f>
        <v>#REF!</v>
      </c>
      <c r="D39" s="21" t="e">
        <f>일위대가목록!D38</f>
        <v>#REF!</v>
      </c>
      <c r="E39" s="22" t="str">
        <f t="shared" ref="E39" ca="1" si="9">RIGHT(H39,(LEN(H39)-1))</f>
        <v>19</v>
      </c>
      <c r="F39" s="71">
        <f>19</f>
        <v>19</v>
      </c>
      <c r="G39" s="22"/>
      <c r="H39" s="23" t="str">
        <f t="shared" ref="H39" ca="1" si="10">_xlfn.FORMULATEXT(F39)</f>
        <v>=19</v>
      </c>
    </row>
    <row r="40" spans="1:8" ht="30" customHeight="1" x14ac:dyDescent="0.3">
      <c r="A40" s="22" t="s">
        <v>334</v>
      </c>
      <c r="B40" s="22" t="str">
        <f>일위대가목록!B39</f>
        <v>멀티덕트 설치</v>
      </c>
      <c r="C40" s="22" t="e">
        <f>일위대가목록!C39</f>
        <v>#REF!</v>
      </c>
      <c r="D40" s="21" t="e">
        <f>일위대가목록!D39</f>
        <v>#REF!</v>
      </c>
      <c r="E40" s="22" t="str">
        <f ca="1">RIGHT(H40,(LEN(H40)-1))</f>
        <v>3+3</v>
      </c>
      <c r="F40" s="71">
        <f>3+3</f>
        <v>6</v>
      </c>
      <c r="G40" s="22"/>
      <c r="H40" s="23" t="str">
        <f t="shared" ca="1" si="6"/>
        <v>=3+3</v>
      </c>
    </row>
    <row r="41" spans="1:8" ht="30" customHeight="1" x14ac:dyDescent="0.3">
      <c r="A41" s="22" t="s">
        <v>335</v>
      </c>
      <c r="B41" s="22" t="str">
        <f>일위대가목록!B40</f>
        <v>LED실내조명등 설치</v>
      </c>
      <c r="C41" s="22" t="e">
        <f>일위대가목록!C40</f>
        <v>#REF!</v>
      </c>
      <c r="D41" s="21" t="e">
        <f>일위대가목록!D40</f>
        <v>#REF!</v>
      </c>
      <c r="E41" s="22" t="str">
        <f t="shared" ref="E41" ca="1" si="11">RIGHT(H41,(LEN(H41)-1))</f>
        <v>24+18</v>
      </c>
      <c r="F41" s="71">
        <f>24+18</f>
        <v>42</v>
      </c>
      <c r="G41" s="22"/>
      <c r="H41" s="23" t="str">
        <f t="shared" ca="1" si="6"/>
        <v>=24+18</v>
      </c>
    </row>
    <row r="42" spans="1:8" ht="30" customHeight="1" x14ac:dyDescent="0.3">
      <c r="A42" s="22" t="s">
        <v>344</v>
      </c>
      <c r="B42" s="22" t="e">
        <f>#REF!</f>
        <v>#REF!</v>
      </c>
      <c r="C42" s="22" t="e">
        <f>#REF!</f>
        <v>#REF!</v>
      </c>
      <c r="D42" s="21" t="e">
        <f>#REF!</f>
        <v>#REF!</v>
      </c>
      <c r="E42" s="22" t="str">
        <f t="shared" ca="1" si="4"/>
        <v>(30/3)*2+3*2</v>
      </c>
      <c r="F42" s="71">
        <f>(30/3)*2+3*2</f>
        <v>26</v>
      </c>
      <c r="G42" s="22"/>
      <c r="H42" s="23" t="str">
        <f t="shared" ca="1" si="3"/>
        <v>=(30/3)*2+3*2</v>
      </c>
    </row>
    <row r="43" spans="1:8" ht="30" customHeight="1" x14ac:dyDescent="0.3">
      <c r="A43" s="22" t="s">
        <v>345</v>
      </c>
      <c r="B43" s="22" t="e">
        <f>#REF!</f>
        <v>#REF!</v>
      </c>
      <c r="C43" s="22" t="e">
        <f>#REF!</f>
        <v>#REF!</v>
      </c>
      <c r="D43" s="21" t="e">
        <f>#REF!</f>
        <v>#REF!</v>
      </c>
      <c r="E43" s="22" t="str">
        <f t="shared" ca="1" si="4"/>
        <v>((30/3)*2)*8+3*2*8</v>
      </c>
      <c r="F43" s="71">
        <f>((30/3)*2)*8+3*2*8</f>
        <v>208</v>
      </c>
      <c r="G43" s="22"/>
      <c r="H43" s="23" t="str">
        <f t="shared" ca="1" si="3"/>
        <v>=((30/3)*2)*8+3*2*8</v>
      </c>
    </row>
    <row r="44" spans="1:8" ht="30" customHeight="1" x14ac:dyDescent="0.3">
      <c r="A44" s="22" t="s">
        <v>346</v>
      </c>
      <c r="B44" s="22" t="e">
        <f>#REF!</f>
        <v>#REF!</v>
      </c>
      <c r="C44" s="22" t="e">
        <f>#REF!</f>
        <v>#REF!</v>
      </c>
      <c r="D44" s="21" t="e">
        <f>#REF!</f>
        <v>#REF!</v>
      </c>
      <c r="E44" s="22" t="str">
        <f t="shared" ca="1" si="4"/>
        <v>30/3+3</v>
      </c>
      <c r="F44" s="71">
        <f>30/3+3</f>
        <v>13</v>
      </c>
      <c r="G44" s="22"/>
      <c r="H44" s="23" t="str">
        <f t="shared" ca="1" si="3"/>
        <v>=30/3+3</v>
      </c>
    </row>
    <row r="45" spans="1:8" ht="30" customHeight="1" x14ac:dyDescent="0.3">
      <c r="A45" s="22" t="s">
        <v>347</v>
      </c>
      <c r="B45" s="22" t="e">
        <f>#REF!</f>
        <v>#REF!</v>
      </c>
      <c r="C45" s="22" t="e">
        <f>#REF!</f>
        <v>#REF!</v>
      </c>
      <c r="D45" s="21" t="e">
        <f>#REF!</f>
        <v>#REF!</v>
      </c>
      <c r="E45" s="22" t="str">
        <f t="shared" ca="1" si="4"/>
        <v>2+2</v>
      </c>
      <c r="F45" s="71">
        <f>2+2</f>
        <v>4</v>
      </c>
      <c r="G45" s="22"/>
      <c r="H45" s="23" t="str">
        <f t="shared" ca="1" si="3"/>
        <v>=2+2</v>
      </c>
    </row>
    <row r="46" spans="1:8" ht="30" customHeight="1" x14ac:dyDescent="0.3">
      <c r="A46" s="22" t="s">
        <v>348</v>
      </c>
      <c r="B46" s="22" t="e">
        <f>#REF!</f>
        <v>#REF!</v>
      </c>
      <c r="C46" s="22" t="e">
        <f>#REF!</f>
        <v>#REF!</v>
      </c>
      <c r="D46" s="21" t="e">
        <f>#REF!</f>
        <v>#REF!</v>
      </c>
      <c r="E46" s="22" t="str">
        <f t="shared" ca="1" si="4"/>
        <v>1+1</v>
      </c>
      <c r="F46" s="71">
        <f>1+1</f>
        <v>2</v>
      </c>
      <c r="G46" s="22"/>
      <c r="H46" s="23" t="str">
        <f t="shared" ca="1" si="3"/>
        <v>=1+1</v>
      </c>
    </row>
    <row r="47" spans="1:8" ht="30" customHeight="1" x14ac:dyDescent="0.3">
      <c r="A47" s="22" t="s">
        <v>349</v>
      </c>
      <c r="B47" s="22" t="e">
        <f>#REF!</f>
        <v>#REF!</v>
      </c>
      <c r="C47" s="22" t="e">
        <f>#REF!</f>
        <v>#REF!</v>
      </c>
      <c r="D47" s="21" t="e">
        <f>#REF!</f>
        <v>#REF!</v>
      </c>
      <c r="E47" s="22" t="str">
        <f t="shared" ca="1" si="4"/>
        <v>24+18</v>
      </c>
      <c r="F47" s="71">
        <f>24+18</f>
        <v>42</v>
      </c>
      <c r="G47" s="22"/>
      <c r="H47" s="23" t="str">
        <f t="shared" ca="1" si="3"/>
        <v>=24+18</v>
      </c>
    </row>
    <row r="48" spans="1:8" ht="30" customHeight="1" x14ac:dyDescent="0.3">
      <c r="A48" s="22"/>
      <c r="B48" s="22"/>
      <c r="C48" s="22"/>
      <c r="D48" s="21"/>
      <c r="E48" s="22"/>
      <c r="F48" s="21"/>
      <c r="G48" s="22"/>
    </row>
    <row r="49" spans="1:7" ht="30" customHeight="1" x14ac:dyDescent="0.3">
      <c r="A49" s="22"/>
      <c r="B49" s="22"/>
      <c r="C49" s="22"/>
      <c r="D49" s="21"/>
      <c r="E49" s="22"/>
      <c r="F49" s="21"/>
      <c r="G49" s="22"/>
    </row>
    <row r="50" spans="1:7" ht="30" customHeight="1" x14ac:dyDescent="0.3">
      <c r="A50" s="22"/>
      <c r="B50" s="22"/>
      <c r="C50" s="22"/>
      <c r="D50" s="21"/>
      <c r="E50" s="22"/>
      <c r="F50" s="21"/>
      <c r="G50" s="22"/>
    </row>
  </sheetData>
  <mergeCells count="4">
    <mergeCell ref="E3:G3"/>
    <mergeCell ref="A3:D3"/>
    <mergeCell ref="A2:D2"/>
    <mergeCell ref="A1:G1"/>
  </mergeCells>
  <phoneticPr fontId="1" type="noConversion"/>
  <printOptions horizontalCentered="1"/>
  <pageMargins left="2.0833333333333332E-2" right="1.0416666666666666E-2" top="2.0833333333333332E-2" bottom="1.0416666666666666E-2" header="0" footer="0"/>
  <pageSetup paperSize="9" scale="72" orientation="landscape" blackAndWhite="1" useFirstPageNumber="1" r:id="rId1"/>
  <headerFooter alignWithMargins="0"/>
  <ignoredErrors>
    <ignoredError sqref="B5:D5 E6 H5:H16 A2 E5 E13 E14 E8 E7 E9:E12 E15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191B2-4843-441D-A5AB-0A63D4E7E29C}">
  <sheetPr>
    <pageSetUpPr fitToPage="1"/>
  </sheetPr>
  <dimension ref="A1:N40"/>
  <sheetViews>
    <sheetView view="pageBreakPreview" topLeftCell="B37" zoomScale="85" zoomScaleNormal="100" zoomScaleSheetLayoutView="85" workbookViewId="0">
      <selection activeCell="G19" sqref="G19"/>
    </sheetView>
  </sheetViews>
  <sheetFormatPr defaultRowHeight="16.5" x14ac:dyDescent="0.3"/>
  <cols>
    <col min="1" max="1" width="13.125" hidden="1" customWidth="1"/>
    <col min="2" max="2" width="34.125" customWidth="1"/>
    <col min="3" max="3" width="30.625" customWidth="1"/>
    <col min="4" max="4" width="4.625" style="28" customWidth="1"/>
    <col min="5" max="8" width="13.625" customWidth="1"/>
    <col min="9" max="9" width="8.625" customWidth="1"/>
    <col min="10" max="10" width="12.625" customWidth="1"/>
    <col min="11" max="14" width="20.625" hidden="1" customWidth="1"/>
    <col min="15" max="15" width="20.625" customWidth="1"/>
  </cols>
  <sheetData>
    <row r="1" spans="1:14" ht="30" customHeight="1" x14ac:dyDescent="0.3">
      <c r="A1" s="94" t="s">
        <v>82</v>
      </c>
      <c r="B1" s="94"/>
      <c r="C1" s="94"/>
      <c r="D1" s="94"/>
      <c r="E1" s="94"/>
      <c r="F1" s="94"/>
      <c r="G1" s="94"/>
      <c r="H1" s="94"/>
      <c r="I1" s="94"/>
      <c r="J1" s="94"/>
    </row>
    <row r="2" spans="1:14" ht="30" customHeight="1" x14ac:dyDescent="0.3">
      <c r="A2" s="99" t="str">
        <f>"[" &amp; 원가계산서!B2 &amp; "]"</f>
        <v>[제1공학관 창의공학지원실 노후시설 개선 전기공사]</v>
      </c>
      <c r="B2" s="99"/>
      <c r="C2" s="99"/>
      <c r="D2" s="99"/>
      <c r="E2" s="99"/>
      <c r="F2" s="99"/>
      <c r="G2" s="99"/>
      <c r="H2" s="99"/>
      <c r="I2" s="99"/>
      <c r="J2" s="99"/>
    </row>
    <row r="3" spans="1:14" ht="30" customHeight="1" x14ac:dyDescent="0.3">
      <c r="A3" s="5" t="s">
        <v>83</v>
      </c>
      <c r="B3" s="29" t="s">
        <v>1</v>
      </c>
      <c r="C3" s="29" t="s">
        <v>2</v>
      </c>
      <c r="D3" s="50" t="s">
        <v>3</v>
      </c>
      <c r="E3" s="29" t="s">
        <v>84</v>
      </c>
      <c r="F3" s="29" t="s">
        <v>85</v>
      </c>
      <c r="G3" s="29" t="s">
        <v>86</v>
      </c>
      <c r="H3" s="29" t="s">
        <v>87</v>
      </c>
      <c r="I3" s="29" t="s">
        <v>88</v>
      </c>
      <c r="J3" s="29" t="s">
        <v>89</v>
      </c>
      <c r="K3" s="18"/>
      <c r="L3" s="18"/>
      <c r="M3" s="18"/>
      <c r="N3" s="18"/>
    </row>
    <row r="4" spans="1:14" ht="27.6" customHeight="1" x14ac:dyDescent="0.3">
      <c r="A4" s="7" t="s">
        <v>57</v>
      </c>
      <c r="B4" s="33" t="str">
        <f>일위대가!A5</f>
        <v>금속덕트 철거</v>
      </c>
      <c r="C4" s="33" t="str">
        <f>일위대가!B5</f>
        <v>300mm*200mm</v>
      </c>
      <c r="D4" s="48" t="str">
        <f>일위대가!C5</f>
        <v>m</v>
      </c>
      <c r="E4" s="30"/>
      <c r="F4" s="30"/>
      <c r="G4" s="30"/>
      <c r="H4" s="30"/>
      <c r="I4" s="7" t="s">
        <v>191</v>
      </c>
      <c r="J4" s="7" t="s">
        <v>47</v>
      </c>
      <c r="K4" s="19" t="str">
        <f ca="1">_xlfn.FORMULATEXT(C4)</f>
        <v>=일위대가!B5</v>
      </c>
      <c r="L4" s="19" t="str">
        <f ca="1">RIGHT(K4, LEN(K4)-FIND("B",K4)-LEN("B")+1)</f>
        <v>5</v>
      </c>
      <c r="M4" s="19">
        <f ca="1">L4-3</f>
        <v>2</v>
      </c>
      <c r="N4" s="19" t="s">
        <v>91</v>
      </c>
    </row>
    <row r="5" spans="1:14" ht="27.6" customHeight="1" x14ac:dyDescent="0.3">
      <c r="A5" s="7" t="s">
        <v>59</v>
      </c>
      <c r="B5" s="33" t="str">
        <f>일위대가!A11</f>
        <v>금속덕트 철거</v>
      </c>
      <c r="C5" s="33" t="str">
        <f>일위대가!B11</f>
        <v>200mm*100mm</v>
      </c>
      <c r="D5" s="48" t="str">
        <f>일위대가!C11</f>
        <v>m</v>
      </c>
      <c r="E5" s="61"/>
      <c r="F5" s="61"/>
      <c r="G5" s="61"/>
      <c r="H5" s="30"/>
      <c r="I5" s="7" t="s">
        <v>112</v>
      </c>
      <c r="J5" s="7" t="s">
        <v>47</v>
      </c>
      <c r="K5" s="19" t="str">
        <f t="shared" ref="K5:K27" ca="1" si="0">_xlfn.FORMULATEXT(C5)</f>
        <v>=일위대가!B11</v>
      </c>
      <c r="L5" s="19" t="str">
        <f t="shared" ref="L5:L27" ca="1" si="1">RIGHT(K5, LEN(K5)-FIND("B",K5)-LEN("B")+1)</f>
        <v>11</v>
      </c>
      <c r="M5" s="19">
        <f ca="1">L5-3</f>
        <v>8</v>
      </c>
      <c r="N5" s="19" t="s">
        <v>47</v>
      </c>
    </row>
    <row r="6" spans="1:14" ht="27.6" customHeight="1" x14ac:dyDescent="0.3">
      <c r="A6" s="7" t="s">
        <v>61</v>
      </c>
      <c r="B6" s="33" t="str">
        <f>일위대가!A17</f>
        <v>강제전선관 철거</v>
      </c>
      <c r="C6" s="33" t="str">
        <f>일위대가!B17</f>
        <v>후강전선관, 아연도, 22mm</v>
      </c>
      <c r="D6" s="48" t="str">
        <f>일위대가!C17</f>
        <v>m</v>
      </c>
      <c r="E6" s="61"/>
      <c r="F6" s="61"/>
      <c r="G6" s="61"/>
      <c r="H6" s="30"/>
      <c r="I6" s="7" t="s">
        <v>113</v>
      </c>
      <c r="J6" s="7" t="s">
        <v>47</v>
      </c>
      <c r="K6" s="19" t="str">
        <f t="shared" ca="1" si="0"/>
        <v>=일위대가!B17</v>
      </c>
      <c r="L6" s="19" t="str">
        <f t="shared" ca="1" si="1"/>
        <v>17</v>
      </c>
      <c r="M6" s="19">
        <f ca="1">L6-3</f>
        <v>14</v>
      </c>
      <c r="N6" s="19" t="s">
        <v>47</v>
      </c>
    </row>
    <row r="7" spans="1:14" ht="27.6" customHeight="1" x14ac:dyDescent="0.3">
      <c r="A7" s="7" t="s">
        <v>63</v>
      </c>
      <c r="B7" s="33" t="str">
        <f>일위대가!A23</f>
        <v>합성수지전선관 철거</v>
      </c>
      <c r="C7" s="33" t="str">
        <f>일위대가!B23</f>
        <v>28mm</v>
      </c>
      <c r="D7" s="48" t="str">
        <f>일위대가!C23</f>
        <v>m</v>
      </c>
      <c r="E7" s="61"/>
      <c r="F7" s="61"/>
      <c r="G7" s="61"/>
      <c r="H7" s="30"/>
      <c r="I7" s="7" t="s">
        <v>114</v>
      </c>
      <c r="J7" s="7" t="s">
        <v>47</v>
      </c>
      <c r="K7" s="19" t="str">
        <f t="shared" ca="1" si="0"/>
        <v>=일위대가!B23</v>
      </c>
      <c r="L7" s="19" t="str">
        <f t="shared" ca="1" si="1"/>
        <v>23</v>
      </c>
      <c r="M7" s="19">
        <f t="shared" ref="M7:M27" ca="1" si="2">L7-3</f>
        <v>20</v>
      </c>
      <c r="N7" s="19" t="s">
        <v>47</v>
      </c>
    </row>
    <row r="8" spans="1:14" ht="27.6" customHeight="1" x14ac:dyDescent="0.3">
      <c r="A8" s="7" t="s">
        <v>65</v>
      </c>
      <c r="B8" s="33" t="str">
        <f>일위대가!A29</f>
        <v>합성수지전선관 철거</v>
      </c>
      <c r="C8" s="33" t="str">
        <f>일위대가!B29</f>
        <v>22mm</v>
      </c>
      <c r="D8" s="48" t="str">
        <f>일위대가!C29</f>
        <v>m</v>
      </c>
      <c r="E8" s="61"/>
      <c r="F8" s="61"/>
      <c r="G8" s="61"/>
      <c r="H8" s="30"/>
      <c r="I8" s="7" t="s">
        <v>115</v>
      </c>
      <c r="J8" s="7" t="s">
        <v>47</v>
      </c>
      <c r="K8" s="19" t="str">
        <f t="shared" ca="1" si="0"/>
        <v>=일위대가!B29</v>
      </c>
      <c r="L8" s="19" t="str">
        <f t="shared" ca="1" si="1"/>
        <v>29</v>
      </c>
      <c r="M8" s="19">
        <f t="shared" ca="1" si="2"/>
        <v>26</v>
      </c>
      <c r="N8" s="19" t="s">
        <v>47</v>
      </c>
    </row>
    <row r="9" spans="1:14" ht="27.6" customHeight="1" x14ac:dyDescent="0.3">
      <c r="A9" s="7" t="s">
        <v>67</v>
      </c>
      <c r="B9" s="33" t="str">
        <f>일위대가!A35</f>
        <v>전력케이블 철거</v>
      </c>
      <c r="C9" s="33" t="str">
        <f>일위대가!B35</f>
        <v xml:space="preserve">F-CV, 0.6/1kV, 4C 16mm²  </v>
      </c>
      <c r="D9" s="48" t="str">
        <f>일위대가!C35</f>
        <v>m</v>
      </c>
      <c r="E9" s="61"/>
      <c r="F9" s="61"/>
      <c r="G9" s="61"/>
      <c r="H9" s="40"/>
      <c r="I9" s="7" t="s">
        <v>116</v>
      </c>
      <c r="J9" s="7" t="s">
        <v>47</v>
      </c>
      <c r="K9" s="19" t="str">
        <f t="shared" ref="K9:K26" ca="1" si="3">_xlfn.FORMULATEXT(C9)</f>
        <v>=일위대가!B35</v>
      </c>
      <c r="L9" s="19" t="str">
        <f t="shared" ref="L9:L26" ca="1" si="4">RIGHT(K9, LEN(K9)-FIND("B",K9)-LEN("B")+1)</f>
        <v>35</v>
      </c>
      <c r="M9" s="19">
        <f t="shared" ref="M9:M26" ca="1" si="5">L9-3</f>
        <v>32</v>
      </c>
      <c r="N9" s="19" t="s">
        <v>47</v>
      </c>
    </row>
    <row r="10" spans="1:14" ht="27.6" customHeight="1" x14ac:dyDescent="0.3">
      <c r="A10" s="7" t="s">
        <v>69</v>
      </c>
      <c r="B10" s="33" t="str">
        <f>일위대가!A41</f>
        <v>전력케이블 철거</v>
      </c>
      <c r="C10" s="33" t="str">
        <f>일위대가!B41</f>
        <v xml:space="preserve">F-CV, 0.6/1kV, 4C 10mm²  </v>
      </c>
      <c r="D10" s="48" t="str">
        <f>일위대가!C41</f>
        <v>m</v>
      </c>
      <c r="E10" s="61"/>
      <c r="F10" s="61"/>
      <c r="G10" s="61"/>
      <c r="H10" s="40"/>
      <c r="I10" s="7" t="s">
        <v>117</v>
      </c>
      <c r="J10" s="7" t="s">
        <v>47</v>
      </c>
      <c r="K10" s="19" t="str">
        <f t="shared" ca="1" si="3"/>
        <v>=일위대가!B41</v>
      </c>
      <c r="L10" s="19" t="str">
        <f t="shared" ca="1" si="4"/>
        <v>41</v>
      </c>
      <c r="M10" s="19">
        <f t="shared" ca="1" si="5"/>
        <v>38</v>
      </c>
      <c r="N10" s="19" t="s">
        <v>47</v>
      </c>
    </row>
    <row r="11" spans="1:14" ht="27.6" customHeight="1" x14ac:dyDescent="0.3">
      <c r="A11" s="7" t="s">
        <v>71</v>
      </c>
      <c r="B11" s="33" t="str">
        <f>일위대가!A47</f>
        <v>전력케이블 철거</v>
      </c>
      <c r="C11" s="33" t="str">
        <f>일위대가!B47</f>
        <v xml:space="preserve">F-CV, 0.6/1kV, 4C 6mm²  </v>
      </c>
      <c r="D11" s="48" t="str">
        <f>일위대가!C47</f>
        <v>m</v>
      </c>
      <c r="E11" s="61"/>
      <c r="F11" s="61"/>
      <c r="G11" s="61"/>
      <c r="H11" s="40"/>
      <c r="I11" s="7" t="s">
        <v>118</v>
      </c>
      <c r="J11" s="7" t="s">
        <v>47</v>
      </c>
      <c r="K11" s="19" t="str">
        <f t="shared" ca="1" si="3"/>
        <v>=일위대가!B47</v>
      </c>
      <c r="L11" s="19" t="str">
        <f t="shared" ca="1" si="4"/>
        <v>47</v>
      </c>
      <c r="M11" s="19">
        <f t="shared" ca="1" si="5"/>
        <v>44</v>
      </c>
      <c r="N11" s="19" t="s">
        <v>47</v>
      </c>
    </row>
    <row r="12" spans="1:14" ht="27.6" customHeight="1" x14ac:dyDescent="0.3">
      <c r="A12" s="7" t="s">
        <v>73</v>
      </c>
      <c r="B12" s="33" t="str">
        <f>일위대가!A53</f>
        <v>전력케이블 철거</v>
      </c>
      <c r="C12" s="33" t="str">
        <f>일위대가!B53</f>
        <v xml:space="preserve">F-CV, 0.6/1kV, 1C 6mm²  </v>
      </c>
      <c r="D12" s="48" t="str">
        <f>일위대가!C53</f>
        <v>m</v>
      </c>
      <c r="E12" s="61"/>
      <c r="F12" s="61"/>
      <c r="G12" s="61"/>
      <c r="H12" s="40"/>
      <c r="I12" s="7" t="s">
        <v>119</v>
      </c>
      <c r="J12" s="7" t="s">
        <v>47</v>
      </c>
      <c r="K12" s="19" t="str">
        <f t="shared" ca="1" si="3"/>
        <v>=일위대가!B53</v>
      </c>
      <c r="L12" s="19" t="str">
        <f t="shared" ca="1" si="4"/>
        <v>53</v>
      </c>
      <c r="M12" s="19">
        <f t="shared" ca="1" si="5"/>
        <v>50</v>
      </c>
      <c r="N12" s="19" t="s">
        <v>47</v>
      </c>
    </row>
    <row r="13" spans="1:14" ht="27.6" customHeight="1" x14ac:dyDescent="0.3">
      <c r="A13" s="7" t="s">
        <v>75</v>
      </c>
      <c r="B13" s="33" t="str">
        <f>일위대가!A59</f>
        <v>전력케이블 철거</v>
      </c>
      <c r="C13" s="33" t="str">
        <f>일위대가!B59</f>
        <v xml:space="preserve">F-CV, 0.6/1kV, 3C 4mm²  </v>
      </c>
      <c r="D13" s="48" t="str">
        <f>일위대가!C59</f>
        <v>m</v>
      </c>
      <c r="E13" s="61"/>
      <c r="F13" s="61"/>
      <c r="G13" s="61"/>
      <c r="H13" s="40"/>
      <c r="I13" s="7" t="s">
        <v>120</v>
      </c>
      <c r="J13" s="7" t="s">
        <v>47</v>
      </c>
      <c r="K13" s="19" t="str">
        <f t="shared" ca="1" si="3"/>
        <v>=일위대가!B59</v>
      </c>
      <c r="L13" s="19" t="str">
        <f t="shared" ca="1" si="4"/>
        <v>59</v>
      </c>
      <c r="M13" s="19">
        <f t="shared" ca="1" si="5"/>
        <v>56</v>
      </c>
      <c r="N13" s="19" t="s">
        <v>47</v>
      </c>
    </row>
    <row r="14" spans="1:14" ht="27.6" customHeight="1" x14ac:dyDescent="0.3">
      <c r="A14" s="7" t="s">
        <v>76</v>
      </c>
      <c r="B14" s="33" t="str">
        <f>일위대가!A65</f>
        <v>절연전선 철거</v>
      </c>
      <c r="C14" s="33" t="str">
        <f>일위대가!B65</f>
        <v xml:space="preserve">HFIX, 450/750V, 6mm²  </v>
      </c>
      <c r="D14" s="48" t="str">
        <f>일위대가!C65</f>
        <v>m</v>
      </c>
      <c r="E14" s="61"/>
      <c r="F14" s="61"/>
      <c r="G14" s="61"/>
      <c r="H14" s="42"/>
      <c r="I14" s="7" t="s">
        <v>121</v>
      </c>
      <c r="J14" s="7" t="s">
        <v>47</v>
      </c>
      <c r="K14" s="19" t="str">
        <f t="shared" ref="K14:K24" ca="1" si="6">_xlfn.FORMULATEXT(C14)</f>
        <v>=일위대가!B65</v>
      </c>
      <c r="L14" s="19" t="str">
        <f t="shared" ref="L14:L24" ca="1" si="7">RIGHT(K14, LEN(K14)-FIND("B",K14)-LEN("B")+1)</f>
        <v>65</v>
      </c>
      <c r="M14" s="19">
        <f t="shared" ref="M14" ca="1" si="8">L14-3</f>
        <v>62</v>
      </c>
      <c r="N14" s="19" t="s">
        <v>47</v>
      </c>
    </row>
    <row r="15" spans="1:14" ht="27.6" customHeight="1" x14ac:dyDescent="0.3">
      <c r="A15" s="7" t="s">
        <v>61</v>
      </c>
      <c r="B15" s="33" t="str">
        <f>일위대가!A71</f>
        <v>접지용전선 철거</v>
      </c>
      <c r="C15" s="33" t="str">
        <f>일위대가!B71</f>
        <v xml:space="preserve">GV, 4mm²  </v>
      </c>
      <c r="D15" s="48" t="str">
        <f>일위대가!C71</f>
        <v>m</v>
      </c>
      <c r="E15" s="61"/>
      <c r="F15" s="61"/>
      <c r="G15" s="61"/>
      <c r="H15" s="51"/>
      <c r="I15" s="7" t="s">
        <v>122</v>
      </c>
      <c r="J15" s="7" t="s">
        <v>47</v>
      </c>
      <c r="K15" s="19" t="str">
        <f t="shared" ca="1" si="6"/>
        <v>=일위대가!B71</v>
      </c>
      <c r="L15" s="19" t="str">
        <f t="shared" ca="1" si="7"/>
        <v>71</v>
      </c>
      <c r="M15" s="19">
        <f ca="1">L15-3</f>
        <v>68</v>
      </c>
      <c r="N15" s="19" t="s">
        <v>47</v>
      </c>
    </row>
    <row r="16" spans="1:14" ht="27.6" customHeight="1" x14ac:dyDescent="0.3">
      <c r="A16" s="7" t="s">
        <v>63</v>
      </c>
      <c r="B16" s="33" t="str">
        <f>일위대가!A77</f>
        <v>케이블트레이 설치</v>
      </c>
      <c r="C16" s="33" t="e">
        <f>일위대가!B77</f>
        <v>#REF!</v>
      </c>
      <c r="D16" s="48" t="e">
        <f>일위대가!C77</f>
        <v>#REF!</v>
      </c>
      <c r="E16" s="61"/>
      <c r="F16" s="61"/>
      <c r="G16" s="61"/>
      <c r="H16" s="51"/>
      <c r="I16" s="7" t="s">
        <v>268</v>
      </c>
      <c r="J16" s="7" t="s">
        <v>47</v>
      </c>
      <c r="K16" s="19" t="str">
        <f t="shared" ca="1" si="6"/>
        <v>=일위대가!B77</v>
      </c>
      <c r="L16" s="19" t="str">
        <f t="shared" ca="1" si="7"/>
        <v>77</v>
      </c>
      <c r="M16" s="19">
        <f t="shared" ref="M16:M25" ca="1" si="9">L16-3</f>
        <v>74</v>
      </c>
      <c r="N16" s="19" t="s">
        <v>47</v>
      </c>
    </row>
    <row r="17" spans="1:14" ht="27.6" customHeight="1" x14ac:dyDescent="0.3">
      <c r="A17" s="7" t="s">
        <v>65</v>
      </c>
      <c r="B17" s="33" t="str">
        <f>일위대가!A83</f>
        <v>케이블트레이부속품 설치</v>
      </c>
      <c r="C17" s="33" t="e">
        <f>일위대가!B83</f>
        <v>#REF!</v>
      </c>
      <c r="D17" s="48" t="e">
        <f>일위대가!C83</f>
        <v>#REF!</v>
      </c>
      <c r="E17" s="61"/>
      <c r="F17" s="61"/>
      <c r="G17" s="61"/>
      <c r="H17" s="51"/>
      <c r="I17" s="7" t="s">
        <v>269</v>
      </c>
      <c r="J17" s="7" t="s">
        <v>47</v>
      </c>
      <c r="K17" s="19" t="str">
        <f t="shared" ca="1" si="6"/>
        <v>=일위대가!B83</v>
      </c>
      <c r="L17" s="19" t="str">
        <f t="shared" ca="1" si="7"/>
        <v>83</v>
      </c>
      <c r="M17" s="19">
        <f t="shared" ca="1" si="9"/>
        <v>80</v>
      </c>
      <c r="N17" s="19" t="s">
        <v>47</v>
      </c>
    </row>
    <row r="18" spans="1:14" ht="27.6" customHeight="1" x14ac:dyDescent="0.3">
      <c r="A18" s="7" t="s">
        <v>63</v>
      </c>
      <c r="B18" s="33" t="str">
        <f>일위대가!A89</f>
        <v>케이블트레이부속품 설치</v>
      </c>
      <c r="C18" s="33" t="e">
        <f>일위대가!B89</f>
        <v>#REF!</v>
      </c>
      <c r="D18" s="48" t="e">
        <f>일위대가!C89</f>
        <v>#REF!</v>
      </c>
      <c r="E18" s="61"/>
      <c r="F18" s="61"/>
      <c r="G18" s="61"/>
      <c r="H18" s="51"/>
      <c r="I18" s="7" t="s">
        <v>270</v>
      </c>
      <c r="J18" s="7" t="s">
        <v>47</v>
      </c>
      <c r="K18" s="19" t="str">
        <f t="shared" ref="K18:K19" ca="1" si="10">_xlfn.FORMULATEXT(C18)</f>
        <v>=일위대가!B89</v>
      </c>
      <c r="L18" s="19" t="str">
        <f t="shared" ref="L18:L19" ca="1" si="11">RIGHT(K18, LEN(K18)-FIND("B",K18)-LEN("B")+1)</f>
        <v>89</v>
      </c>
      <c r="M18" s="19">
        <f t="shared" ref="M18:M19" ca="1" si="12">L18-3</f>
        <v>86</v>
      </c>
      <c r="N18" s="19" t="s">
        <v>47</v>
      </c>
    </row>
    <row r="19" spans="1:14" ht="27.6" customHeight="1" x14ac:dyDescent="0.3">
      <c r="A19" s="7" t="s">
        <v>65</v>
      </c>
      <c r="B19" s="33" t="str">
        <f>일위대가!A95</f>
        <v>케이블트레이지지대 설치</v>
      </c>
      <c r="C19" s="33" t="str">
        <f>일위대가!B95</f>
        <v>스트롱앵커(천장) 3/8"</v>
      </c>
      <c r="D19" s="48" t="e">
        <f>일위대가!C95</f>
        <v>#REF!</v>
      </c>
      <c r="E19" s="61"/>
      <c r="F19" s="61"/>
      <c r="G19" s="61"/>
      <c r="H19" s="51"/>
      <c r="I19" s="7" t="s">
        <v>271</v>
      </c>
      <c r="J19" s="7" t="s">
        <v>47</v>
      </c>
      <c r="K19" s="19" t="str">
        <f t="shared" ca="1" si="10"/>
        <v>=일위대가!B95</v>
      </c>
      <c r="L19" s="19" t="str">
        <f t="shared" ca="1" si="11"/>
        <v>95</v>
      </c>
      <c r="M19" s="19">
        <f t="shared" ca="1" si="12"/>
        <v>92</v>
      </c>
      <c r="N19" s="19" t="s">
        <v>47</v>
      </c>
    </row>
    <row r="20" spans="1:14" ht="27.6" customHeight="1" x14ac:dyDescent="0.3">
      <c r="A20" s="7" t="s">
        <v>67</v>
      </c>
      <c r="B20" s="33" t="str">
        <f>일위대가!A108</f>
        <v>강제전선관 설치</v>
      </c>
      <c r="C20" s="33" t="e">
        <f>일위대가!B108</f>
        <v>#REF!</v>
      </c>
      <c r="D20" s="48" t="e">
        <f>일위대가!C108</f>
        <v>#REF!</v>
      </c>
      <c r="E20" s="61"/>
      <c r="F20" s="61"/>
      <c r="G20" s="61"/>
      <c r="H20" s="51"/>
      <c r="I20" s="7" t="s">
        <v>272</v>
      </c>
      <c r="J20" s="7" t="s">
        <v>47</v>
      </c>
      <c r="K20" s="19" t="str">
        <f t="shared" ca="1" si="6"/>
        <v>=일위대가!B108</v>
      </c>
      <c r="L20" s="19" t="str">
        <f t="shared" ca="1" si="7"/>
        <v>108</v>
      </c>
      <c r="M20" s="19">
        <f t="shared" ca="1" si="9"/>
        <v>105</v>
      </c>
      <c r="N20" s="19" t="s">
        <v>47</v>
      </c>
    </row>
    <row r="21" spans="1:14" ht="27.6" customHeight="1" x14ac:dyDescent="0.3">
      <c r="A21" s="7" t="s">
        <v>69</v>
      </c>
      <c r="B21" s="33" t="str">
        <f>일위대가!A116</f>
        <v>강제전선관 설치</v>
      </c>
      <c r="C21" s="33" t="e">
        <f>일위대가!B116</f>
        <v>#REF!</v>
      </c>
      <c r="D21" s="48" t="e">
        <f>일위대가!C116</f>
        <v>#REF!</v>
      </c>
      <c r="E21" s="61"/>
      <c r="F21" s="61"/>
      <c r="G21" s="61"/>
      <c r="H21" s="51"/>
      <c r="I21" s="7" t="s">
        <v>273</v>
      </c>
      <c r="J21" s="7" t="s">
        <v>47</v>
      </c>
      <c r="K21" s="19" t="str">
        <f t="shared" ca="1" si="6"/>
        <v>=일위대가!B116</v>
      </c>
      <c r="L21" s="19" t="str">
        <f t="shared" ca="1" si="7"/>
        <v>116</v>
      </c>
      <c r="M21" s="19">
        <f t="shared" ca="1" si="9"/>
        <v>113</v>
      </c>
      <c r="N21" s="19" t="s">
        <v>47</v>
      </c>
    </row>
    <row r="22" spans="1:14" ht="27.6" customHeight="1" x14ac:dyDescent="0.3">
      <c r="A22" s="7" t="s">
        <v>71</v>
      </c>
      <c r="B22" s="33" t="str">
        <f>일위대가!A124</f>
        <v>강제전선관 설치</v>
      </c>
      <c r="C22" s="33" t="e">
        <f>일위대가!B124</f>
        <v>#REF!</v>
      </c>
      <c r="D22" s="48" t="e">
        <f>일위대가!C124</f>
        <v>#REF!</v>
      </c>
      <c r="E22" s="61"/>
      <c r="F22" s="61"/>
      <c r="G22" s="61"/>
      <c r="H22" s="51"/>
      <c r="I22" s="7" t="s">
        <v>274</v>
      </c>
      <c r="J22" s="7" t="s">
        <v>47</v>
      </c>
      <c r="K22" s="19" t="str">
        <f t="shared" ca="1" si="6"/>
        <v>=일위대가!B124</v>
      </c>
      <c r="L22" s="19" t="str">
        <f t="shared" ca="1" si="7"/>
        <v>124</v>
      </c>
      <c r="M22" s="19">
        <f t="shared" ca="1" si="9"/>
        <v>121</v>
      </c>
      <c r="N22" s="19" t="s">
        <v>47</v>
      </c>
    </row>
    <row r="23" spans="1:14" ht="27.6" customHeight="1" x14ac:dyDescent="0.3">
      <c r="A23" s="7" t="s">
        <v>73</v>
      </c>
      <c r="B23" s="33" t="str">
        <f>일위대가!A132</f>
        <v>강제전선관 설치</v>
      </c>
      <c r="C23" s="33" t="e">
        <f>일위대가!B132</f>
        <v>#REF!</v>
      </c>
      <c r="D23" s="48" t="e">
        <f>일위대가!C132</f>
        <v>#REF!</v>
      </c>
      <c r="E23" s="61"/>
      <c r="F23" s="61"/>
      <c r="G23" s="61"/>
      <c r="H23" s="51"/>
      <c r="I23" s="7" t="s">
        <v>275</v>
      </c>
      <c r="J23" s="7" t="s">
        <v>47</v>
      </c>
      <c r="K23" s="19" t="str">
        <f t="shared" ca="1" si="6"/>
        <v>=일위대가!B132</v>
      </c>
      <c r="L23" s="19" t="str">
        <f t="shared" ca="1" si="7"/>
        <v>132</v>
      </c>
      <c r="M23" s="19">
        <f t="shared" ca="1" si="9"/>
        <v>129</v>
      </c>
      <c r="N23" s="19" t="s">
        <v>47</v>
      </c>
    </row>
    <row r="24" spans="1:14" ht="27.6" customHeight="1" x14ac:dyDescent="0.3">
      <c r="A24" s="7" t="s">
        <v>75</v>
      </c>
      <c r="B24" s="33" t="str">
        <f>일위대가!A140</f>
        <v>풀박스 설치</v>
      </c>
      <c r="C24" s="33" t="e">
        <f>일위대가!B140</f>
        <v>#REF!</v>
      </c>
      <c r="D24" s="48" t="e">
        <f>일위대가!C140</f>
        <v>#REF!</v>
      </c>
      <c r="E24" s="61"/>
      <c r="F24" s="61"/>
      <c r="G24" s="61"/>
      <c r="H24" s="51"/>
      <c r="I24" s="7" t="s">
        <v>276</v>
      </c>
      <c r="J24" s="7" t="s">
        <v>47</v>
      </c>
      <c r="K24" s="19" t="str">
        <f t="shared" ca="1" si="6"/>
        <v>=일위대가!B140</v>
      </c>
      <c r="L24" s="19" t="str">
        <f t="shared" ca="1" si="7"/>
        <v>140</v>
      </c>
      <c r="M24" s="19">
        <f t="shared" ca="1" si="9"/>
        <v>137</v>
      </c>
      <c r="N24" s="19" t="s">
        <v>47</v>
      </c>
    </row>
    <row r="25" spans="1:14" ht="27.6" customHeight="1" x14ac:dyDescent="0.3">
      <c r="A25" s="7" t="s">
        <v>76</v>
      </c>
      <c r="B25" s="33" t="str">
        <f>일위대가!A146</f>
        <v>전력케이블 설치</v>
      </c>
      <c r="C25" s="33" t="e">
        <f>일위대가!B146</f>
        <v>#REF!</v>
      </c>
      <c r="D25" s="48" t="e">
        <f>일위대가!C146</f>
        <v>#REF!</v>
      </c>
      <c r="E25" s="61"/>
      <c r="F25" s="61"/>
      <c r="G25" s="61"/>
      <c r="H25" s="51"/>
      <c r="I25" s="7" t="s">
        <v>277</v>
      </c>
      <c r="J25" s="7" t="s">
        <v>47</v>
      </c>
      <c r="K25" s="19" t="str">
        <f t="shared" ref="K25" ca="1" si="13">_xlfn.FORMULATEXT(C25)</f>
        <v>=일위대가!B146</v>
      </c>
      <c r="L25" s="19" t="str">
        <f t="shared" ref="L25" ca="1" si="14">RIGHT(K25, LEN(K25)-FIND("B",K25)-LEN("B")+1)</f>
        <v>146</v>
      </c>
      <c r="M25" s="19">
        <f t="shared" ca="1" si="9"/>
        <v>143</v>
      </c>
      <c r="N25" s="19" t="s">
        <v>47</v>
      </c>
    </row>
    <row r="26" spans="1:14" ht="27.6" customHeight="1" x14ac:dyDescent="0.3">
      <c r="A26" s="7" t="s">
        <v>76</v>
      </c>
      <c r="B26" s="33" t="str">
        <f>일위대가!A153</f>
        <v>전력케이블 설치</v>
      </c>
      <c r="C26" s="33" t="e">
        <f>일위대가!B153</f>
        <v>#REF!</v>
      </c>
      <c r="D26" s="48" t="e">
        <f>일위대가!C153</f>
        <v>#REF!</v>
      </c>
      <c r="E26" s="61"/>
      <c r="F26" s="61"/>
      <c r="G26" s="61"/>
      <c r="H26" s="40"/>
      <c r="I26" s="7" t="s">
        <v>278</v>
      </c>
      <c r="J26" s="7" t="s">
        <v>47</v>
      </c>
      <c r="K26" s="19" t="str">
        <f t="shared" ca="1" si="3"/>
        <v>=일위대가!B153</v>
      </c>
      <c r="L26" s="19" t="str">
        <f t="shared" ca="1" si="4"/>
        <v>153</v>
      </c>
      <c r="M26" s="19">
        <f t="shared" ca="1" si="5"/>
        <v>150</v>
      </c>
      <c r="N26" s="19" t="s">
        <v>47</v>
      </c>
    </row>
    <row r="27" spans="1:14" ht="27.6" customHeight="1" x14ac:dyDescent="0.3">
      <c r="A27" s="7" t="s">
        <v>77</v>
      </c>
      <c r="B27" s="7" t="str">
        <f>일위대가!A160</f>
        <v>전력케이블 설치</v>
      </c>
      <c r="C27" s="7" t="e">
        <f>일위대가!B160</f>
        <v>#REF!</v>
      </c>
      <c r="D27" s="27" t="e">
        <f>일위대가!C160</f>
        <v>#REF!</v>
      </c>
      <c r="E27" s="61"/>
      <c r="F27" s="61"/>
      <c r="G27" s="61"/>
      <c r="H27" s="30"/>
      <c r="I27" s="7" t="s">
        <v>279</v>
      </c>
      <c r="J27" s="7" t="s">
        <v>47</v>
      </c>
      <c r="K27" s="19" t="str">
        <f t="shared" ca="1" si="0"/>
        <v>=일위대가!B160</v>
      </c>
      <c r="L27" s="19" t="str">
        <f t="shared" ca="1" si="1"/>
        <v>160</v>
      </c>
      <c r="M27" s="19">
        <f t="shared" ca="1" si="2"/>
        <v>157</v>
      </c>
      <c r="N27" s="19" t="s">
        <v>47</v>
      </c>
    </row>
    <row r="28" spans="1:14" ht="27.6" customHeight="1" x14ac:dyDescent="0.3">
      <c r="A28" s="7" t="s">
        <v>77</v>
      </c>
      <c r="B28" s="7" t="str">
        <f>일위대가!A167</f>
        <v>전력케이블 설치</v>
      </c>
      <c r="C28" s="7" t="e">
        <f>일위대가!B167</f>
        <v>#REF!</v>
      </c>
      <c r="D28" s="27" t="e">
        <f>일위대가!C167</f>
        <v>#REF!</v>
      </c>
      <c r="E28" s="61"/>
      <c r="F28" s="61"/>
      <c r="G28" s="61"/>
      <c r="H28" s="46"/>
      <c r="I28" s="7" t="s">
        <v>280</v>
      </c>
      <c r="J28" s="7" t="s">
        <v>47</v>
      </c>
      <c r="K28" s="19" t="str">
        <f t="shared" ref="K28" ca="1" si="15">_xlfn.FORMULATEXT(C28)</f>
        <v>=일위대가!B167</v>
      </c>
      <c r="L28" s="19" t="str">
        <f t="shared" ref="L28" ca="1" si="16">RIGHT(K28, LEN(K28)-FIND("B",K28)-LEN("B")+1)</f>
        <v>167</v>
      </c>
      <c r="M28" s="19">
        <f t="shared" ref="M28" ca="1" si="17">L28-3</f>
        <v>164</v>
      </c>
      <c r="N28" s="19" t="s">
        <v>47</v>
      </c>
    </row>
    <row r="29" spans="1:14" ht="27.6" customHeight="1" x14ac:dyDescent="0.3">
      <c r="A29" s="7" t="s">
        <v>77</v>
      </c>
      <c r="B29" s="7" t="str">
        <f>일위대가!A174</f>
        <v>전력케이블 설치</v>
      </c>
      <c r="C29" s="7" t="e">
        <f>일위대가!B174</f>
        <v>#REF!</v>
      </c>
      <c r="D29" s="27" t="e">
        <f>일위대가!C174</f>
        <v>#REF!</v>
      </c>
      <c r="E29" s="61"/>
      <c r="F29" s="61"/>
      <c r="G29" s="61"/>
      <c r="H29" s="46"/>
      <c r="I29" s="7" t="s">
        <v>281</v>
      </c>
      <c r="J29" s="7" t="s">
        <v>47</v>
      </c>
      <c r="K29" s="19" t="str">
        <f t="shared" ref="K29" ca="1" si="18">_xlfn.FORMULATEXT(C29)</f>
        <v>=일위대가!B174</v>
      </c>
      <c r="L29" s="19" t="str">
        <f t="shared" ref="L29" ca="1" si="19">RIGHT(K29, LEN(K29)-FIND("B",K29)-LEN("B")+1)</f>
        <v>174</v>
      </c>
      <c r="M29" s="19">
        <f t="shared" ref="M29" ca="1" si="20">L29-3</f>
        <v>171</v>
      </c>
      <c r="N29" s="19" t="s">
        <v>47</v>
      </c>
    </row>
    <row r="30" spans="1:14" ht="27.6" customHeight="1" x14ac:dyDescent="0.3">
      <c r="A30" s="7" t="s">
        <v>77</v>
      </c>
      <c r="B30" s="7" t="str">
        <f>일위대가!A181</f>
        <v>UTP케이블 설치</v>
      </c>
      <c r="C30" s="7" t="e">
        <f>일위대가!B181</f>
        <v>#REF!</v>
      </c>
      <c r="D30" s="27" t="e">
        <f>일위대가!C181</f>
        <v>#REF!</v>
      </c>
      <c r="E30" s="61"/>
      <c r="F30" s="61"/>
      <c r="G30" s="61"/>
      <c r="H30" s="46"/>
      <c r="I30" s="7" t="s">
        <v>282</v>
      </c>
      <c r="J30" s="7" t="s">
        <v>47</v>
      </c>
      <c r="K30" s="19" t="str">
        <f t="shared" ref="K30" ca="1" si="21">_xlfn.FORMULATEXT(C30)</f>
        <v>=일위대가!B181</v>
      </c>
      <c r="L30" s="19" t="str">
        <f t="shared" ref="L30" ca="1" si="22">RIGHT(K30, LEN(K30)-FIND("B",K30)-LEN("B")+1)</f>
        <v>181</v>
      </c>
      <c r="M30" s="19">
        <f t="shared" ref="M30" ca="1" si="23">L30-3</f>
        <v>178</v>
      </c>
      <c r="N30" s="19" t="s">
        <v>47</v>
      </c>
    </row>
    <row r="31" spans="1:14" ht="27.6" customHeight="1" x14ac:dyDescent="0.3">
      <c r="A31" s="7" t="s">
        <v>77</v>
      </c>
      <c r="B31" s="7" t="str">
        <f>일위대가!A188</f>
        <v>접지용전선 설치</v>
      </c>
      <c r="C31" s="7" t="e">
        <f>일위대가!B188</f>
        <v>#REF!</v>
      </c>
      <c r="D31" s="27" t="e">
        <f>일위대가!C188</f>
        <v>#REF!</v>
      </c>
      <c r="E31" s="61"/>
      <c r="F31" s="61"/>
      <c r="G31" s="61"/>
      <c r="H31" s="46"/>
      <c r="I31" s="7" t="s">
        <v>339</v>
      </c>
      <c r="J31" s="7" t="s">
        <v>47</v>
      </c>
      <c r="K31" s="19" t="str">
        <f t="shared" ref="K31" ca="1" si="24">_xlfn.FORMULATEXT(C31)</f>
        <v>=일위대가!B188</v>
      </c>
      <c r="L31" s="19" t="str">
        <f t="shared" ref="L31" ca="1" si="25">RIGHT(K31, LEN(K31)-FIND("B",K31)-LEN("B")+1)</f>
        <v>188</v>
      </c>
      <c r="M31" s="19">
        <f t="shared" ref="M31" ca="1" si="26">L31-3</f>
        <v>185</v>
      </c>
      <c r="N31" s="19" t="s">
        <v>47</v>
      </c>
    </row>
    <row r="32" spans="1:14" ht="27.6" customHeight="1" x14ac:dyDescent="0.3">
      <c r="A32" s="7" t="s">
        <v>77</v>
      </c>
      <c r="B32" s="7" t="str">
        <f>일위대가!A195</f>
        <v>배관 해체</v>
      </c>
      <c r="C32" s="7" t="str">
        <f>일위대가!B195</f>
        <v>D25</v>
      </c>
      <c r="D32" s="27" t="str">
        <f>일위대가!C195</f>
        <v>m</v>
      </c>
      <c r="E32" s="61"/>
      <c r="F32" s="61"/>
      <c r="G32" s="61"/>
      <c r="H32" s="54"/>
      <c r="I32" s="7" t="s">
        <v>340</v>
      </c>
      <c r="J32" s="7" t="s">
        <v>47</v>
      </c>
      <c r="K32" s="19" t="str">
        <f t="shared" ref="K32:K40" ca="1" si="27">_xlfn.FORMULATEXT(C32)</f>
        <v>=일위대가!B195</v>
      </c>
      <c r="L32" s="19" t="str">
        <f t="shared" ref="L32:L40" ca="1" si="28">RIGHT(K32, LEN(K32)-FIND("B",K32)-LEN("B")+1)</f>
        <v>195</v>
      </c>
      <c r="M32" s="19">
        <f t="shared" ref="M32:M40" ca="1" si="29">L32-3</f>
        <v>192</v>
      </c>
      <c r="N32" s="19" t="s">
        <v>47</v>
      </c>
    </row>
    <row r="33" spans="1:14" ht="27.6" customHeight="1" x14ac:dyDescent="0.3">
      <c r="A33" s="7" t="s">
        <v>76</v>
      </c>
      <c r="B33" s="33" t="str">
        <f>일위대가!A202</f>
        <v>스위치 철거</v>
      </c>
      <c r="C33" s="33" t="str">
        <f>일위대가!B202</f>
        <v>텀블러 스위치 단로용</v>
      </c>
      <c r="D33" s="48" t="str">
        <f>일위대가!C202</f>
        <v>개</v>
      </c>
      <c r="E33" s="61"/>
      <c r="F33" s="61"/>
      <c r="G33" s="61"/>
      <c r="H33" s="54"/>
      <c r="I33" s="7" t="s">
        <v>327</v>
      </c>
      <c r="J33" s="7" t="s">
        <v>47</v>
      </c>
      <c r="K33" s="19" t="str">
        <f t="shared" ca="1" si="27"/>
        <v>=일위대가!B202</v>
      </c>
      <c r="L33" s="19" t="str">
        <f t="shared" ca="1" si="28"/>
        <v>202</v>
      </c>
      <c r="M33" s="19">
        <f t="shared" ca="1" si="29"/>
        <v>199</v>
      </c>
      <c r="N33" s="19" t="s">
        <v>47</v>
      </c>
    </row>
    <row r="34" spans="1:14" ht="27.6" customHeight="1" x14ac:dyDescent="0.3">
      <c r="A34" s="7" t="s">
        <v>77</v>
      </c>
      <c r="B34" s="7" t="str">
        <f>일위대가!A208</f>
        <v>스위치 설치</v>
      </c>
      <c r="C34" s="7" t="e">
        <f>일위대가!B208</f>
        <v>#REF!</v>
      </c>
      <c r="D34" s="27" t="e">
        <f>일위대가!C208</f>
        <v>#REF!</v>
      </c>
      <c r="E34" s="61"/>
      <c r="F34" s="61"/>
      <c r="G34" s="61"/>
      <c r="H34" s="54"/>
      <c r="I34" s="7" t="s">
        <v>328</v>
      </c>
      <c r="J34" s="7" t="s">
        <v>47</v>
      </c>
      <c r="K34" s="19" t="str">
        <f t="shared" ca="1" si="27"/>
        <v>=일위대가!B208</v>
      </c>
      <c r="L34" s="19" t="str">
        <f t="shared" ca="1" si="28"/>
        <v>208</v>
      </c>
      <c r="M34" s="19">
        <f t="shared" ca="1" si="29"/>
        <v>205</v>
      </c>
      <c r="N34" s="19" t="s">
        <v>47</v>
      </c>
    </row>
    <row r="35" spans="1:14" ht="27.6" customHeight="1" x14ac:dyDescent="0.3">
      <c r="A35" s="7" t="s">
        <v>77</v>
      </c>
      <c r="B35" s="7" t="str">
        <f>일위대가!A214</f>
        <v>스위치 설치</v>
      </c>
      <c r="C35" s="7" t="e">
        <f>일위대가!B214</f>
        <v>#REF!</v>
      </c>
      <c r="D35" s="27" t="e">
        <f>일위대가!C214</f>
        <v>#REF!</v>
      </c>
      <c r="E35" s="61"/>
      <c r="F35" s="61"/>
      <c r="G35" s="61"/>
      <c r="H35" s="54"/>
      <c r="I35" s="7" t="s">
        <v>329</v>
      </c>
      <c r="J35" s="7" t="s">
        <v>47</v>
      </c>
      <c r="K35" s="19" t="str">
        <f t="shared" ca="1" si="27"/>
        <v>=일위대가!B214</v>
      </c>
      <c r="L35" s="19" t="str">
        <f t="shared" ca="1" si="28"/>
        <v>214</v>
      </c>
      <c r="M35" s="19">
        <f t="shared" ca="1" si="29"/>
        <v>211</v>
      </c>
      <c r="N35" s="19" t="s">
        <v>47</v>
      </c>
    </row>
    <row r="36" spans="1:14" ht="27.6" customHeight="1" x14ac:dyDescent="0.3">
      <c r="A36" s="7" t="s">
        <v>76</v>
      </c>
      <c r="B36" s="33" t="str">
        <f>일위대가!A220</f>
        <v>스위치 설치</v>
      </c>
      <c r="C36" s="33" t="e">
        <f>일위대가!B220</f>
        <v>#REF!</v>
      </c>
      <c r="D36" s="48" t="e">
        <f>일위대가!C220</f>
        <v>#REF!</v>
      </c>
      <c r="E36" s="61"/>
      <c r="F36" s="61"/>
      <c r="G36" s="61"/>
      <c r="H36" s="61"/>
      <c r="I36" s="7" t="s">
        <v>330</v>
      </c>
      <c r="J36" s="7" t="s">
        <v>47</v>
      </c>
      <c r="K36" s="19" t="str">
        <f t="shared" ref="K36:K38" ca="1" si="30">_xlfn.FORMULATEXT(C36)</f>
        <v>=일위대가!B220</v>
      </c>
      <c r="L36" s="19" t="str">
        <f t="shared" ref="L36:L38" ca="1" si="31">RIGHT(K36, LEN(K36)-FIND("B",K36)-LEN("B")+1)</f>
        <v>220</v>
      </c>
      <c r="M36" s="19">
        <f t="shared" ref="M36:M38" ca="1" si="32">L36-3</f>
        <v>217</v>
      </c>
      <c r="N36" s="19" t="s">
        <v>47</v>
      </c>
    </row>
    <row r="37" spans="1:14" ht="27.6" customHeight="1" x14ac:dyDescent="0.3">
      <c r="A37" s="7" t="s">
        <v>77</v>
      </c>
      <c r="B37" s="7" t="str">
        <f>일위대가!A226</f>
        <v>콘센트 철거</v>
      </c>
      <c r="C37" s="7" t="str">
        <f>일위대가!B226</f>
        <v>접지극부 15A</v>
      </c>
      <c r="D37" s="27" t="str">
        <f>일위대가!C226</f>
        <v>개</v>
      </c>
      <c r="E37" s="61"/>
      <c r="F37" s="61"/>
      <c r="G37" s="61"/>
      <c r="H37" s="61"/>
      <c r="I37" s="7" t="s">
        <v>341</v>
      </c>
      <c r="J37" s="7" t="s">
        <v>47</v>
      </c>
      <c r="K37" s="19" t="str">
        <f t="shared" ca="1" si="30"/>
        <v>=일위대가!B226</v>
      </c>
      <c r="L37" s="19" t="str">
        <f t="shared" ca="1" si="31"/>
        <v>226</v>
      </c>
      <c r="M37" s="19">
        <f t="shared" ca="1" si="32"/>
        <v>223</v>
      </c>
      <c r="N37" s="19" t="s">
        <v>47</v>
      </c>
    </row>
    <row r="38" spans="1:14" ht="27.6" customHeight="1" x14ac:dyDescent="0.3">
      <c r="A38" s="7" t="s">
        <v>77</v>
      </c>
      <c r="B38" s="7" t="str">
        <f>일위대가!A232</f>
        <v>콘센트 설치</v>
      </c>
      <c r="C38" s="7" t="e">
        <f>일위대가!B232</f>
        <v>#REF!</v>
      </c>
      <c r="D38" s="27" t="e">
        <f>일위대가!C232</f>
        <v>#REF!</v>
      </c>
      <c r="E38" s="61"/>
      <c r="F38" s="61"/>
      <c r="G38" s="61"/>
      <c r="H38" s="61"/>
      <c r="I38" s="7" t="s">
        <v>342</v>
      </c>
      <c r="J38" s="7" t="s">
        <v>47</v>
      </c>
      <c r="K38" s="19" t="str">
        <f t="shared" ca="1" si="30"/>
        <v>=일위대가!B232</v>
      </c>
      <c r="L38" s="19" t="str">
        <f t="shared" ca="1" si="31"/>
        <v>232</v>
      </c>
      <c r="M38" s="19">
        <f t="shared" ca="1" si="32"/>
        <v>229</v>
      </c>
      <c r="N38" s="19" t="s">
        <v>47</v>
      </c>
    </row>
    <row r="39" spans="1:14" ht="27.6" customHeight="1" x14ac:dyDescent="0.3">
      <c r="A39" s="7" t="s">
        <v>77</v>
      </c>
      <c r="B39" s="7" t="str">
        <f>일위대가!A238</f>
        <v>멀티덕트 설치</v>
      </c>
      <c r="C39" s="7" t="e">
        <f>일위대가!B238</f>
        <v>#REF!</v>
      </c>
      <c r="D39" s="27" t="e">
        <f>일위대가!C238</f>
        <v>#REF!</v>
      </c>
      <c r="E39" s="61"/>
      <c r="F39" s="61"/>
      <c r="G39" s="61"/>
      <c r="H39" s="54"/>
      <c r="I39" s="7" t="s">
        <v>343</v>
      </c>
      <c r="J39" s="7" t="s">
        <v>47</v>
      </c>
      <c r="K39" s="19" t="str">
        <f t="shared" ca="1" si="27"/>
        <v>=일위대가!B238</v>
      </c>
      <c r="L39" s="19" t="str">
        <f t="shared" ca="1" si="28"/>
        <v>238</v>
      </c>
      <c r="M39" s="19">
        <f t="shared" ca="1" si="29"/>
        <v>235</v>
      </c>
      <c r="N39" s="19" t="s">
        <v>47</v>
      </c>
    </row>
    <row r="40" spans="1:14" ht="27.6" customHeight="1" x14ac:dyDescent="0.3">
      <c r="A40" s="7" t="s">
        <v>77</v>
      </c>
      <c r="B40" s="7" t="str">
        <f>일위대가!A245</f>
        <v>LED실내조명등 설치</v>
      </c>
      <c r="C40" s="7" t="e">
        <f>일위대가!B245</f>
        <v>#REF!</v>
      </c>
      <c r="D40" s="27" t="e">
        <f>일위대가!C245</f>
        <v>#REF!</v>
      </c>
      <c r="E40" s="54">
        <f>일위대가!F249</f>
        <v>0</v>
      </c>
      <c r="F40" s="54">
        <f>일위대가!H249</f>
        <v>0</v>
      </c>
      <c r="G40" s="54">
        <f>일위대가!J249</f>
        <v>0</v>
      </c>
      <c r="H40" s="54">
        <f t="shared" ref="H32:H40" si="33">E40+F40+G40</f>
        <v>0</v>
      </c>
      <c r="I40" s="7" t="s">
        <v>338</v>
      </c>
      <c r="J40" s="7" t="s">
        <v>47</v>
      </c>
      <c r="K40" s="19" t="str">
        <f t="shared" ca="1" si="27"/>
        <v>=일위대가!B245</v>
      </c>
      <c r="L40" s="19" t="str">
        <f t="shared" ca="1" si="28"/>
        <v>245</v>
      </c>
      <c r="M40" s="19">
        <f t="shared" ca="1" si="29"/>
        <v>242</v>
      </c>
      <c r="N40" s="19" t="s">
        <v>47</v>
      </c>
    </row>
  </sheetData>
  <mergeCells count="2">
    <mergeCell ref="A1:J1"/>
    <mergeCell ref="A2:J2"/>
  </mergeCells>
  <phoneticPr fontId="1" type="noConversion"/>
  <pageMargins left="0.78740157480314954" right="0" top="0.39370078740157477" bottom="0.39370078740157477" header="0" footer="0"/>
  <pageSetup paperSize="9" scale="8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E7A2F-4E5D-46DD-B8BB-DF5AE0E12095}">
  <sheetPr>
    <pageSetUpPr fitToPage="1"/>
  </sheetPr>
  <dimension ref="A1:AY250"/>
  <sheetViews>
    <sheetView tabSelected="1" view="pageBreakPreview" zoomScale="85" zoomScaleNormal="100" zoomScaleSheetLayoutView="85" workbookViewId="0">
      <pane ySplit="3" topLeftCell="A238" activePane="bottomLeft" state="frozen"/>
      <selection pane="bottomLeft" activeCell="F246" sqref="F246"/>
    </sheetView>
  </sheetViews>
  <sheetFormatPr defaultRowHeight="16.5" x14ac:dyDescent="0.3"/>
  <cols>
    <col min="1" max="2" width="30.625" style="53" customWidth="1"/>
    <col min="3" max="3" width="4.625" style="80" customWidth="1"/>
    <col min="4" max="4" width="8.625" style="53" customWidth="1"/>
    <col min="5" max="12" width="13.625" style="53" customWidth="1"/>
    <col min="13" max="13" width="17.75" style="53" customWidth="1"/>
    <col min="14" max="20" width="2.625" style="53" hidden="1" customWidth="1"/>
    <col min="21" max="21" width="2.875" style="53" hidden="1" customWidth="1"/>
    <col min="22" max="47" width="2.625" style="53" hidden="1" customWidth="1"/>
    <col min="48" max="48" width="1.625" style="53" hidden="1" customWidth="1"/>
    <col min="49" max="49" width="24.625" style="53" hidden="1" customWidth="1"/>
    <col min="50" max="51" width="2.625" style="53" hidden="1" customWidth="1"/>
    <col min="52" max="52" width="9" style="53" customWidth="1"/>
    <col min="53" max="16384" width="9" style="53"/>
  </cols>
  <sheetData>
    <row r="1" spans="1:51" ht="30" customHeight="1" x14ac:dyDescent="0.3">
      <c r="A1" s="111" t="str">
        <f>"[" &amp; 원가계산서!B2 &amp; "]"</f>
        <v>[제1공학관 창의공학지원실 노후시설 개선 전기공사]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</row>
    <row r="2" spans="1:51" ht="30" customHeight="1" x14ac:dyDescent="0.3">
      <c r="A2" s="112" t="s">
        <v>1</v>
      </c>
      <c r="B2" s="112" t="s">
        <v>2</v>
      </c>
      <c r="C2" s="112" t="s">
        <v>3</v>
      </c>
      <c r="D2" s="112" t="s">
        <v>4</v>
      </c>
      <c r="E2" s="112" t="s">
        <v>5</v>
      </c>
      <c r="F2" s="112"/>
      <c r="G2" s="112" t="s">
        <v>8</v>
      </c>
      <c r="H2" s="112"/>
      <c r="I2" s="112" t="s">
        <v>9</v>
      </c>
      <c r="J2" s="112"/>
      <c r="K2" s="112" t="s">
        <v>10</v>
      </c>
      <c r="L2" s="112"/>
      <c r="M2" s="112" t="s">
        <v>11</v>
      </c>
      <c r="N2" s="113" t="s">
        <v>91</v>
      </c>
      <c r="O2" s="110" t="s">
        <v>16</v>
      </c>
      <c r="P2" s="110" t="s">
        <v>18</v>
      </c>
      <c r="Q2" s="110" t="s">
        <v>19</v>
      </c>
      <c r="R2" s="110" t="s">
        <v>20</v>
      </c>
      <c r="S2" s="110" t="s">
        <v>21</v>
      </c>
      <c r="T2" s="110" t="s">
        <v>22</v>
      </c>
      <c r="U2" s="110" t="s">
        <v>23</v>
      </c>
      <c r="V2" s="110" t="s">
        <v>24</v>
      </c>
      <c r="W2" s="110" t="s">
        <v>25</v>
      </c>
      <c r="X2" s="110" t="s">
        <v>26</v>
      </c>
      <c r="Y2" s="110" t="s">
        <v>27</v>
      </c>
      <c r="Z2" s="110" t="s">
        <v>28</v>
      </c>
      <c r="AA2" s="110" t="s">
        <v>29</v>
      </c>
      <c r="AB2" s="110" t="s">
        <v>30</v>
      </c>
      <c r="AC2" s="110" t="s">
        <v>31</v>
      </c>
      <c r="AD2" s="110" t="s">
        <v>32</v>
      </c>
      <c r="AE2" s="110" t="s">
        <v>33</v>
      </c>
      <c r="AF2" s="110" t="s">
        <v>34</v>
      </c>
      <c r="AG2" s="110" t="s">
        <v>35</v>
      </c>
      <c r="AH2" s="110" t="s">
        <v>36</v>
      </c>
      <c r="AI2" s="110" t="s">
        <v>37</v>
      </c>
      <c r="AJ2" s="110" t="s">
        <v>38</v>
      </c>
      <c r="AK2" s="110" t="s">
        <v>39</v>
      </c>
      <c r="AL2" s="110" t="s">
        <v>40</v>
      </c>
      <c r="AM2" s="110" t="s">
        <v>41</v>
      </c>
      <c r="AN2" s="110" t="s">
        <v>42</v>
      </c>
      <c r="AO2" s="110" t="s">
        <v>43</v>
      </c>
      <c r="AP2" s="110" t="s">
        <v>92</v>
      </c>
      <c r="AQ2" s="110" t="s">
        <v>93</v>
      </c>
      <c r="AR2" s="110" t="s">
        <v>94</v>
      </c>
      <c r="AS2" s="110" t="s">
        <v>95</v>
      </c>
      <c r="AT2" s="110" t="s">
        <v>96</v>
      </c>
      <c r="AU2" s="110" t="s">
        <v>97</v>
      </c>
      <c r="AV2" s="110" t="s">
        <v>44</v>
      </c>
      <c r="AW2" s="110" t="s">
        <v>98</v>
      </c>
      <c r="AX2" s="72" t="s">
        <v>90</v>
      </c>
      <c r="AY2" s="72" t="s">
        <v>17</v>
      </c>
    </row>
    <row r="3" spans="1:51" ht="30" customHeight="1" x14ac:dyDescent="0.3">
      <c r="A3" s="112"/>
      <c r="B3" s="112"/>
      <c r="C3" s="112"/>
      <c r="D3" s="112"/>
      <c r="E3" s="73" t="s">
        <v>6</v>
      </c>
      <c r="F3" s="73" t="s">
        <v>7</v>
      </c>
      <c r="G3" s="73" t="s">
        <v>6</v>
      </c>
      <c r="H3" s="73" t="s">
        <v>7</v>
      </c>
      <c r="I3" s="73" t="s">
        <v>6</v>
      </c>
      <c r="J3" s="73" t="s">
        <v>7</v>
      </c>
      <c r="K3" s="73" t="s">
        <v>6</v>
      </c>
      <c r="L3" s="73" t="s">
        <v>7</v>
      </c>
      <c r="M3" s="112"/>
      <c r="N3" s="113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0"/>
      <c r="AJ3" s="110"/>
      <c r="AK3" s="110"/>
      <c r="AL3" s="110"/>
      <c r="AM3" s="110"/>
      <c r="AN3" s="110"/>
      <c r="AO3" s="110"/>
      <c r="AP3" s="110"/>
      <c r="AQ3" s="110"/>
      <c r="AR3" s="110"/>
      <c r="AS3" s="110"/>
      <c r="AT3" s="110"/>
      <c r="AU3" s="110"/>
      <c r="AV3" s="110"/>
      <c r="AW3" s="110"/>
    </row>
    <row r="4" spans="1:51" ht="30" customHeight="1" x14ac:dyDescent="0.3">
      <c r="A4" s="104" t="str">
        <f>A5&amp;"  "&amp;B5&amp;"  "&amp; C5&amp;"     ( 호표 1 )"</f>
        <v>금속덕트 철거  300mm*200mm  m     ( 호표 1 )</v>
      </c>
      <c r="B4" s="104"/>
      <c r="C4" s="104"/>
      <c r="D4" s="104"/>
      <c r="E4" s="105"/>
      <c r="F4" s="106"/>
      <c r="G4" s="105"/>
      <c r="H4" s="106"/>
      <c r="I4" s="105"/>
      <c r="J4" s="106"/>
      <c r="K4" s="105"/>
      <c r="L4" s="106"/>
      <c r="M4" s="104"/>
      <c r="N4" s="72" t="s">
        <v>57</v>
      </c>
    </row>
    <row r="5" spans="1:51" ht="30" customHeight="1" x14ac:dyDescent="0.3">
      <c r="A5" s="33" t="s">
        <v>236</v>
      </c>
      <c r="B5" s="33" t="s">
        <v>238</v>
      </c>
      <c r="C5" s="48" t="s">
        <v>209</v>
      </c>
      <c r="D5" s="57">
        <v>1</v>
      </c>
      <c r="E5" s="58"/>
      <c r="F5" s="59"/>
      <c r="G5" s="58"/>
      <c r="H5" s="59"/>
      <c r="I5" s="58"/>
      <c r="J5" s="59"/>
      <c r="K5" s="58"/>
      <c r="L5" s="59"/>
      <c r="M5" s="33" t="s">
        <v>47</v>
      </c>
      <c r="N5" s="52" t="s">
        <v>57</v>
      </c>
      <c r="O5" s="52" t="s">
        <v>99</v>
      </c>
      <c r="P5" s="52" t="s">
        <v>50</v>
      </c>
      <c r="Q5" s="52" t="s">
        <v>50</v>
      </c>
      <c r="R5" s="52" t="s">
        <v>51</v>
      </c>
      <c r="S5" s="74"/>
      <c r="T5" s="74"/>
      <c r="U5" s="74"/>
      <c r="V5" s="74">
        <v>1</v>
      </c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52" t="s">
        <v>47</v>
      </c>
      <c r="AW5" s="52" t="s">
        <v>100</v>
      </c>
      <c r="AX5" s="52" t="s">
        <v>47</v>
      </c>
      <c r="AY5" s="52" t="s">
        <v>47</v>
      </c>
    </row>
    <row r="6" spans="1:51" ht="30" customHeight="1" x14ac:dyDescent="0.3">
      <c r="A6" s="33" t="s">
        <v>215</v>
      </c>
      <c r="B6" s="33" t="s">
        <v>103</v>
      </c>
      <c r="C6" s="48" t="s">
        <v>104</v>
      </c>
      <c r="D6" s="75">
        <f>0.6*0.5</f>
        <v>0.3</v>
      </c>
      <c r="E6" s="58"/>
      <c r="F6" s="59"/>
      <c r="G6" s="58"/>
      <c r="H6" s="59"/>
      <c r="I6" s="58"/>
      <c r="J6" s="59"/>
      <c r="K6" s="58"/>
      <c r="L6" s="59"/>
      <c r="M6" s="41"/>
      <c r="N6" s="52" t="s">
        <v>57</v>
      </c>
      <c r="O6" s="52" t="s">
        <v>105</v>
      </c>
      <c r="P6" s="52" t="s">
        <v>50</v>
      </c>
      <c r="Q6" s="52" t="s">
        <v>50</v>
      </c>
      <c r="R6" s="52" t="s">
        <v>51</v>
      </c>
      <c r="S6" s="74"/>
      <c r="T6" s="74"/>
      <c r="U6" s="74"/>
      <c r="V6" s="74"/>
      <c r="W6" s="74">
        <v>2</v>
      </c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52" t="s">
        <v>47</v>
      </c>
      <c r="AW6" s="52" t="s">
        <v>106</v>
      </c>
      <c r="AX6" s="52" t="s">
        <v>47</v>
      </c>
      <c r="AY6" s="52" t="s">
        <v>47</v>
      </c>
    </row>
    <row r="7" spans="1:51" ht="30" customHeight="1" x14ac:dyDescent="0.3">
      <c r="A7" s="33" t="s">
        <v>107</v>
      </c>
      <c r="B7" s="33" t="s">
        <v>108</v>
      </c>
      <c r="C7" s="48" t="s">
        <v>101</v>
      </c>
      <c r="D7" s="57">
        <v>1</v>
      </c>
      <c r="E7" s="58"/>
      <c r="F7" s="59"/>
      <c r="G7" s="58"/>
      <c r="H7" s="59"/>
      <c r="I7" s="58"/>
      <c r="J7" s="59"/>
      <c r="K7" s="58"/>
      <c r="L7" s="59"/>
      <c r="M7" s="33" t="s">
        <v>47</v>
      </c>
      <c r="N7" s="52" t="s">
        <v>57</v>
      </c>
      <c r="O7" s="52" t="s">
        <v>109</v>
      </c>
      <c r="P7" s="52" t="s">
        <v>50</v>
      </c>
      <c r="Q7" s="52" t="s">
        <v>50</v>
      </c>
      <c r="R7" s="52" t="s">
        <v>50</v>
      </c>
      <c r="S7" s="74">
        <v>1</v>
      </c>
      <c r="T7" s="74">
        <v>0</v>
      </c>
      <c r="U7" s="74">
        <v>0.03</v>
      </c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52" t="s">
        <v>47</v>
      </c>
      <c r="AW7" s="52" t="s">
        <v>110</v>
      </c>
      <c r="AX7" s="52" t="s">
        <v>47</v>
      </c>
      <c r="AY7" s="52" t="s">
        <v>47</v>
      </c>
    </row>
    <row r="8" spans="1:51" ht="30" customHeight="1" x14ac:dyDescent="0.3">
      <c r="A8" s="33" t="s">
        <v>111</v>
      </c>
      <c r="B8" s="33" t="s">
        <v>47</v>
      </c>
      <c r="C8" s="48" t="s">
        <v>47</v>
      </c>
      <c r="D8" s="57"/>
      <c r="E8" s="58"/>
      <c r="F8" s="59">
        <f>TRUNC(SUMIF(N5:N7, N4, F5:F7),0)</f>
        <v>0</v>
      </c>
      <c r="G8" s="58"/>
      <c r="H8" s="59">
        <f>TRUNC(SUMIF(N5:N7, N4, H5:H7),0)</f>
        <v>0</v>
      </c>
      <c r="I8" s="58"/>
      <c r="J8" s="59">
        <f>TRUNC(SUMIF(N5:N7, N4, J5:J7),0)</f>
        <v>0</v>
      </c>
      <c r="K8" s="58"/>
      <c r="L8" s="59">
        <f>F8+H8+J8</f>
        <v>0</v>
      </c>
      <c r="M8" s="33" t="s">
        <v>47</v>
      </c>
      <c r="N8" s="52" t="s">
        <v>81</v>
      </c>
      <c r="O8" s="52" t="s">
        <v>81</v>
      </c>
      <c r="P8" s="52" t="s">
        <v>47</v>
      </c>
      <c r="Q8" s="52" t="s">
        <v>47</v>
      </c>
      <c r="R8" s="52" t="s">
        <v>47</v>
      </c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52" t="s">
        <v>47</v>
      </c>
      <c r="AW8" s="52" t="s">
        <v>47</v>
      </c>
      <c r="AX8" s="52" t="s">
        <v>47</v>
      </c>
      <c r="AY8" s="52" t="s">
        <v>47</v>
      </c>
    </row>
    <row r="9" spans="1:51" ht="30" customHeight="1" x14ac:dyDescent="0.3">
      <c r="A9" s="57"/>
      <c r="B9" s="57"/>
      <c r="C9" s="49"/>
      <c r="D9" s="57"/>
      <c r="E9" s="58"/>
      <c r="F9" s="59"/>
      <c r="G9" s="58"/>
      <c r="H9" s="59"/>
      <c r="I9" s="58"/>
      <c r="J9" s="59"/>
      <c r="K9" s="58"/>
      <c r="L9" s="59"/>
      <c r="M9" s="57"/>
    </row>
    <row r="10" spans="1:51" ht="30" customHeight="1" x14ac:dyDescent="0.3">
      <c r="A10" s="104" t="str">
        <f>A11&amp;"  "&amp;B11&amp;"  "&amp; C11&amp;"     ( 호표 2 )"</f>
        <v>금속덕트 철거  200mm*100mm  m     ( 호표 2 )</v>
      </c>
      <c r="B10" s="104"/>
      <c r="C10" s="104"/>
      <c r="D10" s="104"/>
      <c r="E10" s="105"/>
      <c r="F10" s="106"/>
      <c r="G10" s="105"/>
      <c r="H10" s="106"/>
      <c r="I10" s="105"/>
      <c r="J10" s="106"/>
      <c r="K10" s="105"/>
      <c r="L10" s="106"/>
      <c r="M10" s="104"/>
      <c r="N10" s="72" t="s">
        <v>57</v>
      </c>
    </row>
    <row r="11" spans="1:51" ht="30" customHeight="1" x14ac:dyDescent="0.3">
      <c r="A11" s="33" t="s">
        <v>236</v>
      </c>
      <c r="B11" s="33" t="s">
        <v>237</v>
      </c>
      <c r="C11" s="48" t="s">
        <v>209</v>
      </c>
      <c r="D11" s="57">
        <v>1</v>
      </c>
      <c r="E11" s="58"/>
      <c r="F11" s="59"/>
      <c r="G11" s="58"/>
      <c r="H11" s="59"/>
      <c r="I11" s="58"/>
      <c r="J11" s="59"/>
      <c r="K11" s="58"/>
      <c r="L11" s="59"/>
      <c r="M11" s="33" t="s">
        <v>47</v>
      </c>
      <c r="N11" s="52" t="s">
        <v>57</v>
      </c>
      <c r="O11" s="52" t="s">
        <v>99</v>
      </c>
      <c r="P11" s="52" t="s">
        <v>50</v>
      </c>
      <c r="Q11" s="52" t="s">
        <v>50</v>
      </c>
      <c r="R11" s="52" t="s">
        <v>51</v>
      </c>
      <c r="S11" s="74"/>
      <c r="T11" s="74"/>
      <c r="U11" s="74"/>
      <c r="V11" s="74">
        <v>1</v>
      </c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52" t="s">
        <v>47</v>
      </c>
      <c r="AW11" s="52" t="s">
        <v>100</v>
      </c>
      <c r="AX11" s="52" t="s">
        <v>47</v>
      </c>
      <c r="AY11" s="52" t="s">
        <v>47</v>
      </c>
    </row>
    <row r="12" spans="1:51" ht="30" customHeight="1" x14ac:dyDescent="0.3">
      <c r="A12" s="33" t="s">
        <v>215</v>
      </c>
      <c r="B12" s="33" t="s">
        <v>103</v>
      </c>
      <c r="C12" s="48" t="s">
        <v>104</v>
      </c>
      <c r="D12" s="76">
        <f>0.45*0.5</f>
        <v>0.22500000000000001</v>
      </c>
      <c r="E12" s="58"/>
      <c r="F12" s="59"/>
      <c r="G12" s="58"/>
      <c r="H12" s="59"/>
      <c r="I12" s="58"/>
      <c r="J12" s="59"/>
      <c r="K12" s="58"/>
      <c r="L12" s="59"/>
      <c r="M12" s="41"/>
      <c r="N12" s="52" t="s">
        <v>57</v>
      </c>
      <c r="O12" s="52" t="s">
        <v>105</v>
      </c>
      <c r="P12" s="52" t="s">
        <v>50</v>
      </c>
      <c r="Q12" s="52" t="s">
        <v>50</v>
      </c>
      <c r="R12" s="52" t="s">
        <v>51</v>
      </c>
      <c r="S12" s="74"/>
      <c r="T12" s="74"/>
      <c r="U12" s="74"/>
      <c r="V12" s="74"/>
      <c r="W12" s="74">
        <v>2</v>
      </c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52" t="s">
        <v>47</v>
      </c>
      <c r="AW12" s="52" t="s">
        <v>106</v>
      </c>
      <c r="AX12" s="52" t="s">
        <v>47</v>
      </c>
      <c r="AY12" s="52" t="s">
        <v>47</v>
      </c>
    </row>
    <row r="13" spans="1:51" ht="30" customHeight="1" x14ac:dyDescent="0.3">
      <c r="A13" s="33" t="s">
        <v>107</v>
      </c>
      <c r="B13" s="33" t="s">
        <v>108</v>
      </c>
      <c r="C13" s="48" t="s">
        <v>101</v>
      </c>
      <c r="D13" s="57">
        <v>1</v>
      </c>
      <c r="E13" s="58"/>
      <c r="F13" s="59"/>
      <c r="G13" s="58"/>
      <c r="H13" s="59"/>
      <c r="I13" s="58"/>
      <c r="J13" s="59"/>
      <c r="K13" s="58"/>
      <c r="L13" s="59"/>
      <c r="M13" s="33" t="s">
        <v>47</v>
      </c>
      <c r="N13" s="52" t="s">
        <v>57</v>
      </c>
      <c r="O13" s="52" t="s">
        <v>109</v>
      </c>
      <c r="P13" s="52" t="s">
        <v>50</v>
      </c>
      <c r="Q13" s="52" t="s">
        <v>50</v>
      </c>
      <c r="R13" s="52" t="s">
        <v>50</v>
      </c>
      <c r="S13" s="74">
        <v>1</v>
      </c>
      <c r="T13" s="74">
        <v>0</v>
      </c>
      <c r="U13" s="74">
        <v>0.03</v>
      </c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52" t="s">
        <v>47</v>
      </c>
      <c r="AW13" s="52" t="s">
        <v>110</v>
      </c>
      <c r="AX13" s="52" t="s">
        <v>47</v>
      </c>
      <c r="AY13" s="52" t="s">
        <v>47</v>
      </c>
    </row>
    <row r="14" spans="1:51" ht="30" customHeight="1" x14ac:dyDescent="0.3">
      <c r="A14" s="33" t="s">
        <v>111</v>
      </c>
      <c r="B14" s="33" t="s">
        <v>47</v>
      </c>
      <c r="C14" s="48" t="s">
        <v>47</v>
      </c>
      <c r="D14" s="57"/>
      <c r="E14" s="58"/>
      <c r="F14" s="59">
        <f>TRUNC(SUMIF(N11:N13, N10, F11:F13),0)</f>
        <v>0</v>
      </c>
      <c r="G14" s="58"/>
      <c r="H14" s="59">
        <f>TRUNC(SUMIF(N11:N13, N10, H11:H13),0)</f>
        <v>0</v>
      </c>
      <c r="I14" s="58"/>
      <c r="J14" s="59">
        <f>TRUNC(SUMIF(N11:N13, N10, J11:J13),0)</f>
        <v>0</v>
      </c>
      <c r="K14" s="58"/>
      <c r="L14" s="59">
        <f>F14+H14+J14</f>
        <v>0</v>
      </c>
      <c r="M14" s="33" t="s">
        <v>47</v>
      </c>
      <c r="N14" s="52" t="s">
        <v>81</v>
      </c>
      <c r="O14" s="52" t="s">
        <v>81</v>
      </c>
      <c r="P14" s="52" t="s">
        <v>47</v>
      </c>
      <c r="Q14" s="52" t="s">
        <v>47</v>
      </c>
      <c r="R14" s="52" t="s">
        <v>47</v>
      </c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52" t="s">
        <v>47</v>
      </c>
      <c r="AW14" s="52" t="s">
        <v>47</v>
      </c>
      <c r="AX14" s="52" t="s">
        <v>47</v>
      </c>
      <c r="AY14" s="52" t="s">
        <v>47</v>
      </c>
    </row>
    <row r="15" spans="1:51" ht="30" customHeight="1" x14ac:dyDescent="0.3">
      <c r="A15" s="57"/>
      <c r="B15" s="57"/>
      <c r="C15" s="49"/>
      <c r="D15" s="57"/>
      <c r="E15" s="58"/>
      <c r="F15" s="59"/>
      <c r="G15" s="58"/>
      <c r="H15" s="59"/>
      <c r="I15" s="58"/>
      <c r="J15" s="59"/>
      <c r="K15" s="58"/>
      <c r="L15" s="59"/>
      <c r="M15" s="57"/>
    </row>
    <row r="16" spans="1:51" ht="30" customHeight="1" x14ac:dyDescent="0.3">
      <c r="A16" s="104" t="str">
        <f>A17&amp;"  "&amp;B17&amp;"  "&amp; C17&amp;"     ( 호표 3 )"</f>
        <v>강제전선관 철거  후강전선관, 아연도, 22mm  m     ( 호표 3 )</v>
      </c>
      <c r="B16" s="104"/>
      <c r="C16" s="104"/>
      <c r="D16" s="104"/>
      <c r="E16" s="105"/>
      <c r="F16" s="106"/>
      <c r="G16" s="105"/>
      <c r="H16" s="106"/>
      <c r="I16" s="105"/>
      <c r="J16" s="106"/>
      <c r="K16" s="105"/>
      <c r="L16" s="106"/>
      <c r="M16" s="104"/>
      <c r="N16" s="72" t="s">
        <v>57</v>
      </c>
    </row>
    <row r="17" spans="1:51" ht="30" customHeight="1" x14ac:dyDescent="0.3">
      <c r="A17" s="33" t="s">
        <v>239</v>
      </c>
      <c r="B17" s="33" t="s">
        <v>240</v>
      </c>
      <c r="C17" s="48" t="s">
        <v>209</v>
      </c>
      <c r="D17" s="57">
        <v>1</v>
      </c>
      <c r="E17" s="58"/>
      <c r="F17" s="59"/>
      <c r="G17" s="58"/>
      <c r="H17" s="59"/>
      <c r="I17" s="58"/>
      <c r="J17" s="59"/>
      <c r="K17" s="58"/>
      <c r="L17" s="59"/>
      <c r="M17" s="33" t="s">
        <v>47</v>
      </c>
      <c r="N17" s="52" t="s">
        <v>57</v>
      </c>
      <c r="O17" s="52" t="s">
        <v>99</v>
      </c>
      <c r="P17" s="52" t="s">
        <v>50</v>
      </c>
      <c r="Q17" s="52" t="s">
        <v>50</v>
      </c>
      <c r="R17" s="52" t="s">
        <v>51</v>
      </c>
      <c r="S17" s="74"/>
      <c r="T17" s="74"/>
      <c r="U17" s="74"/>
      <c r="V17" s="74">
        <v>1</v>
      </c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52" t="s">
        <v>47</v>
      </c>
      <c r="AW17" s="52" t="s">
        <v>100</v>
      </c>
      <c r="AX17" s="52" t="s">
        <v>47</v>
      </c>
      <c r="AY17" s="52" t="s">
        <v>47</v>
      </c>
    </row>
    <row r="18" spans="1:51" ht="30" customHeight="1" x14ac:dyDescent="0.3">
      <c r="A18" s="33" t="s">
        <v>102</v>
      </c>
      <c r="B18" s="33" t="s">
        <v>103</v>
      </c>
      <c r="C18" s="48" t="s">
        <v>104</v>
      </c>
      <c r="D18" s="76">
        <f>0.11*0.3</f>
        <v>3.3000000000000002E-2</v>
      </c>
      <c r="E18" s="58"/>
      <c r="F18" s="59"/>
      <c r="G18" s="58"/>
      <c r="H18" s="59"/>
      <c r="I18" s="58"/>
      <c r="J18" s="59"/>
      <c r="K18" s="58"/>
      <c r="L18" s="59"/>
      <c r="M18" s="41"/>
      <c r="N18" s="52" t="s">
        <v>57</v>
      </c>
      <c r="O18" s="52" t="s">
        <v>105</v>
      </c>
      <c r="P18" s="52" t="s">
        <v>50</v>
      </c>
      <c r="Q18" s="52" t="s">
        <v>50</v>
      </c>
      <c r="R18" s="52" t="s">
        <v>51</v>
      </c>
      <c r="S18" s="74"/>
      <c r="T18" s="74"/>
      <c r="U18" s="74"/>
      <c r="V18" s="74"/>
      <c r="W18" s="74">
        <v>2</v>
      </c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52" t="s">
        <v>47</v>
      </c>
      <c r="AW18" s="52" t="s">
        <v>106</v>
      </c>
      <c r="AX18" s="52" t="s">
        <v>47</v>
      </c>
      <c r="AY18" s="52" t="s">
        <v>47</v>
      </c>
    </row>
    <row r="19" spans="1:51" ht="30" customHeight="1" x14ac:dyDescent="0.3">
      <c r="A19" s="33" t="s">
        <v>107</v>
      </c>
      <c r="B19" s="33" t="s">
        <v>108</v>
      </c>
      <c r="C19" s="48" t="s">
        <v>101</v>
      </c>
      <c r="D19" s="57">
        <v>1</v>
      </c>
      <c r="E19" s="58"/>
      <c r="F19" s="59"/>
      <c r="G19" s="58"/>
      <c r="H19" s="59"/>
      <c r="I19" s="58"/>
      <c r="J19" s="59"/>
      <c r="K19" s="58"/>
      <c r="L19" s="59"/>
      <c r="M19" s="33" t="s">
        <v>47</v>
      </c>
      <c r="N19" s="52" t="s">
        <v>57</v>
      </c>
      <c r="O19" s="52" t="s">
        <v>109</v>
      </c>
      <c r="P19" s="52" t="s">
        <v>50</v>
      </c>
      <c r="Q19" s="52" t="s">
        <v>50</v>
      </c>
      <c r="R19" s="52" t="s">
        <v>50</v>
      </c>
      <c r="S19" s="74">
        <v>1</v>
      </c>
      <c r="T19" s="74">
        <v>0</v>
      </c>
      <c r="U19" s="74">
        <v>0.03</v>
      </c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52" t="s">
        <v>47</v>
      </c>
      <c r="AW19" s="52" t="s">
        <v>110</v>
      </c>
      <c r="AX19" s="52" t="s">
        <v>47</v>
      </c>
      <c r="AY19" s="52" t="s">
        <v>47</v>
      </c>
    </row>
    <row r="20" spans="1:51" ht="30" customHeight="1" x14ac:dyDescent="0.3">
      <c r="A20" s="33" t="s">
        <v>111</v>
      </c>
      <c r="B20" s="33" t="s">
        <v>47</v>
      </c>
      <c r="C20" s="48" t="s">
        <v>47</v>
      </c>
      <c r="D20" s="57"/>
      <c r="E20" s="58"/>
      <c r="F20" s="59">
        <f>TRUNC(SUMIF(N17:N19, N16, F17:F19),0)</f>
        <v>0</v>
      </c>
      <c r="G20" s="58"/>
      <c r="H20" s="59">
        <f>TRUNC(SUMIF(N17:N19, N16, H17:H19),0)</f>
        <v>0</v>
      </c>
      <c r="I20" s="58"/>
      <c r="J20" s="59">
        <f>TRUNC(SUMIF(N17:N19, N16, J17:J19),0)</f>
        <v>0</v>
      </c>
      <c r="K20" s="58"/>
      <c r="L20" s="59">
        <f>F20+H20+J20</f>
        <v>0</v>
      </c>
      <c r="M20" s="33" t="s">
        <v>47</v>
      </c>
      <c r="N20" s="52" t="s">
        <v>81</v>
      </c>
      <c r="O20" s="52" t="s">
        <v>81</v>
      </c>
      <c r="P20" s="52" t="s">
        <v>47</v>
      </c>
      <c r="Q20" s="52" t="s">
        <v>47</v>
      </c>
      <c r="R20" s="52" t="s">
        <v>47</v>
      </c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52" t="s">
        <v>47</v>
      </c>
      <c r="AW20" s="52" t="s">
        <v>47</v>
      </c>
      <c r="AX20" s="52" t="s">
        <v>47</v>
      </c>
      <c r="AY20" s="52" t="s">
        <v>47</v>
      </c>
    </row>
    <row r="21" spans="1:51" ht="30" customHeight="1" x14ac:dyDescent="0.3">
      <c r="A21" s="57"/>
      <c r="B21" s="57"/>
      <c r="C21" s="49"/>
      <c r="D21" s="57"/>
      <c r="E21" s="58"/>
      <c r="F21" s="59"/>
      <c r="G21" s="58"/>
      <c r="H21" s="59"/>
      <c r="I21" s="58"/>
      <c r="J21" s="59"/>
      <c r="K21" s="58"/>
      <c r="L21" s="59"/>
      <c r="M21" s="57"/>
    </row>
    <row r="22" spans="1:51" ht="30" customHeight="1" x14ac:dyDescent="0.3">
      <c r="A22" s="104" t="str">
        <f>A23&amp;"  "&amp;B23&amp;"  "&amp; C23&amp;"     ( 호표 4 )"</f>
        <v>합성수지전선관 철거  28mm  m     ( 호표 4 )</v>
      </c>
      <c r="B22" s="104"/>
      <c r="C22" s="104"/>
      <c r="D22" s="104"/>
      <c r="E22" s="105"/>
      <c r="F22" s="106"/>
      <c r="G22" s="105"/>
      <c r="H22" s="106"/>
      <c r="I22" s="105"/>
      <c r="J22" s="106"/>
      <c r="K22" s="105"/>
      <c r="L22" s="106"/>
      <c r="M22" s="104"/>
      <c r="N22" s="72" t="s">
        <v>57</v>
      </c>
    </row>
    <row r="23" spans="1:51" ht="30" customHeight="1" x14ac:dyDescent="0.3">
      <c r="A23" s="33" t="s">
        <v>248</v>
      </c>
      <c r="B23" s="33" t="s">
        <v>249</v>
      </c>
      <c r="C23" s="48" t="s">
        <v>209</v>
      </c>
      <c r="D23" s="57">
        <v>1</v>
      </c>
      <c r="E23" s="58"/>
      <c r="F23" s="59"/>
      <c r="G23" s="58"/>
      <c r="H23" s="59"/>
      <c r="I23" s="58"/>
      <c r="J23" s="59"/>
      <c r="K23" s="58"/>
      <c r="L23" s="59"/>
      <c r="M23" s="33" t="s">
        <v>47</v>
      </c>
      <c r="N23" s="52" t="s">
        <v>57</v>
      </c>
      <c r="O23" s="52" t="s">
        <v>99</v>
      </c>
      <c r="P23" s="52" t="s">
        <v>50</v>
      </c>
      <c r="Q23" s="52" t="s">
        <v>50</v>
      </c>
      <c r="R23" s="52" t="s">
        <v>51</v>
      </c>
      <c r="S23" s="74"/>
      <c r="T23" s="74"/>
      <c r="U23" s="74"/>
      <c r="V23" s="74">
        <v>1</v>
      </c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52" t="s">
        <v>47</v>
      </c>
      <c r="AW23" s="52" t="s">
        <v>100</v>
      </c>
      <c r="AX23" s="52" t="s">
        <v>47</v>
      </c>
      <c r="AY23" s="52" t="s">
        <v>47</v>
      </c>
    </row>
    <row r="24" spans="1:51" ht="30" customHeight="1" x14ac:dyDescent="0.3">
      <c r="A24" s="33" t="s">
        <v>102</v>
      </c>
      <c r="B24" s="33" t="s">
        <v>103</v>
      </c>
      <c r="C24" s="48" t="s">
        <v>104</v>
      </c>
      <c r="D24" s="76">
        <f>0.08*0.3</f>
        <v>2.4E-2</v>
      </c>
      <c r="E24" s="58"/>
      <c r="F24" s="59"/>
      <c r="G24" s="58"/>
      <c r="H24" s="59"/>
      <c r="I24" s="58"/>
      <c r="J24" s="59"/>
      <c r="K24" s="58"/>
      <c r="L24" s="59"/>
      <c r="M24" s="41"/>
      <c r="N24" s="52" t="s">
        <v>57</v>
      </c>
      <c r="O24" s="52" t="s">
        <v>105</v>
      </c>
      <c r="P24" s="52" t="s">
        <v>50</v>
      </c>
      <c r="Q24" s="52" t="s">
        <v>50</v>
      </c>
      <c r="R24" s="52" t="s">
        <v>51</v>
      </c>
      <c r="S24" s="74"/>
      <c r="T24" s="74"/>
      <c r="U24" s="74"/>
      <c r="V24" s="74"/>
      <c r="W24" s="74">
        <v>2</v>
      </c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52" t="s">
        <v>47</v>
      </c>
      <c r="AW24" s="52" t="s">
        <v>106</v>
      </c>
      <c r="AX24" s="52" t="s">
        <v>47</v>
      </c>
      <c r="AY24" s="52" t="s">
        <v>47</v>
      </c>
    </row>
    <row r="25" spans="1:51" ht="30" customHeight="1" x14ac:dyDescent="0.3">
      <c r="A25" s="33" t="s">
        <v>107</v>
      </c>
      <c r="B25" s="33" t="s">
        <v>108</v>
      </c>
      <c r="C25" s="48" t="s">
        <v>101</v>
      </c>
      <c r="D25" s="57">
        <v>1</v>
      </c>
      <c r="E25" s="58"/>
      <c r="F25" s="59"/>
      <c r="G25" s="58"/>
      <c r="H25" s="59"/>
      <c r="I25" s="58"/>
      <c r="J25" s="59"/>
      <c r="K25" s="58"/>
      <c r="L25" s="59"/>
      <c r="M25" s="33" t="s">
        <v>47</v>
      </c>
      <c r="N25" s="52" t="s">
        <v>57</v>
      </c>
      <c r="O25" s="52" t="s">
        <v>109</v>
      </c>
      <c r="P25" s="52" t="s">
        <v>50</v>
      </c>
      <c r="Q25" s="52" t="s">
        <v>50</v>
      </c>
      <c r="R25" s="52" t="s">
        <v>50</v>
      </c>
      <c r="S25" s="74">
        <v>1</v>
      </c>
      <c r="T25" s="74">
        <v>0</v>
      </c>
      <c r="U25" s="74">
        <v>0.03</v>
      </c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52" t="s">
        <v>47</v>
      </c>
      <c r="AW25" s="52" t="s">
        <v>110</v>
      </c>
      <c r="AX25" s="52" t="s">
        <v>47</v>
      </c>
      <c r="AY25" s="52" t="s">
        <v>47</v>
      </c>
    </row>
    <row r="26" spans="1:51" ht="30" customHeight="1" x14ac:dyDescent="0.3">
      <c r="A26" s="33" t="s">
        <v>111</v>
      </c>
      <c r="B26" s="33" t="s">
        <v>47</v>
      </c>
      <c r="C26" s="48" t="s">
        <v>47</v>
      </c>
      <c r="D26" s="57"/>
      <c r="E26" s="58"/>
      <c r="F26" s="59">
        <f>TRUNC(SUMIF(N23:N25, N22, F23:F25),0)</f>
        <v>0</v>
      </c>
      <c r="G26" s="58"/>
      <c r="H26" s="59">
        <f>TRUNC(SUMIF(N23:N25, N22, H23:H25),0)</f>
        <v>0</v>
      </c>
      <c r="I26" s="58"/>
      <c r="J26" s="59">
        <f>TRUNC(SUMIF(N23:N25, N22, J23:J25),0)</f>
        <v>0</v>
      </c>
      <c r="K26" s="58"/>
      <c r="L26" s="59">
        <f>F26+H26+J26</f>
        <v>0</v>
      </c>
      <c r="M26" s="33" t="s">
        <v>47</v>
      </c>
      <c r="N26" s="52" t="s">
        <v>81</v>
      </c>
      <c r="O26" s="52" t="s">
        <v>81</v>
      </c>
      <c r="P26" s="52" t="s">
        <v>47</v>
      </c>
      <c r="Q26" s="52" t="s">
        <v>47</v>
      </c>
      <c r="R26" s="52" t="s">
        <v>47</v>
      </c>
      <c r="S26" s="74"/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52" t="s">
        <v>47</v>
      </c>
      <c r="AW26" s="52" t="s">
        <v>47</v>
      </c>
      <c r="AX26" s="52" t="s">
        <v>47</v>
      </c>
      <c r="AY26" s="52" t="s">
        <v>47</v>
      </c>
    </row>
    <row r="27" spans="1:51" ht="30" customHeight="1" x14ac:dyDescent="0.3">
      <c r="A27" s="57"/>
      <c r="B27" s="57"/>
      <c r="C27" s="49"/>
      <c r="D27" s="57"/>
      <c r="E27" s="58"/>
      <c r="F27" s="59"/>
      <c r="G27" s="58"/>
      <c r="H27" s="59"/>
      <c r="I27" s="58"/>
      <c r="J27" s="59"/>
      <c r="K27" s="58"/>
      <c r="L27" s="59"/>
      <c r="M27" s="57"/>
    </row>
    <row r="28" spans="1:51" ht="30" customHeight="1" x14ac:dyDescent="0.3">
      <c r="A28" s="104" t="str">
        <f>A29&amp;"  "&amp;B29&amp;"  "&amp; C29&amp;"     ( 호표 5 )"</f>
        <v>합성수지전선관 철거  22mm  m     ( 호표 5 )</v>
      </c>
      <c r="B28" s="104"/>
      <c r="C28" s="104"/>
      <c r="D28" s="104"/>
      <c r="E28" s="105"/>
      <c r="F28" s="106"/>
      <c r="G28" s="105"/>
      <c r="H28" s="106"/>
      <c r="I28" s="105"/>
      <c r="J28" s="106"/>
      <c r="K28" s="105"/>
      <c r="L28" s="106"/>
      <c r="M28" s="104"/>
      <c r="N28" s="72" t="s">
        <v>57</v>
      </c>
    </row>
    <row r="29" spans="1:51" ht="30" customHeight="1" x14ac:dyDescent="0.3">
      <c r="A29" s="33" t="s">
        <v>248</v>
      </c>
      <c r="B29" s="33" t="s">
        <v>250</v>
      </c>
      <c r="C29" s="48" t="s">
        <v>209</v>
      </c>
      <c r="D29" s="57">
        <v>1</v>
      </c>
      <c r="E29" s="58"/>
      <c r="F29" s="59"/>
      <c r="G29" s="58"/>
      <c r="H29" s="59"/>
      <c r="I29" s="58"/>
      <c r="J29" s="59"/>
      <c r="K29" s="58"/>
      <c r="L29" s="59"/>
      <c r="M29" s="33" t="s">
        <v>47</v>
      </c>
      <c r="N29" s="52" t="s">
        <v>57</v>
      </c>
      <c r="O29" s="52" t="s">
        <v>99</v>
      </c>
      <c r="P29" s="52" t="s">
        <v>50</v>
      </c>
      <c r="Q29" s="52" t="s">
        <v>50</v>
      </c>
      <c r="R29" s="52" t="s">
        <v>51</v>
      </c>
      <c r="S29" s="74"/>
      <c r="T29" s="74"/>
      <c r="U29" s="74"/>
      <c r="V29" s="74">
        <v>1</v>
      </c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52" t="s">
        <v>47</v>
      </c>
      <c r="AW29" s="52" t="s">
        <v>100</v>
      </c>
      <c r="AX29" s="52" t="s">
        <v>47</v>
      </c>
      <c r="AY29" s="52" t="s">
        <v>47</v>
      </c>
    </row>
    <row r="30" spans="1:51" ht="30" customHeight="1" x14ac:dyDescent="0.3">
      <c r="A30" s="33" t="s">
        <v>102</v>
      </c>
      <c r="B30" s="33" t="s">
        <v>103</v>
      </c>
      <c r="C30" s="48" t="s">
        <v>104</v>
      </c>
      <c r="D30" s="76">
        <f>0.06*0.3</f>
        <v>1.7999999999999999E-2</v>
      </c>
      <c r="E30" s="58"/>
      <c r="F30" s="59"/>
      <c r="G30" s="58"/>
      <c r="H30" s="59"/>
      <c r="I30" s="58"/>
      <c r="J30" s="59"/>
      <c r="K30" s="58"/>
      <c r="L30" s="59"/>
      <c r="M30" s="41"/>
      <c r="N30" s="52" t="s">
        <v>57</v>
      </c>
      <c r="O30" s="52" t="s">
        <v>105</v>
      </c>
      <c r="P30" s="52" t="s">
        <v>50</v>
      </c>
      <c r="Q30" s="52" t="s">
        <v>50</v>
      </c>
      <c r="R30" s="52" t="s">
        <v>51</v>
      </c>
      <c r="S30" s="74"/>
      <c r="T30" s="74"/>
      <c r="U30" s="74"/>
      <c r="V30" s="74"/>
      <c r="W30" s="74">
        <v>2</v>
      </c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52" t="s">
        <v>47</v>
      </c>
      <c r="AW30" s="52" t="s">
        <v>106</v>
      </c>
      <c r="AX30" s="52" t="s">
        <v>47</v>
      </c>
      <c r="AY30" s="52" t="s">
        <v>47</v>
      </c>
    </row>
    <row r="31" spans="1:51" ht="30" customHeight="1" x14ac:dyDescent="0.3">
      <c r="A31" s="33" t="s">
        <v>107</v>
      </c>
      <c r="B31" s="33" t="s">
        <v>108</v>
      </c>
      <c r="C31" s="48" t="s">
        <v>101</v>
      </c>
      <c r="D31" s="57">
        <v>1</v>
      </c>
      <c r="E31" s="58"/>
      <c r="F31" s="59"/>
      <c r="G31" s="58"/>
      <c r="H31" s="59"/>
      <c r="I31" s="58"/>
      <c r="J31" s="59"/>
      <c r="K31" s="58"/>
      <c r="L31" s="59"/>
      <c r="M31" s="33" t="s">
        <v>47</v>
      </c>
      <c r="N31" s="52" t="s">
        <v>57</v>
      </c>
      <c r="O31" s="52" t="s">
        <v>109</v>
      </c>
      <c r="P31" s="52" t="s">
        <v>50</v>
      </c>
      <c r="Q31" s="52" t="s">
        <v>50</v>
      </c>
      <c r="R31" s="52" t="s">
        <v>50</v>
      </c>
      <c r="S31" s="74">
        <v>1</v>
      </c>
      <c r="T31" s="74">
        <v>0</v>
      </c>
      <c r="U31" s="74">
        <v>0.03</v>
      </c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52" t="s">
        <v>47</v>
      </c>
      <c r="AW31" s="52" t="s">
        <v>110</v>
      </c>
      <c r="AX31" s="52" t="s">
        <v>47</v>
      </c>
      <c r="AY31" s="52" t="s">
        <v>47</v>
      </c>
    </row>
    <row r="32" spans="1:51" ht="30" customHeight="1" x14ac:dyDescent="0.3">
      <c r="A32" s="33" t="s">
        <v>111</v>
      </c>
      <c r="B32" s="33" t="s">
        <v>47</v>
      </c>
      <c r="C32" s="48" t="s">
        <v>47</v>
      </c>
      <c r="D32" s="57"/>
      <c r="E32" s="58"/>
      <c r="F32" s="59">
        <f>TRUNC(SUMIF(N29:N31, N28, F29:F31),0)</f>
        <v>0</v>
      </c>
      <c r="G32" s="58"/>
      <c r="H32" s="59">
        <f>TRUNC(SUMIF(N29:N31, N28, H29:H31),0)</f>
        <v>0</v>
      </c>
      <c r="I32" s="58"/>
      <c r="J32" s="59">
        <f>TRUNC(SUMIF(N29:N31, N28, J29:J31),0)</f>
        <v>0</v>
      </c>
      <c r="K32" s="58"/>
      <c r="L32" s="59">
        <f>F32+H32+J32</f>
        <v>0</v>
      </c>
      <c r="M32" s="33" t="s">
        <v>47</v>
      </c>
      <c r="N32" s="52" t="s">
        <v>81</v>
      </c>
      <c r="O32" s="52" t="s">
        <v>81</v>
      </c>
      <c r="P32" s="52" t="s">
        <v>47</v>
      </c>
      <c r="Q32" s="52" t="s">
        <v>47</v>
      </c>
      <c r="R32" s="52" t="s">
        <v>47</v>
      </c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52" t="s">
        <v>47</v>
      </c>
      <c r="AW32" s="52" t="s">
        <v>47</v>
      </c>
      <c r="AX32" s="52" t="s">
        <v>47</v>
      </c>
      <c r="AY32" s="52" t="s">
        <v>47</v>
      </c>
    </row>
    <row r="33" spans="1:51" ht="30" customHeight="1" x14ac:dyDescent="0.3">
      <c r="A33" s="57"/>
      <c r="B33" s="57"/>
      <c r="C33" s="49"/>
      <c r="D33" s="57"/>
      <c r="E33" s="58"/>
      <c r="F33" s="59"/>
      <c r="G33" s="58"/>
      <c r="H33" s="59"/>
      <c r="I33" s="58"/>
      <c r="J33" s="59"/>
      <c r="K33" s="58"/>
      <c r="L33" s="59"/>
      <c r="M33" s="57"/>
    </row>
    <row r="34" spans="1:51" ht="30" customHeight="1" x14ac:dyDescent="0.3">
      <c r="A34" s="104" t="str">
        <f>A35&amp;"  "&amp;B35&amp;"  "&amp; C35&amp;"     ( 호표 6 )"</f>
        <v>전력케이블 철거  F-CV, 0.6/1kV, 4C 16mm²    m     ( 호표 6 )</v>
      </c>
      <c r="B34" s="104"/>
      <c r="C34" s="104"/>
      <c r="D34" s="104"/>
      <c r="E34" s="105"/>
      <c r="F34" s="106"/>
      <c r="G34" s="105"/>
      <c r="H34" s="106"/>
      <c r="I34" s="105"/>
      <c r="J34" s="106"/>
      <c r="K34" s="105"/>
      <c r="L34" s="106"/>
      <c r="M34" s="104"/>
      <c r="N34" s="72" t="s">
        <v>57</v>
      </c>
    </row>
    <row r="35" spans="1:51" ht="30" customHeight="1" x14ac:dyDescent="0.3">
      <c r="A35" s="33" t="s">
        <v>241</v>
      </c>
      <c r="B35" s="33" t="s">
        <v>242</v>
      </c>
      <c r="C35" s="48" t="s">
        <v>209</v>
      </c>
      <c r="D35" s="57">
        <v>1</v>
      </c>
      <c r="E35" s="58"/>
      <c r="F35" s="59"/>
      <c r="G35" s="58"/>
      <c r="H35" s="59"/>
      <c r="I35" s="58"/>
      <c r="J35" s="59"/>
      <c r="K35" s="58"/>
      <c r="L35" s="59"/>
      <c r="M35" s="33" t="s">
        <v>47</v>
      </c>
      <c r="N35" s="52" t="s">
        <v>57</v>
      </c>
      <c r="O35" s="52" t="s">
        <v>99</v>
      </c>
      <c r="P35" s="52" t="s">
        <v>50</v>
      </c>
      <c r="Q35" s="52" t="s">
        <v>50</v>
      </c>
      <c r="R35" s="52" t="s">
        <v>51</v>
      </c>
      <c r="S35" s="74"/>
      <c r="T35" s="74"/>
      <c r="U35" s="74"/>
      <c r="V35" s="74">
        <v>1</v>
      </c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52" t="s">
        <v>47</v>
      </c>
      <c r="AW35" s="52" t="s">
        <v>100</v>
      </c>
      <c r="AX35" s="52" t="s">
        <v>47</v>
      </c>
      <c r="AY35" s="52" t="s">
        <v>47</v>
      </c>
    </row>
    <row r="36" spans="1:51" ht="30" customHeight="1" x14ac:dyDescent="0.3">
      <c r="A36" s="33" t="s">
        <v>214</v>
      </c>
      <c r="B36" s="33" t="s">
        <v>103</v>
      </c>
      <c r="C36" s="48" t="s">
        <v>104</v>
      </c>
      <c r="D36" s="77">
        <f>0.023*2.6*0.5</f>
        <v>2.9899999999999999E-2</v>
      </c>
      <c r="E36" s="58"/>
      <c r="F36" s="59"/>
      <c r="G36" s="58"/>
      <c r="H36" s="59"/>
      <c r="I36" s="58"/>
      <c r="J36" s="59"/>
      <c r="K36" s="58"/>
      <c r="L36" s="59"/>
      <c r="M36" s="33"/>
      <c r="N36" s="52" t="s">
        <v>57</v>
      </c>
      <c r="O36" s="52" t="s">
        <v>105</v>
      </c>
      <c r="P36" s="52" t="s">
        <v>50</v>
      </c>
      <c r="Q36" s="52" t="s">
        <v>50</v>
      </c>
      <c r="R36" s="52" t="s">
        <v>51</v>
      </c>
      <c r="S36" s="74"/>
      <c r="T36" s="74"/>
      <c r="U36" s="74"/>
      <c r="V36" s="74"/>
      <c r="W36" s="74">
        <v>2</v>
      </c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52" t="s">
        <v>47</v>
      </c>
      <c r="AW36" s="52" t="s">
        <v>106</v>
      </c>
      <c r="AX36" s="52" t="s">
        <v>47</v>
      </c>
      <c r="AY36" s="52" t="s">
        <v>47</v>
      </c>
    </row>
    <row r="37" spans="1:51" ht="30" customHeight="1" x14ac:dyDescent="0.3">
      <c r="A37" s="33" t="s">
        <v>107</v>
      </c>
      <c r="B37" s="33" t="s">
        <v>108</v>
      </c>
      <c r="C37" s="48" t="s">
        <v>101</v>
      </c>
      <c r="D37" s="57">
        <v>1</v>
      </c>
      <c r="E37" s="58"/>
      <c r="F37" s="59"/>
      <c r="G37" s="58"/>
      <c r="H37" s="59"/>
      <c r="I37" s="58"/>
      <c r="J37" s="59"/>
      <c r="K37" s="58"/>
      <c r="L37" s="59"/>
      <c r="M37" s="33" t="s">
        <v>47</v>
      </c>
      <c r="N37" s="52" t="s">
        <v>57</v>
      </c>
      <c r="O37" s="52" t="s">
        <v>109</v>
      </c>
      <c r="P37" s="52" t="s">
        <v>50</v>
      </c>
      <c r="Q37" s="52" t="s">
        <v>50</v>
      </c>
      <c r="R37" s="52" t="s">
        <v>50</v>
      </c>
      <c r="S37" s="74">
        <v>1</v>
      </c>
      <c r="T37" s="74">
        <v>0</v>
      </c>
      <c r="U37" s="74">
        <v>0.03</v>
      </c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52" t="s">
        <v>47</v>
      </c>
      <c r="AW37" s="52" t="s">
        <v>110</v>
      </c>
      <c r="AX37" s="52" t="s">
        <v>47</v>
      </c>
      <c r="AY37" s="52" t="s">
        <v>47</v>
      </c>
    </row>
    <row r="38" spans="1:51" ht="30" customHeight="1" x14ac:dyDescent="0.3">
      <c r="A38" s="33" t="s">
        <v>111</v>
      </c>
      <c r="B38" s="33" t="s">
        <v>47</v>
      </c>
      <c r="C38" s="48" t="s">
        <v>47</v>
      </c>
      <c r="D38" s="57"/>
      <c r="E38" s="58"/>
      <c r="F38" s="59">
        <f>TRUNC(SUMIF(N35:N37, N34, F35:F37),0)</f>
        <v>0</v>
      </c>
      <c r="G38" s="58"/>
      <c r="H38" s="59">
        <f>TRUNC(SUMIF(N35:N37, N34, H35:H37),0)</f>
        <v>0</v>
      </c>
      <c r="I38" s="58"/>
      <c r="J38" s="59">
        <f>TRUNC(SUMIF(N35:N37, N34, J35:J37),0)</f>
        <v>0</v>
      </c>
      <c r="K38" s="58"/>
      <c r="L38" s="59">
        <f>F38+H38+J38</f>
        <v>0</v>
      </c>
      <c r="M38" s="33" t="s">
        <v>47</v>
      </c>
      <c r="N38" s="52" t="s">
        <v>81</v>
      </c>
      <c r="O38" s="52" t="s">
        <v>81</v>
      </c>
      <c r="P38" s="52" t="s">
        <v>47</v>
      </c>
      <c r="Q38" s="52" t="s">
        <v>47</v>
      </c>
      <c r="R38" s="52" t="s">
        <v>47</v>
      </c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52" t="s">
        <v>47</v>
      </c>
      <c r="AW38" s="52" t="s">
        <v>47</v>
      </c>
      <c r="AX38" s="52" t="s">
        <v>47</v>
      </c>
      <c r="AY38" s="52" t="s">
        <v>47</v>
      </c>
    </row>
    <row r="39" spans="1:51" ht="30" customHeight="1" x14ac:dyDescent="0.3">
      <c r="A39" s="57"/>
      <c r="B39" s="57"/>
      <c r="C39" s="49"/>
      <c r="D39" s="57"/>
      <c r="E39" s="58"/>
      <c r="F39" s="59"/>
      <c r="G39" s="58"/>
      <c r="H39" s="59"/>
      <c r="I39" s="58"/>
      <c r="J39" s="59"/>
      <c r="K39" s="58"/>
      <c r="L39" s="59"/>
      <c r="M39" s="57"/>
    </row>
    <row r="40" spans="1:51" ht="30" customHeight="1" x14ac:dyDescent="0.3">
      <c r="A40" s="104" t="str">
        <f>A41&amp;"  "&amp;B41&amp;"  "&amp; C41&amp;"     ( 호표 7 )"</f>
        <v>전력케이블 철거  F-CV, 0.6/1kV, 4C 10mm²    m     ( 호표 7 )</v>
      </c>
      <c r="B40" s="104"/>
      <c r="C40" s="104"/>
      <c r="D40" s="104"/>
      <c r="E40" s="105"/>
      <c r="F40" s="106"/>
      <c r="G40" s="105"/>
      <c r="H40" s="106"/>
      <c r="I40" s="105"/>
      <c r="J40" s="106"/>
      <c r="K40" s="105"/>
      <c r="L40" s="106"/>
      <c r="M40" s="104"/>
      <c r="N40" s="72" t="s">
        <v>57</v>
      </c>
    </row>
    <row r="41" spans="1:51" ht="30" customHeight="1" x14ac:dyDescent="0.3">
      <c r="A41" s="33" t="s">
        <v>241</v>
      </c>
      <c r="B41" s="33" t="s">
        <v>243</v>
      </c>
      <c r="C41" s="48" t="s">
        <v>209</v>
      </c>
      <c r="D41" s="57">
        <v>1</v>
      </c>
      <c r="E41" s="58"/>
      <c r="F41" s="59"/>
      <c r="G41" s="58"/>
      <c r="H41" s="59"/>
      <c r="I41" s="58"/>
      <c r="J41" s="59"/>
      <c r="K41" s="58"/>
      <c r="L41" s="59"/>
      <c r="M41" s="33" t="s">
        <v>47</v>
      </c>
      <c r="N41" s="52" t="s">
        <v>57</v>
      </c>
      <c r="O41" s="52" t="s">
        <v>99</v>
      </c>
      <c r="P41" s="52" t="s">
        <v>50</v>
      </c>
      <c r="Q41" s="52" t="s">
        <v>50</v>
      </c>
      <c r="R41" s="52" t="s">
        <v>51</v>
      </c>
      <c r="S41" s="74"/>
      <c r="T41" s="74"/>
      <c r="U41" s="74"/>
      <c r="V41" s="74">
        <v>1</v>
      </c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52" t="s">
        <v>47</v>
      </c>
      <c r="AW41" s="52" t="s">
        <v>100</v>
      </c>
      <c r="AX41" s="52" t="s">
        <v>47</v>
      </c>
      <c r="AY41" s="52" t="s">
        <v>47</v>
      </c>
    </row>
    <row r="42" spans="1:51" ht="30" customHeight="1" x14ac:dyDescent="0.3">
      <c r="A42" s="33" t="s">
        <v>214</v>
      </c>
      <c r="B42" s="33" t="s">
        <v>103</v>
      </c>
      <c r="C42" s="48" t="s">
        <v>104</v>
      </c>
      <c r="D42" s="77">
        <f>0.049*0.5</f>
        <v>2.4500000000000001E-2</v>
      </c>
      <c r="E42" s="58"/>
      <c r="F42" s="59"/>
      <c r="G42" s="58"/>
      <c r="H42" s="59"/>
      <c r="I42" s="58"/>
      <c r="J42" s="59"/>
      <c r="K42" s="58"/>
      <c r="L42" s="59"/>
      <c r="M42" s="33"/>
      <c r="N42" s="52" t="s">
        <v>57</v>
      </c>
      <c r="O42" s="52" t="s">
        <v>105</v>
      </c>
      <c r="P42" s="52" t="s">
        <v>50</v>
      </c>
      <c r="Q42" s="52" t="s">
        <v>50</v>
      </c>
      <c r="R42" s="52" t="s">
        <v>51</v>
      </c>
      <c r="S42" s="74"/>
      <c r="T42" s="74"/>
      <c r="U42" s="74"/>
      <c r="V42" s="74"/>
      <c r="W42" s="74">
        <v>2</v>
      </c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52" t="s">
        <v>47</v>
      </c>
      <c r="AW42" s="52" t="s">
        <v>106</v>
      </c>
      <c r="AX42" s="52" t="s">
        <v>47</v>
      </c>
      <c r="AY42" s="52" t="s">
        <v>47</v>
      </c>
    </row>
    <row r="43" spans="1:51" ht="30" customHeight="1" x14ac:dyDescent="0.3">
      <c r="A43" s="33" t="s">
        <v>107</v>
      </c>
      <c r="B43" s="33" t="s">
        <v>108</v>
      </c>
      <c r="C43" s="48" t="s">
        <v>101</v>
      </c>
      <c r="D43" s="57">
        <v>1</v>
      </c>
      <c r="E43" s="58"/>
      <c r="F43" s="59"/>
      <c r="G43" s="58"/>
      <c r="H43" s="59"/>
      <c r="I43" s="58"/>
      <c r="J43" s="59"/>
      <c r="K43" s="58"/>
      <c r="L43" s="59"/>
      <c r="M43" s="33" t="s">
        <v>47</v>
      </c>
      <c r="N43" s="52" t="s">
        <v>57</v>
      </c>
      <c r="O43" s="52" t="s">
        <v>109</v>
      </c>
      <c r="P43" s="52" t="s">
        <v>50</v>
      </c>
      <c r="Q43" s="52" t="s">
        <v>50</v>
      </c>
      <c r="R43" s="52" t="s">
        <v>50</v>
      </c>
      <c r="S43" s="74">
        <v>1</v>
      </c>
      <c r="T43" s="74">
        <v>0</v>
      </c>
      <c r="U43" s="74">
        <v>0.03</v>
      </c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52" t="s">
        <v>47</v>
      </c>
      <c r="AW43" s="52" t="s">
        <v>110</v>
      </c>
      <c r="AX43" s="52" t="s">
        <v>47</v>
      </c>
      <c r="AY43" s="52" t="s">
        <v>47</v>
      </c>
    </row>
    <row r="44" spans="1:51" ht="30" customHeight="1" x14ac:dyDescent="0.3">
      <c r="A44" s="33" t="s">
        <v>111</v>
      </c>
      <c r="B44" s="33" t="s">
        <v>47</v>
      </c>
      <c r="C44" s="48" t="s">
        <v>47</v>
      </c>
      <c r="D44" s="57"/>
      <c r="E44" s="58"/>
      <c r="F44" s="59">
        <f>TRUNC(SUMIF(N41:N43, N40, F41:F43),0)</f>
        <v>0</v>
      </c>
      <c r="G44" s="58"/>
      <c r="H44" s="59">
        <f>TRUNC(SUMIF(N41:N43, N40, H41:H43),0)</f>
        <v>0</v>
      </c>
      <c r="I44" s="58"/>
      <c r="J44" s="59">
        <f>TRUNC(SUMIF(N41:N43, N40, J41:J43),0)</f>
        <v>0</v>
      </c>
      <c r="K44" s="58"/>
      <c r="L44" s="59">
        <f>F44+H44+J44</f>
        <v>0</v>
      </c>
      <c r="M44" s="33" t="s">
        <v>47</v>
      </c>
      <c r="N44" s="52" t="s">
        <v>81</v>
      </c>
      <c r="O44" s="52" t="s">
        <v>81</v>
      </c>
      <c r="P44" s="52" t="s">
        <v>47</v>
      </c>
      <c r="Q44" s="52" t="s">
        <v>47</v>
      </c>
      <c r="R44" s="52" t="s">
        <v>47</v>
      </c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52" t="s">
        <v>47</v>
      </c>
      <c r="AW44" s="52" t="s">
        <v>47</v>
      </c>
      <c r="AX44" s="52" t="s">
        <v>47</v>
      </c>
      <c r="AY44" s="52" t="s">
        <v>47</v>
      </c>
    </row>
    <row r="45" spans="1:51" ht="30" customHeight="1" x14ac:dyDescent="0.3">
      <c r="A45" s="57"/>
      <c r="B45" s="57"/>
      <c r="C45" s="49"/>
      <c r="D45" s="57"/>
      <c r="E45" s="58"/>
      <c r="F45" s="59"/>
      <c r="G45" s="58"/>
      <c r="H45" s="59"/>
      <c r="I45" s="58"/>
      <c r="J45" s="59"/>
      <c r="K45" s="58"/>
      <c r="L45" s="59"/>
      <c r="M45" s="57"/>
    </row>
    <row r="46" spans="1:51" ht="30" customHeight="1" x14ac:dyDescent="0.3">
      <c r="A46" s="104" t="str">
        <f>A47&amp;"  "&amp;B47&amp;"  "&amp; C47&amp;"     ( 호표 8 )"</f>
        <v>전력케이블 철거  F-CV, 0.6/1kV, 4C 6mm²    m     ( 호표 8 )</v>
      </c>
      <c r="B46" s="104"/>
      <c r="C46" s="104"/>
      <c r="D46" s="104"/>
      <c r="E46" s="105"/>
      <c r="F46" s="106"/>
      <c r="G46" s="105"/>
      <c r="H46" s="106"/>
      <c r="I46" s="105"/>
      <c r="J46" s="106"/>
      <c r="K46" s="105"/>
      <c r="L46" s="106"/>
      <c r="M46" s="104"/>
      <c r="N46" s="72" t="s">
        <v>57</v>
      </c>
    </row>
    <row r="47" spans="1:51" ht="30" customHeight="1" x14ac:dyDescent="0.3">
      <c r="A47" s="33" t="s">
        <v>241</v>
      </c>
      <c r="B47" s="33" t="s">
        <v>244</v>
      </c>
      <c r="C47" s="48" t="s">
        <v>209</v>
      </c>
      <c r="D47" s="57">
        <v>1</v>
      </c>
      <c r="E47" s="58"/>
      <c r="F47" s="59"/>
      <c r="G47" s="58"/>
      <c r="H47" s="59"/>
      <c r="I47" s="58"/>
      <c r="J47" s="59"/>
      <c r="K47" s="58"/>
      <c r="L47" s="59"/>
      <c r="M47" s="33" t="s">
        <v>47</v>
      </c>
      <c r="N47" s="52" t="s">
        <v>57</v>
      </c>
      <c r="O47" s="52" t="s">
        <v>99</v>
      </c>
      <c r="P47" s="52" t="s">
        <v>50</v>
      </c>
      <c r="Q47" s="52" t="s">
        <v>50</v>
      </c>
      <c r="R47" s="52" t="s">
        <v>51</v>
      </c>
      <c r="S47" s="74"/>
      <c r="T47" s="74"/>
      <c r="U47" s="74"/>
      <c r="V47" s="74">
        <v>1</v>
      </c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52" t="s">
        <v>47</v>
      </c>
      <c r="AW47" s="52" t="s">
        <v>100</v>
      </c>
      <c r="AX47" s="52" t="s">
        <v>47</v>
      </c>
      <c r="AY47" s="52" t="s">
        <v>47</v>
      </c>
    </row>
    <row r="48" spans="1:51" ht="30" customHeight="1" x14ac:dyDescent="0.3">
      <c r="A48" s="33" t="s">
        <v>214</v>
      </c>
      <c r="B48" s="33" t="s">
        <v>103</v>
      </c>
      <c r="C48" s="48" t="s">
        <v>104</v>
      </c>
      <c r="D48" s="76">
        <f>0.034*0.5</f>
        <v>1.7000000000000001E-2</v>
      </c>
      <c r="E48" s="58"/>
      <c r="F48" s="59"/>
      <c r="G48" s="58"/>
      <c r="H48" s="59"/>
      <c r="I48" s="58"/>
      <c r="J48" s="59"/>
      <c r="K48" s="58"/>
      <c r="L48" s="59"/>
      <c r="M48" s="33"/>
      <c r="N48" s="52" t="s">
        <v>57</v>
      </c>
      <c r="O48" s="52" t="s">
        <v>105</v>
      </c>
      <c r="P48" s="52" t="s">
        <v>50</v>
      </c>
      <c r="Q48" s="52" t="s">
        <v>50</v>
      </c>
      <c r="R48" s="52" t="s">
        <v>51</v>
      </c>
      <c r="S48" s="74"/>
      <c r="T48" s="74"/>
      <c r="U48" s="74"/>
      <c r="V48" s="74"/>
      <c r="W48" s="74">
        <v>2</v>
      </c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52" t="s">
        <v>47</v>
      </c>
      <c r="AW48" s="52" t="s">
        <v>106</v>
      </c>
      <c r="AX48" s="52" t="s">
        <v>47</v>
      </c>
      <c r="AY48" s="52" t="s">
        <v>47</v>
      </c>
    </row>
    <row r="49" spans="1:51" ht="30" customHeight="1" x14ac:dyDescent="0.3">
      <c r="A49" s="33" t="s">
        <v>107</v>
      </c>
      <c r="B49" s="33" t="s">
        <v>108</v>
      </c>
      <c r="C49" s="48" t="s">
        <v>101</v>
      </c>
      <c r="D49" s="57">
        <v>1</v>
      </c>
      <c r="E49" s="58"/>
      <c r="F49" s="59"/>
      <c r="G49" s="58"/>
      <c r="H49" s="59"/>
      <c r="I49" s="58"/>
      <c r="J49" s="59"/>
      <c r="K49" s="58"/>
      <c r="L49" s="59"/>
      <c r="M49" s="33" t="s">
        <v>47</v>
      </c>
      <c r="N49" s="52" t="s">
        <v>57</v>
      </c>
      <c r="O49" s="52" t="s">
        <v>109</v>
      </c>
      <c r="P49" s="52" t="s">
        <v>50</v>
      </c>
      <c r="Q49" s="52" t="s">
        <v>50</v>
      </c>
      <c r="R49" s="52" t="s">
        <v>50</v>
      </c>
      <c r="S49" s="74">
        <v>1</v>
      </c>
      <c r="T49" s="74">
        <v>0</v>
      </c>
      <c r="U49" s="74">
        <v>0.03</v>
      </c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52" t="s">
        <v>47</v>
      </c>
      <c r="AW49" s="52" t="s">
        <v>110</v>
      </c>
      <c r="AX49" s="52" t="s">
        <v>47</v>
      </c>
      <c r="AY49" s="52" t="s">
        <v>47</v>
      </c>
    </row>
    <row r="50" spans="1:51" ht="30" customHeight="1" x14ac:dyDescent="0.3">
      <c r="A50" s="33" t="s">
        <v>111</v>
      </c>
      <c r="B50" s="33" t="s">
        <v>47</v>
      </c>
      <c r="C50" s="48" t="s">
        <v>47</v>
      </c>
      <c r="D50" s="57"/>
      <c r="E50" s="58"/>
      <c r="F50" s="59">
        <f>TRUNC(SUMIF(N47:N49, N46, F47:F49),0)</f>
        <v>0</v>
      </c>
      <c r="G50" s="58"/>
      <c r="H50" s="59">
        <f>TRUNC(SUMIF(N47:N49, N46, H47:H49),0)</f>
        <v>0</v>
      </c>
      <c r="I50" s="58"/>
      <c r="J50" s="59">
        <f>TRUNC(SUMIF(N47:N49, N46, J47:J49),0)</f>
        <v>0</v>
      </c>
      <c r="K50" s="58"/>
      <c r="L50" s="59">
        <f>F50+H50+J50</f>
        <v>0</v>
      </c>
      <c r="M50" s="33" t="s">
        <v>47</v>
      </c>
      <c r="N50" s="52" t="s">
        <v>81</v>
      </c>
      <c r="O50" s="52" t="s">
        <v>81</v>
      </c>
      <c r="P50" s="52" t="s">
        <v>47</v>
      </c>
      <c r="Q50" s="52" t="s">
        <v>47</v>
      </c>
      <c r="R50" s="52" t="s">
        <v>47</v>
      </c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52" t="s">
        <v>47</v>
      </c>
      <c r="AW50" s="52" t="s">
        <v>47</v>
      </c>
      <c r="AX50" s="52" t="s">
        <v>47</v>
      </c>
      <c r="AY50" s="52" t="s">
        <v>47</v>
      </c>
    </row>
    <row r="51" spans="1:51" ht="30" customHeight="1" x14ac:dyDescent="0.3">
      <c r="A51" s="57"/>
      <c r="B51" s="57"/>
      <c r="C51" s="49"/>
      <c r="D51" s="57"/>
      <c r="E51" s="58"/>
      <c r="F51" s="59"/>
      <c r="G51" s="58"/>
      <c r="H51" s="59"/>
      <c r="I51" s="58"/>
      <c r="J51" s="59"/>
      <c r="K51" s="58"/>
      <c r="L51" s="59"/>
      <c r="M51" s="57"/>
    </row>
    <row r="52" spans="1:51" ht="30" customHeight="1" x14ac:dyDescent="0.3">
      <c r="A52" s="104" t="str">
        <f>A53&amp;"  "&amp;B53&amp;"  "&amp; C53&amp;"     ( 호표 9 )"</f>
        <v>전력케이블 철거  F-CV, 0.6/1kV, 1C 6mm²    m     ( 호표 9 )</v>
      </c>
      <c r="B52" s="104"/>
      <c r="C52" s="104"/>
      <c r="D52" s="104"/>
      <c r="E52" s="105"/>
      <c r="F52" s="106"/>
      <c r="G52" s="105"/>
      <c r="H52" s="106"/>
      <c r="I52" s="105"/>
      <c r="J52" s="106"/>
      <c r="K52" s="105"/>
      <c r="L52" s="106"/>
      <c r="M52" s="104"/>
      <c r="N52" s="72" t="s">
        <v>57</v>
      </c>
    </row>
    <row r="53" spans="1:51" ht="30" customHeight="1" x14ac:dyDescent="0.3">
      <c r="A53" s="33" t="s">
        <v>241</v>
      </c>
      <c r="B53" s="33" t="s">
        <v>245</v>
      </c>
      <c r="C53" s="48" t="s">
        <v>209</v>
      </c>
      <c r="D53" s="57">
        <v>1</v>
      </c>
      <c r="E53" s="58"/>
      <c r="F53" s="59"/>
      <c r="G53" s="58"/>
      <c r="H53" s="59"/>
      <c r="I53" s="58"/>
      <c r="J53" s="59"/>
      <c r="K53" s="58"/>
      <c r="L53" s="59"/>
      <c r="M53" s="33" t="s">
        <v>47</v>
      </c>
      <c r="N53" s="52" t="s">
        <v>57</v>
      </c>
      <c r="O53" s="52" t="s">
        <v>99</v>
      </c>
      <c r="P53" s="52" t="s">
        <v>50</v>
      </c>
      <c r="Q53" s="52" t="s">
        <v>50</v>
      </c>
      <c r="R53" s="52" t="s">
        <v>51</v>
      </c>
      <c r="S53" s="74"/>
      <c r="T53" s="74"/>
      <c r="U53" s="74"/>
      <c r="V53" s="74">
        <v>1</v>
      </c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52" t="s">
        <v>47</v>
      </c>
      <c r="AW53" s="52" t="s">
        <v>100</v>
      </c>
      <c r="AX53" s="52" t="s">
        <v>47</v>
      </c>
      <c r="AY53" s="52" t="s">
        <v>47</v>
      </c>
    </row>
    <row r="54" spans="1:51" ht="30" customHeight="1" x14ac:dyDescent="0.3">
      <c r="A54" s="33" t="s">
        <v>214</v>
      </c>
      <c r="B54" s="33" t="s">
        <v>103</v>
      </c>
      <c r="C54" s="48" t="s">
        <v>104</v>
      </c>
      <c r="D54" s="78">
        <f>(0.013*2.6*0.5)/3</f>
        <v>5.6333333333333331E-3</v>
      </c>
      <c r="E54" s="58"/>
      <c r="F54" s="59"/>
      <c r="G54" s="58"/>
      <c r="H54" s="59"/>
      <c r="I54" s="58"/>
      <c r="J54" s="59"/>
      <c r="K54" s="58"/>
      <c r="L54" s="59"/>
      <c r="M54" s="33"/>
      <c r="N54" s="52" t="s">
        <v>57</v>
      </c>
      <c r="O54" s="52" t="s">
        <v>105</v>
      </c>
      <c r="P54" s="52" t="s">
        <v>50</v>
      </c>
      <c r="Q54" s="52" t="s">
        <v>50</v>
      </c>
      <c r="R54" s="52" t="s">
        <v>51</v>
      </c>
      <c r="S54" s="74"/>
      <c r="T54" s="74"/>
      <c r="U54" s="74"/>
      <c r="V54" s="74"/>
      <c r="W54" s="74">
        <v>2</v>
      </c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52" t="s">
        <v>47</v>
      </c>
      <c r="AW54" s="52" t="s">
        <v>106</v>
      </c>
      <c r="AX54" s="52" t="s">
        <v>47</v>
      </c>
      <c r="AY54" s="52" t="s">
        <v>47</v>
      </c>
    </row>
    <row r="55" spans="1:51" ht="30" customHeight="1" x14ac:dyDescent="0.3">
      <c r="A55" s="33" t="s">
        <v>107</v>
      </c>
      <c r="B55" s="33" t="s">
        <v>108</v>
      </c>
      <c r="C55" s="48" t="s">
        <v>101</v>
      </c>
      <c r="D55" s="57">
        <v>1</v>
      </c>
      <c r="E55" s="58"/>
      <c r="F55" s="59"/>
      <c r="G55" s="58"/>
      <c r="H55" s="59"/>
      <c r="I55" s="58"/>
      <c r="J55" s="59"/>
      <c r="K55" s="58"/>
      <c r="L55" s="59"/>
      <c r="M55" s="33" t="s">
        <v>47</v>
      </c>
      <c r="N55" s="52" t="s">
        <v>57</v>
      </c>
      <c r="O55" s="52" t="s">
        <v>109</v>
      </c>
      <c r="P55" s="52" t="s">
        <v>50</v>
      </c>
      <c r="Q55" s="52" t="s">
        <v>50</v>
      </c>
      <c r="R55" s="52" t="s">
        <v>50</v>
      </c>
      <c r="S55" s="74">
        <v>1</v>
      </c>
      <c r="T55" s="74">
        <v>0</v>
      </c>
      <c r="U55" s="74">
        <v>0.03</v>
      </c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52" t="s">
        <v>47</v>
      </c>
      <c r="AW55" s="52" t="s">
        <v>110</v>
      </c>
      <c r="AX55" s="52" t="s">
        <v>47</v>
      </c>
      <c r="AY55" s="52" t="s">
        <v>47</v>
      </c>
    </row>
    <row r="56" spans="1:51" ht="30" customHeight="1" x14ac:dyDescent="0.3">
      <c r="A56" s="33" t="s">
        <v>111</v>
      </c>
      <c r="B56" s="33" t="s">
        <v>47</v>
      </c>
      <c r="C56" s="48" t="s">
        <v>47</v>
      </c>
      <c r="D56" s="57"/>
      <c r="E56" s="58"/>
      <c r="F56" s="59">
        <f>TRUNC(SUMIF(N53:N55, N52, F53:F55),0)</f>
        <v>0</v>
      </c>
      <c r="G56" s="58"/>
      <c r="H56" s="59">
        <f>TRUNC(SUMIF(N53:N55, N52, H53:H55),0)</f>
        <v>0</v>
      </c>
      <c r="I56" s="58"/>
      <c r="J56" s="59">
        <f>TRUNC(SUMIF(N53:N55, N52, J53:J55),0)</f>
        <v>0</v>
      </c>
      <c r="K56" s="58"/>
      <c r="L56" s="59">
        <f>F56+H56+J56</f>
        <v>0</v>
      </c>
      <c r="M56" s="33" t="s">
        <v>47</v>
      </c>
      <c r="N56" s="52" t="s">
        <v>81</v>
      </c>
      <c r="O56" s="52" t="s">
        <v>81</v>
      </c>
      <c r="P56" s="52" t="s">
        <v>47</v>
      </c>
      <c r="Q56" s="52" t="s">
        <v>47</v>
      </c>
      <c r="R56" s="52" t="s">
        <v>47</v>
      </c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52" t="s">
        <v>47</v>
      </c>
      <c r="AW56" s="52" t="s">
        <v>47</v>
      </c>
      <c r="AX56" s="52" t="s">
        <v>47</v>
      </c>
      <c r="AY56" s="52" t="s">
        <v>47</v>
      </c>
    </row>
    <row r="57" spans="1:51" ht="30" customHeight="1" x14ac:dyDescent="0.3">
      <c r="A57" s="57"/>
      <c r="B57" s="57"/>
      <c r="C57" s="49"/>
      <c r="D57" s="57"/>
      <c r="E57" s="58"/>
      <c r="F57" s="59"/>
      <c r="G57" s="58"/>
      <c r="H57" s="59"/>
      <c r="I57" s="58"/>
      <c r="J57" s="59"/>
      <c r="K57" s="58"/>
      <c r="L57" s="59"/>
      <c r="M57" s="57"/>
    </row>
    <row r="58" spans="1:51" ht="30" customHeight="1" x14ac:dyDescent="0.3">
      <c r="A58" s="104" t="str">
        <f>A59&amp;"  "&amp;B59&amp;"  "&amp; C59&amp;"     ( 호표 10 )"</f>
        <v>전력케이블 철거  F-CV, 0.6/1kV, 3C 4mm²    m     ( 호표 10 )</v>
      </c>
      <c r="B58" s="104"/>
      <c r="C58" s="104"/>
      <c r="D58" s="104"/>
      <c r="E58" s="105"/>
      <c r="F58" s="106"/>
      <c r="G58" s="105"/>
      <c r="H58" s="106"/>
      <c r="I58" s="105"/>
      <c r="J58" s="106"/>
      <c r="K58" s="105"/>
      <c r="L58" s="106"/>
      <c r="M58" s="104"/>
      <c r="N58" s="72" t="s">
        <v>57</v>
      </c>
    </row>
    <row r="59" spans="1:51" ht="30" customHeight="1" x14ac:dyDescent="0.3">
      <c r="A59" s="33" t="s">
        <v>241</v>
      </c>
      <c r="B59" s="33" t="s">
        <v>251</v>
      </c>
      <c r="C59" s="48" t="s">
        <v>209</v>
      </c>
      <c r="D59" s="57">
        <v>1</v>
      </c>
      <c r="E59" s="58"/>
      <c r="F59" s="59"/>
      <c r="G59" s="58"/>
      <c r="H59" s="59"/>
      <c r="I59" s="58"/>
      <c r="J59" s="59"/>
      <c r="K59" s="58"/>
      <c r="L59" s="59"/>
      <c r="M59" s="33" t="s">
        <v>47</v>
      </c>
      <c r="N59" s="52" t="s">
        <v>57</v>
      </c>
      <c r="O59" s="52" t="s">
        <v>99</v>
      </c>
      <c r="P59" s="52" t="s">
        <v>50</v>
      </c>
      <c r="Q59" s="52" t="s">
        <v>50</v>
      </c>
      <c r="R59" s="52" t="s">
        <v>51</v>
      </c>
      <c r="S59" s="74"/>
      <c r="T59" s="74"/>
      <c r="U59" s="74"/>
      <c r="V59" s="74">
        <v>1</v>
      </c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52" t="s">
        <v>47</v>
      </c>
      <c r="AW59" s="52" t="s">
        <v>100</v>
      </c>
      <c r="AX59" s="52" t="s">
        <v>47</v>
      </c>
      <c r="AY59" s="52" t="s">
        <v>47</v>
      </c>
    </row>
    <row r="60" spans="1:51" ht="30" customHeight="1" x14ac:dyDescent="0.3">
      <c r="A60" s="33" t="s">
        <v>214</v>
      </c>
      <c r="B60" s="33" t="s">
        <v>103</v>
      </c>
      <c r="C60" s="48" t="s">
        <v>104</v>
      </c>
      <c r="D60" s="76">
        <f>0.022*0.5</f>
        <v>1.0999999999999999E-2</v>
      </c>
      <c r="E60" s="58"/>
      <c r="F60" s="59"/>
      <c r="G60" s="58"/>
      <c r="H60" s="59"/>
      <c r="I60" s="58"/>
      <c r="J60" s="59"/>
      <c r="K60" s="58"/>
      <c r="L60" s="59"/>
      <c r="M60" s="33"/>
      <c r="N60" s="52" t="s">
        <v>57</v>
      </c>
      <c r="O60" s="52" t="s">
        <v>105</v>
      </c>
      <c r="P60" s="52" t="s">
        <v>50</v>
      </c>
      <c r="Q60" s="52" t="s">
        <v>50</v>
      </c>
      <c r="R60" s="52" t="s">
        <v>51</v>
      </c>
      <c r="S60" s="74"/>
      <c r="T60" s="74"/>
      <c r="U60" s="74"/>
      <c r="V60" s="74"/>
      <c r="W60" s="74">
        <v>2</v>
      </c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52" t="s">
        <v>47</v>
      </c>
      <c r="AW60" s="52" t="s">
        <v>106</v>
      </c>
      <c r="AX60" s="52" t="s">
        <v>47</v>
      </c>
      <c r="AY60" s="52" t="s">
        <v>47</v>
      </c>
    </row>
    <row r="61" spans="1:51" ht="30" customHeight="1" x14ac:dyDescent="0.3">
      <c r="A61" s="33" t="s">
        <v>107</v>
      </c>
      <c r="B61" s="33" t="s">
        <v>108</v>
      </c>
      <c r="C61" s="48" t="s">
        <v>101</v>
      </c>
      <c r="D61" s="57">
        <v>1</v>
      </c>
      <c r="E61" s="58"/>
      <c r="F61" s="59"/>
      <c r="G61" s="58"/>
      <c r="H61" s="59"/>
      <c r="I61" s="58"/>
      <c r="J61" s="59"/>
      <c r="K61" s="58"/>
      <c r="L61" s="59"/>
      <c r="M61" s="33" t="s">
        <v>47</v>
      </c>
      <c r="N61" s="52" t="s">
        <v>57</v>
      </c>
      <c r="O61" s="52" t="s">
        <v>109</v>
      </c>
      <c r="P61" s="52" t="s">
        <v>50</v>
      </c>
      <c r="Q61" s="52" t="s">
        <v>50</v>
      </c>
      <c r="R61" s="52" t="s">
        <v>50</v>
      </c>
      <c r="S61" s="74">
        <v>1</v>
      </c>
      <c r="T61" s="74">
        <v>0</v>
      </c>
      <c r="U61" s="74">
        <v>0.03</v>
      </c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52" t="s">
        <v>47</v>
      </c>
      <c r="AW61" s="52" t="s">
        <v>110</v>
      </c>
      <c r="AX61" s="52" t="s">
        <v>47</v>
      </c>
      <c r="AY61" s="52" t="s">
        <v>47</v>
      </c>
    </row>
    <row r="62" spans="1:51" ht="30" customHeight="1" x14ac:dyDescent="0.3">
      <c r="A62" s="33" t="s">
        <v>111</v>
      </c>
      <c r="B62" s="33" t="s">
        <v>47</v>
      </c>
      <c r="C62" s="48" t="s">
        <v>47</v>
      </c>
      <c r="D62" s="57"/>
      <c r="E62" s="58"/>
      <c r="F62" s="59">
        <f>TRUNC(SUMIF(N59:N61, N58, F59:F61),0)</f>
        <v>0</v>
      </c>
      <c r="G62" s="58"/>
      <c r="H62" s="59">
        <f>TRUNC(SUMIF(N59:N61, N58, H59:H61),0)</f>
        <v>0</v>
      </c>
      <c r="I62" s="58"/>
      <c r="J62" s="59">
        <f>TRUNC(SUMIF(N59:N61, N58, J59:J61),0)</f>
        <v>0</v>
      </c>
      <c r="K62" s="58"/>
      <c r="L62" s="59">
        <f>F62+H62+J62</f>
        <v>0</v>
      </c>
      <c r="M62" s="33" t="s">
        <v>47</v>
      </c>
      <c r="N62" s="52" t="s">
        <v>81</v>
      </c>
      <c r="O62" s="52" t="s">
        <v>81</v>
      </c>
      <c r="P62" s="52" t="s">
        <v>47</v>
      </c>
      <c r="Q62" s="52" t="s">
        <v>47</v>
      </c>
      <c r="R62" s="52" t="s">
        <v>47</v>
      </c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52" t="s">
        <v>47</v>
      </c>
      <c r="AW62" s="52" t="s">
        <v>47</v>
      </c>
      <c r="AX62" s="52" t="s">
        <v>47</v>
      </c>
      <c r="AY62" s="52" t="s">
        <v>47</v>
      </c>
    </row>
    <row r="63" spans="1:51" ht="30" customHeight="1" x14ac:dyDescent="0.3">
      <c r="A63" s="57"/>
      <c r="B63" s="57"/>
      <c r="C63" s="49"/>
      <c r="D63" s="57"/>
      <c r="E63" s="58"/>
      <c r="F63" s="59"/>
      <c r="G63" s="58"/>
      <c r="H63" s="59"/>
      <c r="I63" s="58"/>
      <c r="J63" s="59"/>
      <c r="K63" s="58"/>
      <c r="L63" s="59"/>
      <c r="M63" s="57"/>
    </row>
    <row r="64" spans="1:51" ht="30" customHeight="1" x14ac:dyDescent="0.3">
      <c r="A64" s="104" t="str">
        <f>A65&amp;"  "&amp;B65&amp;"  "&amp; C65&amp;"     ( 호표 11 )"</f>
        <v>절연전선 철거  HFIX, 450/750V, 6mm²    m     ( 호표 11 )</v>
      </c>
      <c r="B64" s="104"/>
      <c r="C64" s="104"/>
      <c r="D64" s="104"/>
      <c r="E64" s="105"/>
      <c r="F64" s="106"/>
      <c r="G64" s="105"/>
      <c r="H64" s="106"/>
      <c r="I64" s="105"/>
      <c r="J64" s="106"/>
      <c r="K64" s="105"/>
      <c r="L64" s="106"/>
      <c r="M64" s="104"/>
      <c r="N64" s="72" t="s">
        <v>57</v>
      </c>
    </row>
    <row r="65" spans="1:51" ht="30" customHeight="1" x14ac:dyDescent="0.3">
      <c r="A65" s="33" t="s">
        <v>246</v>
      </c>
      <c r="B65" s="33" t="s">
        <v>247</v>
      </c>
      <c r="C65" s="48" t="s">
        <v>209</v>
      </c>
      <c r="D65" s="57">
        <v>1</v>
      </c>
      <c r="E65" s="58"/>
      <c r="F65" s="59"/>
      <c r="G65" s="58"/>
      <c r="H65" s="59"/>
      <c r="I65" s="58"/>
      <c r="J65" s="59"/>
      <c r="K65" s="58"/>
      <c r="L65" s="59"/>
      <c r="M65" s="33" t="s">
        <v>47</v>
      </c>
      <c r="N65" s="52" t="s">
        <v>57</v>
      </c>
      <c r="O65" s="52" t="s">
        <v>99</v>
      </c>
      <c r="P65" s="52" t="s">
        <v>50</v>
      </c>
      <c r="Q65" s="52" t="s">
        <v>50</v>
      </c>
      <c r="R65" s="52" t="s">
        <v>51</v>
      </c>
      <c r="S65" s="74"/>
      <c r="T65" s="74"/>
      <c r="U65" s="74"/>
      <c r="V65" s="74">
        <v>1</v>
      </c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52" t="s">
        <v>47</v>
      </c>
      <c r="AW65" s="52" t="s">
        <v>100</v>
      </c>
      <c r="AX65" s="52" t="s">
        <v>47</v>
      </c>
      <c r="AY65" s="52" t="s">
        <v>47</v>
      </c>
    </row>
    <row r="66" spans="1:51" ht="30" customHeight="1" x14ac:dyDescent="0.3">
      <c r="A66" s="33" t="s">
        <v>215</v>
      </c>
      <c r="B66" s="33" t="s">
        <v>103</v>
      </c>
      <c r="C66" s="48" t="s">
        <v>104</v>
      </c>
      <c r="D66" s="76">
        <f>0.01*0.3</f>
        <v>3.0000000000000001E-3</v>
      </c>
      <c r="E66" s="58"/>
      <c r="F66" s="59"/>
      <c r="G66" s="58"/>
      <c r="H66" s="59"/>
      <c r="I66" s="58"/>
      <c r="J66" s="59"/>
      <c r="K66" s="58"/>
      <c r="L66" s="59"/>
      <c r="M66" s="33"/>
      <c r="N66" s="52" t="s">
        <v>57</v>
      </c>
      <c r="O66" s="52" t="s">
        <v>105</v>
      </c>
      <c r="P66" s="52" t="s">
        <v>50</v>
      </c>
      <c r="Q66" s="52" t="s">
        <v>50</v>
      </c>
      <c r="R66" s="52" t="s">
        <v>51</v>
      </c>
      <c r="S66" s="74"/>
      <c r="T66" s="74"/>
      <c r="U66" s="74"/>
      <c r="V66" s="74"/>
      <c r="W66" s="74">
        <v>2</v>
      </c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52" t="s">
        <v>47</v>
      </c>
      <c r="AW66" s="52" t="s">
        <v>106</v>
      </c>
      <c r="AX66" s="52" t="s">
        <v>47</v>
      </c>
      <c r="AY66" s="52" t="s">
        <v>47</v>
      </c>
    </row>
    <row r="67" spans="1:51" ht="30" customHeight="1" x14ac:dyDescent="0.3">
      <c r="A67" s="33" t="s">
        <v>107</v>
      </c>
      <c r="B67" s="33" t="s">
        <v>108</v>
      </c>
      <c r="C67" s="48" t="s">
        <v>101</v>
      </c>
      <c r="D67" s="57">
        <v>1</v>
      </c>
      <c r="E67" s="58"/>
      <c r="F67" s="59"/>
      <c r="G67" s="58"/>
      <c r="H67" s="59"/>
      <c r="I67" s="58"/>
      <c r="J67" s="59"/>
      <c r="K67" s="58"/>
      <c r="L67" s="59"/>
      <c r="M67" s="33" t="s">
        <v>47</v>
      </c>
      <c r="N67" s="52" t="s">
        <v>57</v>
      </c>
      <c r="O67" s="52" t="s">
        <v>109</v>
      </c>
      <c r="P67" s="52" t="s">
        <v>50</v>
      </c>
      <c r="Q67" s="52" t="s">
        <v>50</v>
      </c>
      <c r="R67" s="52" t="s">
        <v>50</v>
      </c>
      <c r="S67" s="74">
        <v>1</v>
      </c>
      <c r="T67" s="74">
        <v>0</v>
      </c>
      <c r="U67" s="74">
        <v>0.03</v>
      </c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52" t="s">
        <v>47</v>
      </c>
      <c r="AW67" s="52" t="s">
        <v>110</v>
      </c>
      <c r="AX67" s="52" t="s">
        <v>47</v>
      </c>
      <c r="AY67" s="52" t="s">
        <v>47</v>
      </c>
    </row>
    <row r="68" spans="1:51" ht="30" customHeight="1" x14ac:dyDescent="0.3">
      <c r="A68" s="33" t="s">
        <v>111</v>
      </c>
      <c r="B68" s="33" t="s">
        <v>47</v>
      </c>
      <c r="C68" s="48" t="s">
        <v>47</v>
      </c>
      <c r="D68" s="57"/>
      <c r="E68" s="58"/>
      <c r="F68" s="59">
        <f>TRUNC(SUMIF(N65:N67, N64, F65:F67),0)</f>
        <v>0</v>
      </c>
      <c r="G68" s="58"/>
      <c r="H68" s="59">
        <f>TRUNC(SUMIF(N65:N67, N64, H65:H67),0)</f>
        <v>0</v>
      </c>
      <c r="I68" s="58"/>
      <c r="J68" s="59">
        <f>TRUNC(SUMIF(N65:N67, N64, J65:J67),0)</f>
        <v>0</v>
      </c>
      <c r="K68" s="58"/>
      <c r="L68" s="59">
        <f>F68+H68+J68</f>
        <v>0</v>
      </c>
      <c r="M68" s="33" t="s">
        <v>47</v>
      </c>
      <c r="N68" s="52" t="s">
        <v>81</v>
      </c>
      <c r="O68" s="52" t="s">
        <v>81</v>
      </c>
      <c r="P68" s="52" t="s">
        <v>47</v>
      </c>
      <c r="Q68" s="52" t="s">
        <v>47</v>
      </c>
      <c r="R68" s="52" t="s">
        <v>47</v>
      </c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52" t="s">
        <v>47</v>
      </c>
      <c r="AW68" s="52" t="s">
        <v>47</v>
      </c>
      <c r="AX68" s="52" t="s">
        <v>47</v>
      </c>
      <c r="AY68" s="52" t="s">
        <v>47</v>
      </c>
    </row>
    <row r="69" spans="1:51" ht="30" customHeight="1" x14ac:dyDescent="0.3">
      <c r="A69" s="57"/>
      <c r="B69" s="57"/>
      <c r="C69" s="49"/>
      <c r="D69" s="57"/>
      <c r="E69" s="58"/>
      <c r="F69" s="59"/>
      <c r="G69" s="58"/>
      <c r="H69" s="59"/>
      <c r="I69" s="58"/>
      <c r="J69" s="59"/>
      <c r="K69" s="58"/>
      <c r="L69" s="59"/>
      <c r="M69" s="57"/>
    </row>
    <row r="70" spans="1:51" ht="30" customHeight="1" x14ac:dyDescent="0.3">
      <c r="A70" s="104" t="str">
        <f>A71&amp;"  "&amp;B71&amp;"  "&amp; C71&amp;"     ( 호표 12 )"</f>
        <v>접지용전선 철거  GV, 4mm²    m     ( 호표 12 )</v>
      </c>
      <c r="B70" s="104"/>
      <c r="C70" s="104"/>
      <c r="D70" s="104"/>
      <c r="E70" s="105"/>
      <c r="F70" s="106"/>
      <c r="G70" s="105"/>
      <c r="H70" s="106"/>
      <c r="I70" s="105"/>
      <c r="J70" s="106"/>
      <c r="K70" s="105"/>
      <c r="L70" s="106"/>
      <c r="M70" s="104"/>
      <c r="N70" s="72" t="s">
        <v>57</v>
      </c>
    </row>
    <row r="71" spans="1:51" ht="30" customHeight="1" x14ac:dyDescent="0.3">
      <c r="A71" s="33" t="s">
        <v>253</v>
      </c>
      <c r="B71" s="33" t="s">
        <v>252</v>
      </c>
      <c r="C71" s="48" t="s">
        <v>209</v>
      </c>
      <c r="D71" s="57">
        <v>1</v>
      </c>
      <c r="E71" s="58"/>
      <c r="F71" s="59"/>
      <c r="G71" s="58"/>
      <c r="H71" s="59"/>
      <c r="I71" s="58"/>
      <c r="J71" s="59"/>
      <c r="K71" s="58"/>
      <c r="L71" s="59"/>
      <c r="M71" s="33" t="s">
        <v>47</v>
      </c>
      <c r="N71" s="52" t="s">
        <v>57</v>
      </c>
      <c r="O71" s="52" t="s">
        <v>99</v>
      </c>
      <c r="P71" s="52" t="s">
        <v>50</v>
      </c>
      <c r="Q71" s="52" t="s">
        <v>50</v>
      </c>
      <c r="R71" s="52" t="s">
        <v>51</v>
      </c>
      <c r="S71" s="74"/>
      <c r="T71" s="74"/>
      <c r="U71" s="74"/>
      <c r="V71" s="74">
        <v>1</v>
      </c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52" t="s">
        <v>47</v>
      </c>
      <c r="AW71" s="52" t="s">
        <v>100</v>
      </c>
      <c r="AX71" s="52" t="s">
        <v>47</v>
      </c>
      <c r="AY71" s="52" t="s">
        <v>47</v>
      </c>
    </row>
    <row r="72" spans="1:51" ht="30" customHeight="1" x14ac:dyDescent="0.3">
      <c r="A72" s="33" t="s">
        <v>215</v>
      </c>
      <c r="B72" s="33" t="s">
        <v>103</v>
      </c>
      <c r="C72" s="48" t="s">
        <v>104</v>
      </c>
      <c r="D72" s="77">
        <f>0.006*0.5*1.5</f>
        <v>4.5000000000000005E-3</v>
      </c>
      <c r="E72" s="58"/>
      <c r="F72" s="59"/>
      <c r="G72" s="58"/>
      <c r="H72" s="59"/>
      <c r="I72" s="58"/>
      <c r="J72" s="59"/>
      <c r="K72" s="58"/>
      <c r="L72" s="59"/>
      <c r="M72" s="33"/>
      <c r="N72" s="52" t="s">
        <v>57</v>
      </c>
      <c r="O72" s="52" t="s">
        <v>105</v>
      </c>
      <c r="P72" s="52" t="s">
        <v>50</v>
      </c>
      <c r="Q72" s="52" t="s">
        <v>50</v>
      </c>
      <c r="R72" s="52" t="s">
        <v>51</v>
      </c>
      <c r="S72" s="74"/>
      <c r="T72" s="74"/>
      <c r="U72" s="74"/>
      <c r="V72" s="74"/>
      <c r="W72" s="74">
        <v>2</v>
      </c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52" t="s">
        <v>47</v>
      </c>
      <c r="AW72" s="52" t="s">
        <v>106</v>
      </c>
      <c r="AX72" s="52" t="s">
        <v>47</v>
      </c>
      <c r="AY72" s="52" t="s">
        <v>47</v>
      </c>
    </row>
    <row r="73" spans="1:51" ht="30" customHeight="1" x14ac:dyDescent="0.3">
      <c r="A73" s="33" t="s">
        <v>107</v>
      </c>
      <c r="B73" s="33" t="s">
        <v>108</v>
      </c>
      <c r="C73" s="48" t="s">
        <v>101</v>
      </c>
      <c r="D73" s="57">
        <v>1</v>
      </c>
      <c r="E73" s="58"/>
      <c r="F73" s="59"/>
      <c r="G73" s="58"/>
      <c r="H73" s="59"/>
      <c r="I73" s="58"/>
      <c r="J73" s="59"/>
      <c r="K73" s="58"/>
      <c r="L73" s="59"/>
      <c r="M73" s="33" t="s">
        <v>47</v>
      </c>
      <c r="N73" s="52" t="s">
        <v>57</v>
      </c>
      <c r="O73" s="52" t="s">
        <v>109</v>
      </c>
      <c r="P73" s="52" t="s">
        <v>50</v>
      </c>
      <c r="Q73" s="52" t="s">
        <v>50</v>
      </c>
      <c r="R73" s="52" t="s">
        <v>50</v>
      </c>
      <c r="S73" s="74">
        <v>1</v>
      </c>
      <c r="T73" s="74">
        <v>0</v>
      </c>
      <c r="U73" s="74">
        <v>0.03</v>
      </c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52" t="s">
        <v>47</v>
      </c>
      <c r="AW73" s="52" t="s">
        <v>110</v>
      </c>
      <c r="AX73" s="52" t="s">
        <v>47</v>
      </c>
      <c r="AY73" s="52" t="s">
        <v>47</v>
      </c>
    </row>
    <row r="74" spans="1:51" ht="30" customHeight="1" x14ac:dyDescent="0.3">
      <c r="A74" s="33" t="s">
        <v>111</v>
      </c>
      <c r="B74" s="33" t="s">
        <v>47</v>
      </c>
      <c r="C74" s="48" t="s">
        <v>47</v>
      </c>
      <c r="D74" s="57"/>
      <c r="E74" s="58"/>
      <c r="F74" s="59">
        <f>TRUNC(SUMIF(N71:N73, N70, F71:F73),0)</f>
        <v>0</v>
      </c>
      <c r="G74" s="58"/>
      <c r="H74" s="59">
        <f>TRUNC(SUMIF(N71:N73, N70, H71:H73),0)</f>
        <v>0</v>
      </c>
      <c r="I74" s="58"/>
      <c r="J74" s="59">
        <f>TRUNC(SUMIF(N71:N73, N70, J71:J73),0)</f>
        <v>0</v>
      </c>
      <c r="K74" s="58"/>
      <c r="L74" s="59">
        <f>F74+H74+J74</f>
        <v>0</v>
      </c>
      <c r="M74" s="33" t="s">
        <v>47</v>
      </c>
      <c r="N74" s="52" t="s">
        <v>81</v>
      </c>
      <c r="O74" s="52" t="s">
        <v>81</v>
      </c>
      <c r="P74" s="52" t="s">
        <v>47</v>
      </c>
      <c r="Q74" s="52" t="s">
        <v>47</v>
      </c>
      <c r="R74" s="52" t="s">
        <v>47</v>
      </c>
      <c r="S74" s="74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52" t="s">
        <v>47</v>
      </c>
      <c r="AW74" s="52" t="s">
        <v>47</v>
      </c>
      <c r="AX74" s="52" t="s">
        <v>47</v>
      </c>
      <c r="AY74" s="52" t="s">
        <v>47</v>
      </c>
    </row>
    <row r="75" spans="1:51" ht="30" customHeight="1" x14ac:dyDescent="0.3">
      <c r="A75" s="57"/>
      <c r="B75" s="57"/>
      <c r="C75" s="49"/>
      <c r="D75" s="57"/>
      <c r="E75" s="58"/>
      <c r="F75" s="59"/>
      <c r="G75" s="58"/>
      <c r="H75" s="59"/>
      <c r="I75" s="58"/>
      <c r="J75" s="59"/>
      <c r="K75" s="58"/>
      <c r="L75" s="59"/>
      <c r="M75" s="57"/>
    </row>
    <row r="76" spans="1:51" ht="30" customHeight="1" x14ac:dyDescent="0.3">
      <c r="A76" s="104" t="e">
        <f>A77&amp;"  "&amp;B77&amp;"  "&amp; C77&amp;"     ( 호표 13 )"</f>
        <v>#REF!</v>
      </c>
      <c r="B76" s="104"/>
      <c r="C76" s="104"/>
      <c r="D76" s="104"/>
      <c r="E76" s="105"/>
      <c r="F76" s="106"/>
      <c r="G76" s="105"/>
      <c r="H76" s="106"/>
      <c r="I76" s="105"/>
      <c r="J76" s="106"/>
      <c r="K76" s="105"/>
      <c r="L76" s="106"/>
      <c r="M76" s="104"/>
      <c r="N76" s="72" t="s">
        <v>57</v>
      </c>
    </row>
    <row r="77" spans="1:51" ht="30" customHeight="1" x14ac:dyDescent="0.3">
      <c r="A77" s="33" t="s">
        <v>254</v>
      </c>
      <c r="B77" s="33" t="e">
        <f>#REF!</f>
        <v>#REF!</v>
      </c>
      <c r="C77" s="48" t="e">
        <f>#REF!</f>
        <v>#REF!</v>
      </c>
      <c r="D77" s="57">
        <v>1.05</v>
      </c>
      <c r="E77" s="58"/>
      <c r="F77" s="59"/>
      <c r="G77" s="58"/>
      <c r="H77" s="59"/>
      <c r="I77" s="58"/>
      <c r="J77" s="59"/>
      <c r="K77" s="58"/>
      <c r="L77" s="59"/>
      <c r="M77" s="33" t="s">
        <v>47</v>
      </c>
      <c r="N77" s="52" t="s">
        <v>57</v>
      </c>
      <c r="O77" s="52" t="s">
        <v>99</v>
      </c>
      <c r="P77" s="52" t="s">
        <v>50</v>
      </c>
      <c r="Q77" s="52" t="s">
        <v>50</v>
      </c>
      <c r="R77" s="52" t="s">
        <v>51</v>
      </c>
      <c r="S77" s="74"/>
      <c r="T77" s="74"/>
      <c r="U77" s="74"/>
      <c r="V77" s="74">
        <v>1</v>
      </c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52" t="s">
        <v>47</v>
      </c>
      <c r="AW77" s="52" t="s">
        <v>100</v>
      </c>
      <c r="AX77" s="52" t="s">
        <v>47</v>
      </c>
      <c r="AY77" s="52" t="s">
        <v>47</v>
      </c>
    </row>
    <row r="78" spans="1:51" ht="30" customHeight="1" x14ac:dyDescent="0.3">
      <c r="A78" s="33" t="s">
        <v>215</v>
      </c>
      <c r="B78" s="33" t="s">
        <v>103</v>
      </c>
      <c r="C78" s="48" t="s">
        <v>104</v>
      </c>
      <c r="D78" s="79">
        <f>0.23</f>
        <v>0.23</v>
      </c>
      <c r="E78" s="58"/>
      <c r="F78" s="59"/>
      <c r="G78" s="58"/>
      <c r="H78" s="59"/>
      <c r="I78" s="58"/>
      <c r="J78" s="59"/>
      <c r="K78" s="58"/>
      <c r="L78" s="59"/>
      <c r="M78" s="33"/>
      <c r="N78" s="52" t="s">
        <v>57</v>
      </c>
      <c r="O78" s="52" t="s">
        <v>105</v>
      </c>
      <c r="P78" s="52" t="s">
        <v>50</v>
      </c>
      <c r="Q78" s="52" t="s">
        <v>50</v>
      </c>
      <c r="R78" s="52" t="s">
        <v>51</v>
      </c>
      <c r="S78" s="74"/>
      <c r="T78" s="74"/>
      <c r="U78" s="74"/>
      <c r="V78" s="74"/>
      <c r="W78" s="74">
        <v>2</v>
      </c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52" t="s">
        <v>47</v>
      </c>
      <c r="AW78" s="52" t="s">
        <v>106</v>
      </c>
      <c r="AX78" s="52" t="s">
        <v>47</v>
      </c>
      <c r="AY78" s="52" t="s">
        <v>47</v>
      </c>
    </row>
    <row r="79" spans="1:51" ht="30" customHeight="1" x14ac:dyDescent="0.3">
      <c r="A79" s="33" t="s">
        <v>107</v>
      </c>
      <c r="B79" s="33" t="s">
        <v>108</v>
      </c>
      <c r="C79" s="48" t="s">
        <v>101</v>
      </c>
      <c r="D79" s="57">
        <v>1</v>
      </c>
      <c r="E79" s="58"/>
      <c r="F79" s="59"/>
      <c r="G79" s="58"/>
      <c r="H79" s="59"/>
      <c r="I79" s="58"/>
      <c r="J79" s="59"/>
      <c r="K79" s="58"/>
      <c r="L79" s="59"/>
      <c r="M79" s="33" t="s">
        <v>47</v>
      </c>
      <c r="N79" s="52" t="s">
        <v>57</v>
      </c>
      <c r="O79" s="52" t="s">
        <v>109</v>
      </c>
      <c r="P79" s="52" t="s">
        <v>50</v>
      </c>
      <c r="Q79" s="52" t="s">
        <v>50</v>
      </c>
      <c r="R79" s="52" t="s">
        <v>50</v>
      </c>
      <c r="S79" s="74">
        <v>1</v>
      </c>
      <c r="T79" s="74">
        <v>0</v>
      </c>
      <c r="U79" s="74">
        <v>0.03</v>
      </c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52" t="s">
        <v>47</v>
      </c>
      <c r="AW79" s="52" t="s">
        <v>110</v>
      </c>
      <c r="AX79" s="52" t="s">
        <v>47</v>
      </c>
      <c r="AY79" s="52" t="s">
        <v>47</v>
      </c>
    </row>
    <row r="80" spans="1:51" ht="30" customHeight="1" x14ac:dyDescent="0.3">
      <c r="A80" s="33" t="s">
        <v>111</v>
      </c>
      <c r="B80" s="33" t="s">
        <v>47</v>
      </c>
      <c r="C80" s="48" t="s">
        <v>47</v>
      </c>
      <c r="D80" s="57"/>
      <c r="E80" s="58"/>
      <c r="F80" s="59">
        <f>TRUNC(SUMIF(N77:N79, N76, F77:F79),0)</f>
        <v>0</v>
      </c>
      <c r="G80" s="58"/>
      <c r="H80" s="59">
        <f>TRUNC(SUMIF(N77:N79, N76, H77:H79),0)</f>
        <v>0</v>
      </c>
      <c r="I80" s="58"/>
      <c r="J80" s="59">
        <f>TRUNC(SUMIF(N77:N79, N76, J77:J79),0)</f>
        <v>0</v>
      </c>
      <c r="K80" s="58"/>
      <c r="L80" s="59">
        <f>F80+H80+J80</f>
        <v>0</v>
      </c>
      <c r="M80" s="33" t="s">
        <v>47</v>
      </c>
      <c r="N80" s="52" t="s">
        <v>81</v>
      </c>
      <c r="O80" s="52" t="s">
        <v>81</v>
      </c>
      <c r="P80" s="52" t="s">
        <v>47</v>
      </c>
      <c r="Q80" s="52" t="s">
        <v>47</v>
      </c>
      <c r="R80" s="52" t="s">
        <v>47</v>
      </c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52" t="s">
        <v>47</v>
      </c>
      <c r="AW80" s="52" t="s">
        <v>47</v>
      </c>
      <c r="AX80" s="52" t="s">
        <v>47</v>
      </c>
      <c r="AY80" s="52" t="s">
        <v>47</v>
      </c>
    </row>
    <row r="81" spans="1:51" ht="30" customHeight="1" x14ac:dyDescent="0.3">
      <c r="A81" s="57"/>
      <c r="B81" s="57"/>
      <c r="C81" s="49"/>
      <c r="D81" s="57"/>
      <c r="E81" s="58"/>
      <c r="F81" s="59"/>
      <c r="G81" s="58"/>
      <c r="H81" s="59"/>
      <c r="I81" s="58"/>
      <c r="J81" s="59"/>
      <c r="K81" s="58"/>
      <c r="L81" s="59"/>
      <c r="M81" s="57"/>
    </row>
    <row r="82" spans="1:51" ht="30" customHeight="1" x14ac:dyDescent="0.3">
      <c r="A82" s="104" t="e">
        <f>A83&amp;"  "&amp;B83&amp;"  "&amp; C83&amp;"     ( 호표 14 )"</f>
        <v>#REF!</v>
      </c>
      <c r="B82" s="104"/>
      <c r="C82" s="104"/>
      <c r="D82" s="104"/>
      <c r="E82" s="105"/>
      <c r="F82" s="106"/>
      <c r="G82" s="105"/>
      <c r="H82" s="106"/>
      <c r="I82" s="105"/>
      <c r="J82" s="106"/>
      <c r="K82" s="105"/>
      <c r="L82" s="106"/>
      <c r="M82" s="104"/>
      <c r="N82" s="72" t="s">
        <v>57</v>
      </c>
    </row>
    <row r="83" spans="1:51" ht="30" customHeight="1" x14ac:dyDescent="0.3">
      <c r="A83" s="33" t="s">
        <v>255</v>
      </c>
      <c r="B83" s="33" t="e">
        <f>#REF!</f>
        <v>#REF!</v>
      </c>
      <c r="C83" s="48" t="e">
        <f>#REF!</f>
        <v>#REF!</v>
      </c>
      <c r="D83" s="57">
        <v>1</v>
      </c>
      <c r="E83" s="58"/>
      <c r="F83" s="59"/>
      <c r="G83" s="58"/>
      <c r="H83" s="59"/>
      <c r="I83" s="58"/>
      <c r="J83" s="59"/>
      <c r="K83" s="58"/>
      <c r="L83" s="59"/>
      <c r="M83" s="33" t="s">
        <v>47</v>
      </c>
      <c r="N83" s="52" t="s">
        <v>57</v>
      </c>
      <c r="O83" s="52" t="s">
        <v>99</v>
      </c>
      <c r="P83" s="52" t="s">
        <v>50</v>
      </c>
      <c r="Q83" s="52" t="s">
        <v>50</v>
      </c>
      <c r="R83" s="52" t="s">
        <v>51</v>
      </c>
      <c r="S83" s="74"/>
      <c r="T83" s="74"/>
      <c r="U83" s="74"/>
      <c r="V83" s="74">
        <v>1</v>
      </c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52" t="s">
        <v>47</v>
      </c>
      <c r="AW83" s="52" t="s">
        <v>100</v>
      </c>
      <c r="AX83" s="52" t="s">
        <v>47</v>
      </c>
      <c r="AY83" s="52" t="s">
        <v>47</v>
      </c>
    </row>
    <row r="84" spans="1:51" ht="30" customHeight="1" x14ac:dyDescent="0.3">
      <c r="A84" s="33" t="s">
        <v>215</v>
      </c>
      <c r="B84" s="33" t="s">
        <v>103</v>
      </c>
      <c r="C84" s="48" t="s">
        <v>104</v>
      </c>
      <c r="D84" s="79">
        <f>0.23</f>
        <v>0.23</v>
      </c>
      <c r="E84" s="58"/>
      <c r="F84" s="59"/>
      <c r="G84" s="58"/>
      <c r="H84" s="59"/>
      <c r="I84" s="58"/>
      <c r="J84" s="59"/>
      <c r="K84" s="58"/>
      <c r="L84" s="59"/>
      <c r="M84" s="33"/>
      <c r="N84" s="52" t="s">
        <v>57</v>
      </c>
      <c r="O84" s="52" t="s">
        <v>105</v>
      </c>
      <c r="P84" s="52" t="s">
        <v>50</v>
      </c>
      <c r="Q84" s="52" t="s">
        <v>50</v>
      </c>
      <c r="R84" s="52" t="s">
        <v>51</v>
      </c>
      <c r="S84" s="74"/>
      <c r="T84" s="74"/>
      <c r="U84" s="74"/>
      <c r="V84" s="74"/>
      <c r="W84" s="74">
        <v>2</v>
      </c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  <c r="AV84" s="52" t="s">
        <v>47</v>
      </c>
      <c r="AW84" s="52" t="s">
        <v>106</v>
      </c>
      <c r="AX84" s="52" t="s">
        <v>47</v>
      </c>
      <c r="AY84" s="52" t="s">
        <v>47</v>
      </c>
    </row>
    <row r="85" spans="1:51" ht="30" customHeight="1" x14ac:dyDescent="0.3">
      <c r="A85" s="33" t="s">
        <v>107</v>
      </c>
      <c r="B85" s="33" t="s">
        <v>108</v>
      </c>
      <c r="C85" s="48" t="s">
        <v>101</v>
      </c>
      <c r="D85" s="57">
        <v>1</v>
      </c>
      <c r="E85" s="58"/>
      <c r="F85" s="59"/>
      <c r="G85" s="58"/>
      <c r="H85" s="59"/>
      <c r="I85" s="58"/>
      <c r="J85" s="59"/>
      <c r="K85" s="58"/>
      <c r="L85" s="59"/>
      <c r="M85" s="33" t="s">
        <v>47</v>
      </c>
      <c r="N85" s="52" t="s">
        <v>57</v>
      </c>
      <c r="O85" s="52" t="s">
        <v>109</v>
      </c>
      <c r="P85" s="52" t="s">
        <v>50</v>
      </c>
      <c r="Q85" s="52" t="s">
        <v>50</v>
      </c>
      <c r="R85" s="52" t="s">
        <v>50</v>
      </c>
      <c r="S85" s="74">
        <v>1</v>
      </c>
      <c r="T85" s="74">
        <v>0</v>
      </c>
      <c r="U85" s="74">
        <v>0.03</v>
      </c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52" t="s">
        <v>47</v>
      </c>
      <c r="AW85" s="52" t="s">
        <v>110</v>
      </c>
      <c r="AX85" s="52" t="s">
        <v>47</v>
      </c>
      <c r="AY85" s="52" t="s">
        <v>47</v>
      </c>
    </row>
    <row r="86" spans="1:51" ht="30" customHeight="1" x14ac:dyDescent="0.3">
      <c r="A86" s="33" t="s">
        <v>111</v>
      </c>
      <c r="B86" s="33" t="s">
        <v>47</v>
      </c>
      <c r="C86" s="48" t="s">
        <v>47</v>
      </c>
      <c r="D86" s="57"/>
      <c r="E86" s="58"/>
      <c r="F86" s="59">
        <f>TRUNC(SUMIF(N83:N85, N82, F83:F85),0)</f>
        <v>0</v>
      </c>
      <c r="G86" s="58"/>
      <c r="H86" s="59">
        <f>TRUNC(SUMIF(N83:N85, N82, H83:H85),0)</f>
        <v>0</v>
      </c>
      <c r="I86" s="58"/>
      <c r="J86" s="59">
        <f>TRUNC(SUMIF(N83:N85, N82, J83:J85),0)</f>
        <v>0</v>
      </c>
      <c r="K86" s="58"/>
      <c r="L86" s="59">
        <f>F86+H86+J86</f>
        <v>0</v>
      </c>
      <c r="M86" s="33" t="s">
        <v>47</v>
      </c>
      <c r="N86" s="52" t="s">
        <v>81</v>
      </c>
      <c r="O86" s="52" t="s">
        <v>81</v>
      </c>
      <c r="P86" s="52" t="s">
        <v>47</v>
      </c>
      <c r="Q86" s="52" t="s">
        <v>47</v>
      </c>
      <c r="R86" s="52" t="s">
        <v>47</v>
      </c>
      <c r="S86" s="74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52" t="s">
        <v>47</v>
      </c>
      <c r="AW86" s="52" t="s">
        <v>47</v>
      </c>
      <c r="AX86" s="52" t="s">
        <v>47</v>
      </c>
      <c r="AY86" s="52" t="s">
        <v>47</v>
      </c>
    </row>
    <row r="87" spans="1:51" ht="30" customHeight="1" x14ac:dyDescent="0.3">
      <c r="A87" s="57"/>
      <c r="B87" s="57"/>
      <c r="C87" s="49"/>
      <c r="D87" s="57"/>
      <c r="E87" s="58"/>
      <c r="F87" s="59"/>
      <c r="G87" s="58"/>
      <c r="H87" s="59"/>
      <c r="I87" s="58"/>
      <c r="J87" s="59"/>
      <c r="K87" s="58"/>
      <c r="L87" s="59"/>
      <c r="M87" s="57"/>
    </row>
    <row r="88" spans="1:51" ht="30" customHeight="1" x14ac:dyDescent="0.3">
      <c r="A88" s="104" t="e">
        <f>A89&amp;"  "&amp;B89&amp;"  "&amp; C89&amp;"     ( 호표 15 )"</f>
        <v>#REF!</v>
      </c>
      <c r="B88" s="104"/>
      <c r="C88" s="104"/>
      <c r="D88" s="104"/>
      <c r="E88" s="105"/>
      <c r="F88" s="106"/>
      <c r="G88" s="105"/>
      <c r="H88" s="106"/>
      <c r="I88" s="105"/>
      <c r="J88" s="106"/>
      <c r="K88" s="105"/>
      <c r="L88" s="106"/>
      <c r="M88" s="104"/>
      <c r="N88" s="72" t="s">
        <v>57</v>
      </c>
    </row>
    <row r="89" spans="1:51" ht="30" customHeight="1" x14ac:dyDescent="0.3">
      <c r="A89" s="33" t="s">
        <v>255</v>
      </c>
      <c r="B89" s="33" t="e">
        <f>#REF!</f>
        <v>#REF!</v>
      </c>
      <c r="C89" s="48" t="e">
        <f>#REF!</f>
        <v>#REF!</v>
      </c>
      <c r="D89" s="57">
        <v>1</v>
      </c>
      <c r="E89" s="58"/>
      <c r="F89" s="59"/>
      <c r="G89" s="58"/>
      <c r="H89" s="59"/>
      <c r="I89" s="58"/>
      <c r="J89" s="59"/>
      <c r="K89" s="58"/>
      <c r="L89" s="59"/>
      <c r="M89" s="33" t="s">
        <v>47</v>
      </c>
      <c r="N89" s="52" t="s">
        <v>57</v>
      </c>
      <c r="O89" s="52" t="s">
        <v>99</v>
      </c>
      <c r="P89" s="52" t="s">
        <v>50</v>
      </c>
      <c r="Q89" s="52" t="s">
        <v>50</v>
      </c>
      <c r="R89" s="52" t="s">
        <v>51</v>
      </c>
      <c r="S89" s="74"/>
      <c r="T89" s="74"/>
      <c r="U89" s="74"/>
      <c r="V89" s="74">
        <v>1</v>
      </c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52" t="s">
        <v>47</v>
      </c>
      <c r="AW89" s="52" t="s">
        <v>100</v>
      </c>
      <c r="AX89" s="52" t="s">
        <v>47</v>
      </c>
      <c r="AY89" s="52" t="s">
        <v>47</v>
      </c>
    </row>
    <row r="90" spans="1:51" ht="30" customHeight="1" x14ac:dyDescent="0.3">
      <c r="A90" s="33" t="s">
        <v>215</v>
      </c>
      <c r="B90" s="33" t="s">
        <v>103</v>
      </c>
      <c r="C90" s="48" t="s">
        <v>104</v>
      </c>
      <c r="D90" s="79">
        <f>0.23</f>
        <v>0.23</v>
      </c>
      <c r="E90" s="58"/>
      <c r="F90" s="59"/>
      <c r="G90" s="58"/>
      <c r="H90" s="59"/>
      <c r="I90" s="58"/>
      <c r="J90" s="59"/>
      <c r="K90" s="58"/>
      <c r="L90" s="59"/>
      <c r="M90" s="33"/>
      <c r="N90" s="52" t="s">
        <v>57</v>
      </c>
      <c r="O90" s="52" t="s">
        <v>105</v>
      </c>
      <c r="P90" s="52" t="s">
        <v>50</v>
      </c>
      <c r="Q90" s="52" t="s">
        <v>50</v>
      </c>
      <c r="R90" s="52" t="s">
        <v>51</v>
      </c>
      <c r="S90" s="74"/>
      <c r="T90" s="74"/>
      <c r="U90" s="74"/>
      <c r="V90" s="74"/>
      <c r="W90" s="74">
        <v>2</v>
      </c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52" t="s">
        <v>47</v>
      </c>
      <c r="AW90" s="52" t="s">
        <v>106</v>
      </c>
      <c r="AX90" s="52" t="s">
        <v>47</v>
      </c>
      <c r="AY90" s="52" t="s">
        <v>47</v>
      </c>
    </row>
    <row r="91" spans="1:51" ht="30" customHeight="1" x14ac:dyDescent="0.3">
      <c r="A91" s="33" t="s">
        <v>107</v>
      </c>
      <c r="B91" s="33" t="s">
        <v>108</v>
      </c>
      <c r="C91" s="48" t="s">
        <v>101</v>
      </c>
      <c r="D91" s="57">
        <v>1</v>
      </c>
      <c r="E91" s="58"/>
      <c r="F91" s="59"/>
      <c r="G91" s="58"/>
      <c r="H91" s="59"/>
      <c r="I91" s="58"/>
      <c r="J91" s="59"/>
      <c r="K91" s="58"/>
      <c r="L91" s="59"/>
      <c r="M91" s="33" t="s">
        <v>47</v>
      </c>
      <c r="N91" s="52" t="s">
        <v>57</v>
      </c>
      <c r="O91" s="52" t="s">
        <v>109</v>
      </c>
      <c r="P91" s="52" t="s">
        <v>50</v>
      </c>
      <c r="Q91" s="52" t="s">
        <v>50</v>
      </c>
      <c r="R91" s="52" t="s">
        <v>50</v>
      </c>
      <c r="S91" s="74">
        <v>1</v>
      </c>
      <c r="T91" s="74">
        <v>0</v>
      </c>
      <c r="U91" s="74">
        <v>0.03</v>
      </c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74"/>
      <c r="AU91" s="74"/>
      <c r="AV91" s="52" t="s">
        <v>47</v>
      </c>
      <c r="AW91" s="52" t="s">
        <v>110</v>
      </c>
      <c r="AX91" s="52" t="s">
        <v>47</v>
      </c>
      <c r="AY91" s="52" t="s">
        <v>47</v>
      </c>
    </row>
    <row r="92" spans="1:51" ht="30" customHeight="1" x14ac:dyDescent="0.3">
      <c r="A92" s="33" t="s">
        <v>111</v>
      </c>
      <c r="B92" s="33" t="s">
        <v>47</v>
      </c>
      <c r="C92" s="48" t="s">
        <v>47</v>
      </c>
      <c r="D92" s="57"/>
      <c r="E92" s="58"/>
      <c r="F92" s="59">
        <f>TRUNC(SUMIF(N89:N91, N88, F89:F91),0)</f>
        <v>0</v>
      </c>
      <c r="G92" s="58"/>
      <c r="H92" s="59">
        <f>TRUNC(SUMIF(N89:N91, N88, H89:H91),0)</f>
        <v>0</v>
      </c>
      <c r="I92" s="58"/>
      <c r="J92" s="59">
        <f>TRUNC(SUMIF(N89:N91, N88, J89:J91),0)</f>
        <v>0</v>
      </c>
      <c r="K92" s="58"/>
      <c r="L92" s="59">
        <f>F92+H92+J92</f>
        <v>0</v>
      </c>
      <c r="M92" s="33" t="s">
        <v>47</v>
      </c>
      <c r="N92" s="52" t="s">
        <v>81</v>
      </c>
      <c r="O92" s="52" t="s">
        <v>81</v>
      </c>
      <c r="P92" s="52" t="s">
        <v>47</v>
      </c>
      <c r="Q92" s="52" t="s">
        <v>47</v>
      </c>
      <c r="R92" s="52" t="s">
        <v>47</v>
      </c>
      <c r="S92" s="74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52" t="s">
        <v>47</v>
      </c>
      <c r="AW92" s="52" t="s">
        <v>47</v>
      </c>
      <c r="AX92" s="52" t="s">
        <v>47</v>
      </c>
      <c r="AY92" s="52" t="s">
        <v>47</v>
      </c>
    </row>
    <row r="93" spans="1:51" ht="30" customHeight="1" x14ac:dyDescent="0.3">
      <c r="A93" s="57"/>
      <c r="B93" s="57"/>
      <c r="C93" s="49"/>
      <c r="D93" s="57"/>
      <c r="E93" s="58"/>
      <c r="F93" s="59"/>
      <c r="G93" s="58"/>
      <c r="H93" s="59"/>
      <c r="I93" s="58"/>
      <c r="J93" s="59"/>
      <c r="K93" s="58"/>
      <c r="L93" s="59"/>
      <c r="M93" s="57"/>
    </row>
    <row r="94" spans="1:51" ht="30" customHeight="1" x14ac:dyDescent="0.3">
      <c r="A94" s="104" t="e">
        <f>A95&amp;"  "&amp;B95&amp;"  "&amp; C95&amp;"     ( 호표 16 )"</f>
        <v>#REF!</v>
      </c>
      <c r="B94" s="104"/>
      <c r="C94" s="104"/>
      <c r="D94" s="104"/>
      <c r="E94" s="105"/>
      <c r="F94" s="106"/>
      <c r="G94" s="105"/>
      <c r="H94" s="106"/>
      <c r="I94" s="105"/>
      <c r="J94" s="106"/>
      <c r="K94" s="105"/>
      <c r="L94" s="106"/>
      <c r="M94" s="104"/>
      <c r="N94" s="72" t="s">
        <v>57</v>
      </c>
    </row>
    <row r="95" spans="1:51" ht="30" customHeight="1" x14ac:dyDescent="0.3">
      <c r="A95" s="33" t="s">
        <v>262</v>
      </c>
      <c r="B95" s="33" t="s">
        <v>263</v>
      </c>
      <c r="C95" s="48" t="e">
        <f>#REF!</f>
        <v>#REF!</v>
      </c>
      <c r="D95" s="57">
        <v>2</v>
      </c>
      <c r="E95" s="58"/>
      <c r="F95" s="59"/>
      <c r="G95" s="58"/>
      <c r="H95" s="59"/>
      <c r="I95" s="58"/>
      <c r="J95" s="59"/>
      <c r="K95" s="58"/>
      <c r="L95" s="59"/>
      <c r="M95" s="33" t="s">
        <v>47</v>
      </c>
      <c r="N95" s="52" t="s">
        <v>57</v>
      </c>
      <c r="O95" s="52" t="s">
        <v>99</v>
      </c>
      <c r="P95" s="52" t="s">
        <v>50</v>
      </c>
      <c r="Q95" s="52" t="s">
        <v>50</v>
      </c>
      <c r="R95" s="52" t="s">
        <v>51</v>
      </c>
      <c r="S95" s="74"/>
      <c r="T95" s="74"/>
      <c r="U95" s="74"/>
      <c r="V95" s="74">
        <v>1</v>
      </c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74"/>
      <c r="AU95" s="74"/>
      <c r="AV95" s="52" t="s">
        <v>47</v>
      </c>
      <c r="AW95" s="52" t="s">
        <v>100</v>
      </c>
      <c r="AX95" s="52" t="s">
        <v>47</v>
      </c>
      <c r="AY95" s="52" t="s">
        <v>47</v>
      </c>
    </row>
    <row r="96" spans="1:51" ht="30" customHeight="1" x14ac:dyDescent="0.3">
      <c r="A96" s="33" t="s">
        <v>256</v>
      </c>
      <c r="B96" s="33" t="e">
        <f>#REF!</f>
        <v>#REF!</v>
      </c>
      <c r="C96" s="48" t="e">
        <f>#REF!</f>
        <v>#REF!</v>
      </c>
      <c r="D96" s="57">
        <v>2</v>
      </c>
      <c r="E96" s="58"/>
      <c r="F96" s="59"/>
      <c r="G96" s="58"/>
      <c r="H96" s="59"/>
      <c r="I96" s="58"/>
      <c r="J96" s="59"/>
      <c r="K96" s="58"/>
      <c r="L96" s="59"/>
      <c r="M96" s="33" t="s">
        <v>47</v>
      </c>
      <c r="N96" s="52" t="s">
        <v>57</v>
      </c>
      <c r="O96" s="52" t="s">
        <v>99</v>
      </c>
      <c r="P96" s="52" t="s">
        <v>50</v>
      </c>
      <c r="Q96" s="52" t="s">
        <v>50</v>
      </c>
      <c r="R96" s="52" t="s">
        <v>51</v>
      </c>
      <c r="S96" s="74"/>
      <c r="T96" s="74"/>
      <c r="U96" s="74"/>
      <c r="V96" s="74">
        <v>1</v>
      </c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  <c r="AV96" s="52" t="s">
        <v>47</v>
      </c>
      <c r="AW96" s="52" t="s">
        <v>100</v>
      </c>
      <c r="AX96" s="52" t="s">
        <v>47</v>
      </c>
      <c r="AY96" s="52" t="s">
        <v>47</v>
      </c>
    </row>
    <row r="97" spans="1:51" ht="30" customHeight="1" x14ac:dyDescent="0.3">
      <c r="A97" s="33" t="s">
        <v>264</v>
      </c>
      <c r="B97" s="33" t="e">
        <f>#REF!</f>
        <v>#REF!</v>
      </c>
      <c r="C97" s="48" t="e">
        <f>#REF!</f>
        <v>#REF!</v>
      </c>
      <c r="D97" s="57">
        <v>4</v>
      </c>
      <c r="E97" s="58"/>
      <c r="F97" s="59"/>
      <c r="G97" s="58"/>
      <c r="H97" s="59"/>
      <c r="I97" s="58"/>
      <c r="J97" s="59"/>
      <c r="K97" s="58"/>
      <c r="L97" s="59"/>
      <c r="M97" s="33" t="s">
        <v>47</v>
      </c>
      <c r="N97" s="52" t="s">
        <v>57</v>
      </c>
      <c r="O97" s="52" t="s">
        <v>99</v>
      </c>
      <c r="P97" s="52" t="s">
        <v>50</v>
      </c>
      <c r="Q97" s="52" t="s">
        <v>50</v>
      </c>
      <c r="R97" s="52" t="s">
        <v>51</v>
      </c>
      <c r="S97" s="74"/>
      <c r="T97" s="74"/>
      <c r="U97" s="74"/>
      <c r="V97" s="74">
        <v>1</v>
      </c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52" t="s">
        <v>47</v>
      </c>
      <c r="AW97" s="52" t="s">
        <v>100</v>
      </c>
      <c r="AX97" s="52" t="s">
        <v>47</v>
      </c>
      <c r="AY97" s="52" t="s">
        <v>47</v>
      </c>
    </row>
    <row r="98" spans="1:51" ht="30" customHeight="1" x14ac:dyDescent="0.3">
      <c r="A98" s="33" t="s">
        <v>257</v>
      </c>
      <c r="B98" s="33" t="e">
        <f>#REF!</f>
        <v>#REF!</v>
      </c>
      <c r="C98" s="48" t="e">
        <f>#REF!</f>
        <v>#REF!</v>
      </c>
      <c r="D98" s="57">
        <v>2</v>
      </c>
      <c r="E98" s="58"/>
      <c r="F98" s="59"/>
      <c r="G98" s="58"/>
      <c r="H98" s="59"/>
      <c r="I98" s="58"/>
      <c r="J98" s="59"/>
      <c r="K98" s="58"/>
      <c r="L98" s="59"/>
      <c r="M98" s="33" t="s">
        <v>47</v>
      </c>
      <c r="N98" s="52" t="s">
        <v>57</v>
      </c>
      <c r="O98" s="52" t="s">
        <v>99</v>
      </c>
      <c r="P98" s="52" t="s">
        <v>50</v>
      </c>
      <c r="Q98" s="52" t="s">
        <v>50</v>
      </c>
      <c r="R98" s="52" t="s">
        <v>51</v>
      </c>
      <c r="S98" s="74"/>
      <c r="T98" s="74"/>
      <c r="U98" s="74"/>
      <c r="V98" s="74">
        <v>1</v>
      </c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52" t="s">
        <v>47</v>
      </c>
      <c r="AW98" s="52" t="s">
        <v>100</v>
      </c>
      <c r="AX98" s="52" t="s">
        <v>47</v>
      </c>
      <c r="AY98" s="52" t="s">
        <v>47</v>
      </c>
    </row>
    <row r="99" spans="1:51" ht="30" customHeight="1" x14ac:dyDescent="0.3">
      <c r="A99" s="33" t="s">
        <v>258</v>
      </c>
      <c r="B99" s="33" t="e">
        <f>#REF!</f>
        <v>#REF!</v>
      </c>
      <c r="C99" s="48" t="e">
        <f>#REF!</f>
        <v>#REF!</v>
      </c>
      <c r="D99" s="57">
        <v>2</v>
      </c>
      <c r="E99" s="58"/>
      <c r="F99" s="59"/>
      <c r="G99" s="58"/>
      <c r="H99" s="59"/>
      <c r="I99" s="58"/>
      <c r="J99" s="59"/>
      <c r="K99" s="58"/>
      <c r="L99" s="59"/>
      <c r="M99" s="33" t="s">
        <v>47</v>
      </c>
      <c r="N99" s="52" t="s">
        <v>57</v>
      </c>
      <c r="O99" s="52" t="s">
        <v>99</v>
      </c>
      <c r="P99" s="52" t="s">
        <v>50</v>
      </c>
      <c r="Q99" s="52" t="s">
        <v>50</v>
      </c>
      <c r="R99" s="52" t="s">
        <v>51</v>
      </c>
      <c r="S99" s="74"/>
      <c r="T99" s="74"/>
      <c r="U99" s="74"/>
      <c r="V99" s="74">
        <v>1</v>
      </c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  <c r="AV99" s="52" t="s">
        <v>47</v>
      </c>
      <c r="AW99" s="52" t="s">
        <v>100</v>
      </c>
      <c r="AX99" s="52" t="s">
        <v>47</v>
      </c>
      <c r="AY99" s="52" t="s">
        <v>47</v>
      </c>
    </row>
    <row r="100" spans="1:51" ht="30" customHeight="1" x14ac:dyDescent="0.3">
      <c r="A100" s="33" t="s">
        <v>259</v>
      </c>
      <c r="B100" s="33" t="e">
        <f>#REF!</f>
        <v>#REF!</v>
      </c>
      <c r="C100" s="48" t="e">
        <f>#REF!</f>
        <v>#REF!</v>
      </c>
      <c r="D100" s="57">
        <v>2</v>
      </c>
      <c r="E100" s="58"/>
      <c r="F100" s="59"/>
      <c r="G100" s="58"/>
      <c r="H100" s="59"/>
      <c r="I100" s="58"/>
      <c r="J100" s="59"/>
      <c r="K100" s="58"/>
      <c r="L100" s="59"/>
      <c r="M100" s="33" t="s">
        <v>47</v>
      </c>
      <c r="N100" s="52" t="s">
        <v>57</v>
      </c>
      <c r="O100" s="52" t="s">
        <v>99</v>
      </c>
      <c r="P100" s="52" t="s">
        <v>50</v>
      </c>
      <c r="Q100" s="52" t="s">
        <v>50</v>
      </c>
      <c r="R100" s="52" t="s">
        <v>51</v>
      </c>
      <c r="S100" s="74"/>
      <c r="T100" s="74"/>
      <c r="U100" s="74"/>
      <c r="V100" s="74">
        <v>1</v>
      </c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52" t="s">
        <v>47</v>
      </c>
      <c r="AW100" s="52" t="s">
        <v>100</v>
      </c>
      <c r="AX100" s="52" t="s">
        <v>47</v>
      </c>
      <c r="AY100" s="52" t="s">
        <v>47</v>
      </c>
    </row>
    <row r="101" spans="1:51" ht="30" customHeight="1" x14ac:dyDescent="0.3">
      <c r="A101" s="33" t="s">
        <v>260</v>
      </c>
      <c r="B101" s="33" t="e">
        <f>#REF!</f>
        <v>#REF!</v>
      </c>
      <c r="C101" s="48" t="e">
        <f>#REF!</f>
        <v>#REF!</v>
      </c>
      <c r="D101" s="57">
        <v>0.4</v>
      </c>
      <c r="E101" s="58"/>
      <c r="F101" s="59"/>
      <c r="G101" s="58"/>
      <c r="H101" s="59"/>
      <c r="I101" s="58"/>
      <c r="J101" s="59"/>
      <c r="K101" s="58"/>
      <c r="L101" s="59"/>
      <c r="M101" s="33" t="s">
        <v>47</v>
      </c>
      <c r="N101" s="52" t="s">
        <v>57</v>
      </c>
      <c r="O101" s="52" t="s">
        <v>99</v>
      </c>
      <c r="P101" s="52" t="s">
        <v>50</v>
      </c>
      <c r="Q101" s="52" t="s">
        <v>50</v>
      </c>
      <c r="R101" s="52" t="s">
        <v>51</v>
      </c>
      <c r="S101" s="74"/>
      <c r="T101" s="74"/>
      <c r="U101" s="74"/>
      <c r="V101" s="74">
        <v>1</v>
      </c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  <c r="AV101" s="52" t="s">
        <v>47</v>
      </c>
      <c r="AW101" s="52" t="s">
        <v>100</v>
      </c>
      <c r="AX101" s="52" t="s">
        <v>47</v>
      </c>
      <c r="AY101" s="52" t="s">
        <v>47</v>
      </c>
    </row>
    <row r="102" spans="1:51" ht="30" customHeight="1" x14ac:dyDescent="0.3">
      <c r="A102" s="33" t="s">
        <v>261</v>
      </c>
      <c r="B102" s="33" t="e">
        <f>#REF!</f>
        <v>#REF!</v>
      </c>
      <c r="C102" s="48" t="e">
        <f>#REF!</f>
        <v>#REF!</v>
      </c>
      <c r="D102" s="57">
        <v>2</v>
      </c>
      <c r="E102" s="58"/>
      <c r="F102" s="59"/>
      <c r="G102" s="58"/>
      <c r="H102" s="59"/>
      <c r="I102" s="58"/>
      <c r="J102" s="59"/>
      <c r="K102" s="58"/>
      <c r="L102" s="59"/>
      <c r="M102" s="33" t="s">
        <v>47</v>
      </c>
      <c r="N102" s="52" t="s">
        <v>57</v>
      </c>
      <c r="O102" s="52" t="s">
        <v>99</v>
      </c>
      <c r="P102" s="52" t="s">
        <v>50</v>
      </c>
      <c r="Q102" s="52" t="s">
        <v>50</v>
      </c>
      <c r="R102" s="52" t="s">
        <v>51</v>
      </c>
      <c r="S102" s="74"/>
      <c r="T102" s="74"/>
      <c r="U102" s="74"/>
      <c r="V102" s="74">
        <v>1</v>
      </c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52" t="s">
        <v>47</v>
      </c>
      <c r="AW102" s="52" t="s">
        <v>100</v>
      </c>
      <c r="AX102" s="52" t="s">
        <v>47</v>
      </c>
      <c r="AY102" s="52" t="s">
        <v>47</v>
      </c>
    </row>
    <row r="103" spans="1:51" ht="30" customHeight="1" x14ac:dyDescent="0.3">
      <c r="A103" s="33" t="s">
        <v>215</v>
      </c>
      <c r="B103" s="33" t="s">
        <v>103</v>
      </c>
      <c r="C103" s="48" t="s">
        <v>104</v>
      </c>
      <c r="D103" s="76">
        <f>0.036*1.5*2</f>
        <v>0.10799999999999998</v>
      </c>
      <c r="E103" s="58"/>
      <c r="F103" s="59"/>
      <c r="G103" s="58"/>
      <c r="H103" s="59"/>
      <c r="I103" s="58"/>
      <c r="J103" s="59"/>
      <c r="K103" s="58"/>
      <c r="L103" s="59"/>
      <c r="M103" s="33"/>
      <c r="N103" s="52" t="s">
        <v>57</v>
      </c>
      <c r="O103" s="52" t="s">
        <v>105</v>
      </c>
      <c r="P103" s="52" t="s">
        <v>50</v>
      </c>
      <c r="Q103" s="52" t="s">
        <v>50</v>
      </c>
      <c r="R103" s="52" t="s">
        <v>51</v>
      </c>
      <c r="S103" s="74"/>
      <c r="T103" s="74"/>
      <c r="U103" s="74"/>
      <c r="V103" s="74"/>
      <c r="W103" s="74">
        <v>2</v>
      </c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74"/>
      <c r="AU103" s="74"/>
      <c r="AV103" s="52" t="s">
        <v>47</v>
      </c>
      <c r="AW103" s="52" t="s">
        <v>106</v>
      </c>
      <c r="AX103" s="52" t="s">
        <v>47</v>
      </c>
      <c r="AY103" s="52" t="s">
        <v>47</v>
      </c>
    </row>
    <row r="104" spans="1:51" ht="30" customHeight="1" x14ac:dyDescent="0.3">
      <c r="A104" s="33" t="s">
        <v>107</v>
      </c>
      <c r="B104" s="33" t="s">
        <v>108</v>
      </c>
      <c r="C104" s="48" t="s">
        <v>101</v>
      </c>
      <c r="D104" s="57">
        <v>1</v>
      </c>
      <c r="E104" s="58"/>
      <c r="F104" s="59"/>
      <c r="G104" s="58"/>
      <c r="H104" s="59"/>
      <c r="I104" s="58"/>
      <c r="J104" s="59"/>
      <c r="K104" s="58"/>
      <c r="L104" s="59"/>
      <c r="M104" s="33" t="s">
        <v>47</v>
      </c>
      <c r="N104" s="52" t="s">
        <v>57</v>
      </c>
      <c r="O104" s="52" t="s">
        <v>109</v>
      </c>
      <c r="P104" s="52" t="s">
        <v>50</v>
      </c>
      <c r="Q104" s="52" t="s">
        <v>50</v>
      </c>
      <c r="R104" s="52" t="s">
        <v>50</v>
      </c>
      <c r="S104" s="74">
        <v>1</v>
      </c>
      <c r="T104" s="74">
        <v>0</v>
      </c>
      <c r="U104" s="74">
        <v>0.03</v>
      </c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52" t="s">
        <v>47</v>
      </c>
      <c r="AW104" s="52" t="s">
        <v>110</v>
      </c>
      <c r="AX104" s="52" t="s">
        <v>47</v>
      </c>
      <c r="AY104" s="52" t="s">
        <v>47</v>
      </c>
    </row>
    <row r="105" spans="1:51" ht="30" customHeight="1" x14ac:dyDescent="0.3">
      <c r="A105" s="33" t="s">
        <v>111</v>
      </c>
      <c r="B105" s="33" t="s">
        <v>47</v>
      </c>
      <c r="C105" s="48" t="s">
        <v>47</v>
      </c>
      <c r="D105" s="57"/>
      <c r="E105" s="58"/>
      <c r="F105" s="59">
        <f>TRUNC(SUMIF(N95:N104, N94, F95:F104),0)</f>
        <v>0</v>
      </c>
      <c r="G105" s="58"/>
      <c r="H105" s="59">
        <f>TRUNC(SUMIF(N95:N104, N94, H95:H104),0)</f>
        <v>0</v>
      </c>
      <c r="I105" s="58"/>
      <c r="J105" s="59">
        <f>TRUNC(SUMIF(N95:N104, N94, J95:J104),0)</f>
        <v>0</v>
      </c>
      <c r="K105" s="58"/>
      <c r="L105" s="59">
        <f>F105+H105+J105</f>
        <v>0</v>
      </c>
      <c r="M105" s="33" t="s">
        <v>47</v>
      </c>
      <c r="N105" s="52" t="s">
        <v>81</v>
      </c>
      <c r="O105" s="52" t="s">
        <v>81</v>
      </c>
      <c r="P105" s="52" t="s">
        <v>47</v>
      </c>
      <c r="Q105" s="52" t="s">
        <v>47</v>
      </c>
      <c r="R105" s="52" t="s">
        <v>47</v>
      </c>
      <c r="S105" s="74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52" t="s">
        <v>47</v>
      </c>
      <c r="AW105" s="52" t="s">
        <v>47</v>
      </c>
      <c r="AX105" s="52" t="s">
        <v>47</v>
      </c>
      <c r="AY105" s="52" t="s">
        <v>47</v>
      </c>
    </row>
    <row r="106" spans="1:51" ht="30" customHeight="1" x14ac:dyDescent="0.3">
      <c r="A106" s="57"/>
      <c r="B106" s="57"/>
      <c r="C106" s="49"/>
      <c r="D106" s="57"/>
      <c r="E106" s="58"/>
      <c r="F106" s="59"/>
      <c r="G106" s="58"/>
      <c r="H106" s="59"/>
      <c r="I106" s="58"/>
      <c r="J106" s="59"/>
      <c r="K106" s="58"/>
      <c r="L106" s="59"/>
      <c r="M106" s="57"/>
    </row>
    <row r="107" spans="1:51" ht="30" customHeight="1" x14ac:dyDescent="0.3">
      <c r="A107" s="104" t="e">
        <f>A108&amp;"  "&amp;B108&amp;"  "&amp; C108&amp;"     ( 호표 17 )"</f>
        <v>#REF!</v>
      </c>
      <c r="B107" s="104"/>
      <c r="C107" s="104"/>
      <c r="D107" s="104"/>
      <c r="E107" s="105"/>
      <c r="F107" s="106"/>
      <c r="G107" s="105"/>
      <c r="H107" s="106"/>
      <c r="I107" s="105"/>
      <c r="J107" s="106"/>
      <c r="K107" s="105"/>
      <c r="L107" s="106"/>
      <c r="M107" s="104"/>
      <c r="N107" s="72" t="s">
        <v>57</v>
      </c>
    </row>
    <row r="108" spans="1:51" ht="30" customHeight="1" x14ac:dyDescent="0.3">
      <c r="A108" s="33" t="s">
        <v>208</v>
      </c>
      <c r="B108" s="33" t="e">
        <f>#REF!</f>
        <v>#REF!</v>
      </c>
      <c r="C108" s="48" t="e">
        <f>#REF!</f>
        <v>#REF!</v>
      </c>
      <c r="D108" s="57">
        <v>1.1000000000000001</v>
      </c>
      <c r="E108" s="58"/>
      <c r="F108" s="59"/>
      <c r="G108" s="58"/>
      <c r="H108" s="59"/>
      <c r="I108" s="58"/>
      <c r="J108" s="59"/>
      <c r="K108" s="58"/>
      <c r="L108" s="59"/>
      <c r="M108" s="33" t="s">
        <v>47</v>
      </c>
      <c r="N108" s="52" t="s">
        <v>57</v>
      </c>
      <c r="O108" s="52" t="s">
        <v>99</v>
      </c>
      <c r="P108" s="52" t="s">
        <v>50</v>
      </c>
      <c r="Q108" s="52" t="s">
        <v>50</v>
      </c>
      <c r="R108" s="52" t="s">
        <v>51</v>
      </c>
      <c r="S108" s="74"/>
      <c r="T108" s="74"/>
      <c r="U108" s="74"/>
      <c r="V108" s="74">
        <v>1</v>
      </c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52" t="s">
        <v>47</v>
      </c>
      <c r="AW108" s="52" t="s">
        <v>100</v>
      </c>
      <c r="AX108" s="52" t="s">
        <v>47</v>
      </c>
      <c r="AY108" s="52" t="s">
        <v>47</v>
      </c>
    </row>
    <row r="109" spans="1:51" ht="30" customHeight="1" x14ac:dyDescent="0.3">
      <c r="A109" s="33" t="s">
        <v>210</v>
      </c>
      <c r="B109" s="33" t="s">
        <v>216</v>
      </c>
      <c r="C109" s="48" t="s">
        <v>101</v>
      </c>
      <c r="D109" s="57">
        <v>0.2</v>
      </c>
      <c r="E109" s="58"/>
      <c r="F109" s="59"/>
      <c r="G109" s="58"/>
      <c r="H109" s="59"/>
      <c r="I109" s="58"/>
      <c r="J109" s="59"/>
      <c r="K109" s="58"/>
      <c r="L109" s="59"/>
      <c r="M109" s="33" t="s">
        <v>47</v>
      </c>
      <c r="N109" s="52" t="s">
        <v>57</v>
      </c>
      <c r="O109" s="52" t="s">
        <v>99</v>
      </c>
      <c r="P109" s="52" t="s">
        <v>50</v>
      </c>
      <c r="Q109" s="52" t="s">
        <v>50</v>
      </c>
      <c r="R109" s="52" t="s">
        <v>51</v>
      </c>
      <c r="S109" s="74"/>
      <c r="T109" s="74"/>
      <c r="U109" s="74"/>
      <c r="V109" s="74">
        <v>1</v>
      </c>
      <c r="W109" s="74"/>
      <c r="X109" s="74"/>
      <c r="Y109" s="74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  <c r="AM109" s="74"/>
      <c r="AN109" s="74"/>
      <c r="AO109" s="74"/>
      <c r="AP109" s="74"/>
      <c r="AQ109" s="74"/>
      <c r="AR109" s="74"/>
      <c r="AS109" s="74"/>
      <c r="AT109" s="74"/>
      <c r="AU109" s="74"/>
      <c r="AV109" s="52" t="s">
        <v>47</v>
      </c>
      <c r="AW109" s="52" t="s">
        <v>100</v>
      </c>
      <c r="AX109" s="52" t="s">
        <v>47</v>
      </c>
      <c r="AY109" s="52" t="s">
        <v>47</v>
      </c>
    </row>
    <row r="110" spans="1:51" ht="30" customHeight="1" x14ac:dyDescent="0.3">
      <c r="A110" s="33" t="s">
        <v>211</v>
      </c>
      <c r="B110" s="33" t="s">
        <v>212</v>
      </c>
      <c r="C110" s="48" t="s">
        <v>101</v>
      </c>
      <c r="D110" s="57">
        <v>0.02</v>
      </c>
      <c r="E110" s="58"/>
      <c r="F110" s="59"/>
      <c r="G110" s="58"/>
      <c r="H110" s="59"/>
      <c r="I110" s="58"/>
      <c r="J110" s="59"/>
      <c r="K110" s="58"/>
      <c r="L110" s="59"/>
      <c r="M110" s="33" t="s">
        <v>47</v>
      </c>
      <c r="N110" s="52" t="s">
        <v>57</v>
      </c>
      <c r="O110" s="52" t="s">
        <v>99</v>
      </c>
      <c r="P110" s="52" t="s">
        <v>50</v>
      </c>
      <c r="Q110" s="52" t="s">
        <v>50</v>
      </c>
      <c r="R110" s="52" t="s">
        <v>51</v>
      </c>
      <c r="S110" s="74"/>
      <c r="T110" s="74"/>
      <c r="U110" s="74"/>
      <c r="V110" s="74">
        <v>1</v>
      </c>
      <c r="W110" s="74"/>
      <c r="X110" s="74"/>
      <c r="Y110" s="74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  <c r="AM110" s="74"/>
      <c r="AN110" s="74"/>
      <c r="AO110" s="74"/>
      <c r="AP110" s="74"/>
      <c r="AQ110" s="74"/>
      <c r="AR110" s="74"/>
      <c r="AS110" s="74"/>
      <c r="AT110" s="74"/>
      <c r="AU110" s="74"/>
      <c r="AV110" s="52" t="s">
        <v>47</v>
      </c>
      <c r="AW110" s="52" t="s">
        <v>100</v>
      </c>
      <c r="AX110" s="52" t="s">
        <v>47</v>
      </c>
      <c r="AY110" s="52" t="s">
        <v>47</v>
      </c>
    </row>
    <row r="111" spans="1:51" ht="30" customHeight="1" x14ac:dyDescent="0.3">
      <c r="A111" s="33" t="s">
        <v>102</v>
      </c>
      <c r="B111" s="33" t="s">
        <v>103</v>
      </c>
      <c r="C111" s="48" t="s">
        <v>104</v>
      </c>
      <c r="D111" s="57">
        <f>0.2</f>
        <v>0.2</v>
      </c>
      <c r="E111" s="58"/>
      <c r="F111" s="59"/>
      <c r="G111" s="58"/>
      <c r="H111" s="59"/>
      <c r="I111" s="58"/>
      <c r="J111" s="59"/>
      <c r="K111" s="58"/>
      <c r="L111" s="59"/>
      <c r="M111" s="41"/>
      <c r="N111" s="52" t="s">
        <v>57</v>
      </c>
      <c r="O111" s="52" t="s">
        <v>105</v>
      </c>
      <c r="P111" s="52" t="s">
        <v>50</v>
      </c>
      <c r="Q111" s="52" t="s">
        <v>50</v>
      </c>
      <c r="R111" s="52" t="s">
        <v>51</v>
      </c>
      <c r="S111" s="74"/>
      <c r="T111" s="74"/>
      <c r="U111" s="74"/>
      <c r="V111" s="74"/>
      <c r="W111" s="74">
        <v>2</v>
      </c>
      <c r="X111" s="74"/>
      <c r="Y111" s="74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  <c r="AM111" s="74"/>
      <c r="AN111" s="74"/>
      <c r="AO111" s="74"/>
      <c r="AP111" s="74"/>
      <c r="AQ111" s="74"/>
      <c r="AR111" s="74"/>
      <c r="AS111" s="74"/>
      <c r="AT111" s="74"/>
      <c r="AU111" s="74"/>
      <c r="AV111" s="52" t="s">
        <v>47</v>
      </c>
      <c r="AW111" s="52" t="s">
        <v>106</v>
      </c>
      <c r="AX111" s="52" t="s">
        <v>47</v>
      </c>
      <c r="AY111" s="52" t="s">
        <v>47</v>
      </c>
    </row>
    <row r="112" spans="1:51" ht="30" customHeight="1" x14ac:dyDescent="0.3">
      <c r="A112" s="33" t="s">
        <v>107</v>
      </c>
      <c r="B112" s="33" t="s">
        <v>108</v>
      </c>
      <c r="C112" s="48" t="s">
        <v>101</v>
      </c>
      <c r="D112" s="57">
        <v>1</v>
      </c>
      <c r="E112" s="58"/>
      <c r="F112" s="59"/>
      <c r="G112" s="58"/>
      <c r="H112" s="59"/>
      <c r="I112" s="58"/>
      <c r="J112" s="59"/>
      <c r="K112" s="58"/>
      <c r="L112" s="59"/>
      <c r="M112" s="33" t="s">
        <v>47</v>
      </c>
      <c r="N112" s="52" t="s">
        <v>57</v>
      </c>
      <c r="O112" s="52" t="s">
        <v>109</v>
      </c>
      <c r="P112" s="52" t="s">
        <v>50</v>
      </c>
      <c r="Q112" s="52" t="s">
        <v>50</v>
      </c>
      <c r="R112" s="52" t="s">
        <v>50</v>
      </c>
      <c r="S112" s="74">
        <v>1</v>
      </c>
      <c r="T112" s="74">
        <v>0</v>
      </c>
      <c r="U112" s="74">
        <v>0.03</v>
      </c>
      <c r="V112" s="74"/>
      <c r="W112" s="74"/>
      <c r="X112" s="74"/>
      <c r="Y112" s="74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  <c r="AM112" s="74"/>
      <c r="AN112" s="74"/>
      <c r="AO112" s="74"/>
      <c r="AP112" s="74"/>
      <c r="AQ112" s="74"/>
      <c r="AR112" s="74"/>
      <c r="AS112" s="74"/>
      <c r="AT112" s="74"/>
      <c r="AU112" s="74"/>
      <c r="AV112" s="52" t="s">
        <v>47</v>
      </c>
      <c r="AW112" s="52" t="s">
        <v>110</v>
      </c>
      <c r="AX112" s="52" t="s">
        <v>47</v>
      </c>
      <c r="AY112" s="52" t="s">
        <v>47</v>
      </c>
    </row>
    <row r="113" spans="1:51" ht="30" customHeight="1" x14ac:dyDescent="0.3">
      <c r="A113" s="33" t="s">
        <v>111</v>
      </c>
      <c r="B113" s="33" t="s">
        <v>47</v>
      </c>
      <c r="C113" s="48" t="s">
        <v>47</v>
      </c>
      <c r="D113" s="57"/>
      <c r="E113" s="58"/>
      <c r="F113" s="59">
        <f>TRUNC(SUMIF(N108:N112, N107, F108:F112),0)</f>
        <v>0</v>
      </c>
      <c r="G113" s="58"/>
      <c r="H113" s="59">
        <f>TRUNC(SUMIF(N108:N112, N107, H108:H112),0)</f>
        <v>0</v>
      </c>
      <c r="I113" s="58"/>
      <c r="J113" s="59">
        <f>TRUNC(SUMIF(N108:N112, N107, J108:J112),0)</f>
        <v>0</v>
      </c>
      <c r="K113" s="58"/>
      <c r="L113" s="59">
        <f>F113+H113+J113</f>
        <v>0</v>
      </c>
      <c r="M113" s="33" t="s">
        <v>47</v>
      </c>
      <c r="N113" s="52" t="s">
        <v>81</v>
      </c>
      <c r="O113" s="52" t="s">
        <v>81</v>
      </c>
      <c r="P113" s="52" t="s">
        <v>47</v>
      </c>
      <c r="Q113" s="52" t="s">
        <v>47</v>
      </c>
      <c r="R113" s="52" t="s">
        <v>47</v>
      </c>
      <c r="S113" s="74"/>
      <c r="T113" s="74"/>
      <c r="U113" s="74"/>
      <c r="V113" s="74"/>
      <c r="W113" s="74"/>
      <c r="X113" s="74"/>
      <c r="Y113" s="74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  <c r="AM113" s="74"/>
      <c r="AN113" s="74"/>
      <c r="AO113" s="74"/>
      <c r="AP113" s="74"/>
      <c r="AQ113" s="74"/>
      <c r="AR113" s="74"/>
      <c r="AS113" s="74"/>
      <c r="AT113" s="74"/>
      <c r="AU113" s="74"/>
      <c r="AV113" s="52" t="s">
        <v>47</v>
      </c>
      <c r="AW113" s="52" t="s">
        <v>47</v>
      </c>
      <c r="AX113" s="52" t="s">
        <v>47</v>
      </c>
      <c r="AY113" s="52" t="s">
        <v>47</v>
      </c>
    </row>
    <row r="114" spans="1:51" ht="30" customHeight="1" x14ac:dyDescent="0.3">
      <c r="A114" s="57"/>
      <c r="B114" s="57"/>
      <c r="C114" s="49"/>
      <c r="D114" s="57"/>
      <c r="E114" s="58"/>
      <c r="F114" s="59"/>
      <c r="G114" s="58"/>
      <c r="H114" s="59"/>
      <c r="I114" s="58"/>
      <c r="J114" s="59"/>
      <c r="K114" s="58"/>
      <c r="L114" s="59"/>
      <c r="M114" s="57"/>
    </row>
    <row r="115" spans="1:51" ht="30" customHeight="1" x14ac:dyDescent="0.3">
      <c r="A115" s="104" t="e">
        <f>A116&amp;"  "&amp;B116&amp;"  "&amp; C116&amp;"     ( 호표 18 )"</f>
        <v>#REF!</v>
      </c>
      <c r="B115" s="104"/>
      <c r="C115" s="104"/>
      <c r="D115" s="104"/>
      <c r="E115" s="105"/>
      <c r="F115" s="106"/>
      <c r="G115" s="105"/>
      <c r="H115" s="106"/>
      <c r="I115" s="105"/>
      <c r="J115" s="106"/>
      <c r="K115" s="105"/>
      <c r="L115" s="106"/>
      <c r="M115" s="104"/>
      <c r="N115" s="72" t="s">
        <v>57</v>
      </c>
    </row>
    <row r="116" spans="1:51" ht="30" customHeight="1" x14ac:dyDescent="0.3">
      <c r="A116" s="33" t="s">
        <v>208</v>
      </c>
      <c r="B116" s="33" t="e">
        <f>#REF!</f>
        <v>#REF!</v>
      </c>
      <c r="C116" s="48" t="e">
        <f>#REF!</f>
        <v>#REF!</v>
      </c>
      <c r="D116" s="57">
        <v>1.1000000000000001</v>
      </c>
      <c r="E116" s="58"/>
      <c r="F116" s="59"/>
      <c r="G116" s="58"/>
      <c r="H116" s="59"/>
      <c r="I116" s="58"/>
      <c r="J116" s="59"/>
      <c r="K116" s="58"/>
      <c r="L116" s="59"/>
      <c r="M116" s="33" t="s">
        <v>47</v>
      </c>
      <c r="N116" s="52" t="s">
        <v>57</v>
      </c>
      <c r="O116" s="52" t="s">
        <v>99</v>
      </c>
      <c r="P116" s="52" t="s">
        <v>50</v>
      </c>
      <c r="Q116" s="52" t="s">
        <v>50</v>
      </c>
      <c r="R116" s="52" t="s">
        <v>51</v>
      </c>
      <c r="S116" s="74"/>
      <c r="T116" s="74"/>
      <c r="U116" s="74"/>
      <c r="V116" s="74">
        <v>1</v>
      </c>
      <c r="W116" s="74"/>
      <c r="X116" s="74"/>
      <c r="Y116" s="74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  <c r="AM116" s="74"/>
      <c r="AN116" s="74"/>
      <c r="AO116" s="74"/>
      <c r="AP116" s="74"/>
      <c r="AQ116" s="74"/>
      <c r="AR116" s="74"/>
      <c r="AS116" s="74"/>
      <c r="AT116" s="74"/>
      <c r="AU116" s="74"/>
      <c r="AV116" s="52" t="s">
        <v>47</v>
      </c>
      <c r="AW116" s="52" t="s">
        <v>100</v>
      </c>
      <c r="AX116" s="52" t="s">
        <v>47</v>
      </c>
      <c r="AY116" s="52" t="s">
        <v>47</v>
      </c>
    </row>
    <row r="117" spans="1:51" ht="30" customHeight="1" x14ac:dyDescent="0.3">
      <c r="A117" s="33" t="s">
        <v>210</v>
      </c>
      <c r="B117" s="33" t="s">
        <v>216</v>
      </c>
      <c r="C117" s="48" t="s">
        <v>101</v>
      </c>
      <c r="D117" s="57">
        <v>0.2</v>
      </c>
      <c r="E117" s="58"/>
      <c r="F117" s="59"/>
      <c r="G117" s="58"/>
      <c r="H117" s="59"/>
      <c r="I117" s="58"/>
      <c r="J117" s="59"/>
      <c r="K117" s="58"/>
      <c r="L117" s="59"/>
      <c r="M117" s="33" t="s">
        <v>47</v>
      </c>
      <c r="N117" s="52" t="s">
        <v>57</v>
      </c>
      <c r="O117" s="52" t="s">
        <v>99</v>
      </c>
      <c r="P117" s="52" t="s">
        <v>50</v>
      </c>
      <c r="Q117" s="52" t="s">
        <v>50</v>
      </c>
      <c r="R117" s="52" t="s">
        <v>51</v>
      </c>
      <c r="S117" s="74"/>
      <c r="T117" s="74"/>
      <c r="U117" s="74"/>
      <c r="V117" s="74">
        <v>1</v>
      </c>
      <c r="W117" s="74"/>
      <c r="X117" s="74"/>
      <c r="Y117" s="74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  <c r="AM117" s="74"/>
      <c r="AN117" s="74"/>
      <c r="AO117" s="74"/>
      <c r="AP117" s="74"/>
      <c r="AQ117" s="74"/>
      <c r="AR117" s="74"/>
      <c r="AS117" s="74"/>
      <c r="AT117" s="74"/>
      <c r="AU117" s="74"/>
      <c r="AV117" s="52" t="s">
        <v>47</v>
      </c>
      <c r="AW117" s="52" t="s">
        <v>100</v>
      </c>
      <c r="AX117" s="52" t="s">
        <v>47</v>
      </c>
      <c r="AY117" s="52" t="s">
        <v>47</v>
      </c>
    </row>
    <row r="118" spans="1:51" ht="30" customHeight="1" x14ac:dyDescent="0.3">
      <c r="A118" s="33" t="s">
        <v>211</v>
      </c>
      <c r="B118" s="33" t="s">
        <v>212</v>
      </c>
      <c r="C118" s="48" t="s">
        <v>101</v>
      </c>
      <c r="D118" s="57">
        <v>0.02</v>
      </c>
      <c r="E118" s="58"/>
      <c r="F118" s="59"/>
      <c r="G118" s="58"/>
      <c r="H118" s="59"/>
      <c r="I118" s="58"/>
      <c r="J118" s="59"/>
      <c r="K118" s="58"/>
      <c r="L118" s="59"/>
      <c r="M118" s="33" t="s">
        <v>47</v>
      </c>
      <c r="N118" s="52" t="s">
        <v>57</v>
      </c>
      <c r="O118" s="52" t="s">
        <v>99</v>
      </c>
      <c r="P118" s="52" t="s">
        <v>50</v>
      </c>
      <c r="Q118" s="52" t="s">
        <v>50</v>
      </c>
      <c r="R118" s="52" t="s">
        <v>51</v>
      </c>
      <c r="S118" s="74"/>
      <c r="T118" s="74"/>
      <c r="U118" s="74"/>
      <c r="V118" s="74">
        <v>1</v>
      </c>
      <c r="W118" s="74"/>
      <c r="X118" s="74"/>
      <c r="Y118" s="74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  <c r="AM118" s="74"/>
      <c r="AN118" s="74"/>
      <c r="AO118" s="74"/>
      <c r="AP118" s="74"/>
      <c r="AQ118" s="74"/>
      <c r="AR118" s="74"/>
      <c r="AS118" s="74"/>
      <c r="AT118" s="74"/>
      <c r="AU118" s="74"/>
      <c r="AV118" s="52" t="s">
        <v>47</v>
      </c>
      <c r="AW118" s="52" t="s">
        <v>100</v>
      </c>
      <c r="AX118" s="52" t="s">
        <v>47</v>
      </c>
      <c r="AY118" s="52" t="s">
        <v>47</v>
      </c>
    </row>
    <row r="119" spans="1:51" ht="30" customHeight="1" x14ac:dyDescent="0.3">
      <c r="A119" s="33" t="s">
        <v>102</v>
      </c>
      <c r="B119" s="33" t="s">
        <v>103</v>
      </c>
      <c r="C119" s="48" t="s">
        <v>104</v>
      </c>
      <c r="D119" s="57">
        <f>0.14</f>
        <v>0.14000000000000001</v>
      </c>
      <c r="E119" s="58"/>
      <c r="F119" s="59"/>
      <c r="G119" s="58"/>
      <c r="H119" s="59"/>
      <c r="I119" s="58"/>
      <c r="J119" s="59"/>
      <c r="K119" s="58"/>
      <c r="L119" s="59"/>
      <c r="M119" s="41"/>
      <c r="N119" s="52" t="s">
        <v>57</v>
      </c>
      <c r="O119" s="52" t="s">
        <v>105</v>
      </c>
      <c r="P119" s="52" t="s">
        <v>50</v>
      </c>
      <c r="Q119" s="52" t="s">
        <v>50</v>
      </c>
      <c r="R119" s="52" t="s">
        <v>51</v>
      </c>
      <c r="S119" s="74"/>
      <c r="T119" s="74"/>
      <c r="U119" s="74"/>
      <c r="V119" s="74"/>
      <c r="W119" s="74">
        <v>2</v>
      </c>
      <c r="X119" s="74"/>
      <c r="Y119" s="74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  <c r="AM119" s="74"/>
      <c r="AN119" s="74"/>
      <c r="AO119" s="74"/>
      <c r="AP119" s="74"/>
      <c r="AQ119" s="74"/>
      <c r="AR119" s="74"/>
      <c r="AS119" s="74"/>
      <c r="AT119" s="74"/>
      <c r="AU119" s="74"/>
      <c r="AV119" s="52" t="s">
        <v>47</v>
      </c>
      <c r="AW119" s="52" t="s">
        <v>106</v>
      </c>
      <c r="AX119" s="52" t="s">
        <v>47</v>
      </c>
      <c r="AY119" s="52" t="s">
        <v>47</v>
      </c>
    </row>
    <row r="120" spans="1:51" ht="30" customHeight="1" x14ac:dyDescent="0.3">
      <c r="A120" s="33" t="s">
        <v>107</v>
      </c>
      <c r="B120" s="33" t="s">
        <v>108</v>
      </c>
      <c r="C120" s="48" t="s">
        <v>101</v>
      </c>
      <c r="D120" s="57">
        <v>1</v>
      </c>
      <c r="E120" s="58"/>
      <c r="F120" s="59"/>
      <c r="G120" s="58"/>
      <c r="H120" s="59"/>
      <c r="I120" s="58"/>
      <c r="J120" s="59"/>
      <c r="K120" s="58"/>
      <c r="L120" s="59"/>
      <c r="M120" s="33" t="s">
        <v>47</v>
      </c>
      <c r="N120" s="52" t="s">
        <v>57</v>
      </c>
      <c r="O120" s="52" t="s">
        <v>109</v>
      </c>
      <c r="P120" s="52" t="s">
        <v>50</v>
      </c>
      <c r="Q120" s="52" t="s">
        <v>50</v>
      </c>
      <c r="R120" s="52" t="s">
        <v>50</v>
      </c>
      <c r="S120" s="74">
        <v>1</v>
      </c>
      <c r="T120" s="74">
        <v>0</v>
      </c>
      <c r="U120" s="74">
        <v>0.03</v>
      </c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  <c r="AL120" s="74"/>
      <c r="AM120" s="74"/>
      <c r="AN120" s="74"/>
      <c r="AO120" s="74"/>
      <c r="AP120" s="74"/>
      <c r="AQ120" s="74"/>
      <c r="AR120" s="74"/>
      <c r="AS120" s="74"/>
      <c r="AT120" s="74"/>
      <c r="AU120" s="74"/>
      <c r="AV120" s="52" t="s">
        <v>47</v>
      </c>
      <c r="AW120" s="52" t="s">
        <v>110</v>
      </c>
      <c r="AX120" s="52" t="s">
        <v>47</v>
      </c>
      <c r="AY120" s="52" t="s">
        <v>47</v>
      </c>
    </row>
    <row r="121" spans="1:51" ht="30" customHeight="1" x14ac:dyDescent="0.3">
      <c r="A121" s="33" t="s">
        <v>111</v>
      </c>
      <c r="B121" s="33" t="s">
        <v>47</v>
      </c>
      <c r="C121" s="48" t="s">
        <v>47</v>
      </c>
      <c r="D121" s="57"/>
      <c r="E121" s="58"/>
      <c r="F121" s="59">
        <f>TRUNC(SUMIF(N116:N120, N115, F116:F120),0)</f>
        <v>0</v>
      </c>
      <c r="G121" s="58"/>
      <c r="H121" s="59">
        <f>TRUNC(SUMIF(N116:N120, N115, H116:H120),0)</f>
        <v>0</v>
      </c>
      <c r="I121" s="58"/>
      <c r="J121" s="59">
        <f>TRUNC(SUMIF(N116:N120, N115, J116:J120),0)</f>
        <v>0</v>
      </c>
      <c r="K121" s="58"/>
      <c r="L121" s="59">
        <f>F121+H121+J121</f>
        <v>0</v>
      </c>
      <c r="M121" s="33" t="s">
        <v>47</v>
      </c>
      <c r="N121" s="52" t="s">
        <v>81</v>
      </c>
      <c r="O121" s="52" t="s">
        <v>81</v>
      </c>
      <c r="P121" s="52" t="s">
        <v>47</v>
      </c>
      <c r="Q121" s="52" t="s">
        <v>47</v>
      </c>
      <c r="R121" s="52" t="s">
        <v>47</v>
      </c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  <c r="AL121" s="74"/>
      <c r="AM121" s="74"/>
      <c r="AN121" s="74"/>
      <c r="AO121" s="74"/>
      <c r="AP121" s="74"/>
      <c r="AQ121" s="74"/>
      <c r="AR121" s="74"/>
      <c r="AS121" s="74"/>
      <c r="AT121" s="74"/>
      <c r="AU121" s="74"/>
      <c r="AV121" s="52" t="s">
        <v>47</v>
      </c>
      <c r="AW121" s="52" t="s">
        <v>47</v>
      </c>
      <c r="AX121" s="52" t="s">
        <v>47</v>
      </c>
      <c r="AY121" s="52" t="s">
        <v>47</v>
      </c>
    </row>
    <row r="122" spans="1:51" ht="30" customHeight="1" x14ac:dyDescent="0.3">
      <c r="A122" s="57"/>
      <c r="B122" s="57"/>
      <c r="C122" s="49"/>
      <c r="D122" s="57"/>
      <c r="E122" s="58"/>
      <c r="F122" s="59"/>
      <c r="G122" s="58"/>
      <c r="H122" s="59"/>
      <c r="I122" s="58"/>
      <c r="J122" s="59"/>
      <c r="K122" s="58"/>
      <c r="L122" s="59"/>
      <c r="M122" s="57"/>
    </row>
    <row r="123" spans="1:51" ht="30" customHeight="1" x14ac:dyDescent="0.3">
      <c r="A123" s="104" t="e">
        <f>A124&amp;"  "&amp;B124&amp;"  "&amp; C124&amp;"     ( 호표 19 )"</f>
        <v>#REF!</v>
      </c>
      <c r="B123" s="104"/>
      <c r="C123" s="104"/>
      <c r="D123" s="104"/>
      <c r="E123" s="105"/>
      <c r="F123" s="106"/>
      <c r="G123" s="105"/>
      <c r="H123" s="106"/>
      <c r="I123" s="105"/>
      <c r="J123" s="106"/>
      <c r="K123" s="105"/>
      <c r="L123" s="106"/>
      <c r="M123" s="104"/>
      <c r="N123" s="72" t="s">
        <v>57</v>
      </c>
    </row>
    <row r="124" spans="1:51" ht="30" customHeight="1" x14ac:dyDescent="0.3">
      <c r="A124" s="33" t="s">
        <v>208</v>
      </c>
      <c r="B124" s="33" t="e">
        <f>#REF!</f>
        <v>#REF!</v>
      </c>
      <c r="C124" s="48" t="e">
        <f>#REF!</f>
        <v>#REF!</v>
      </c>
      <c r="D124" s="57">
        <v>1.1000000000000001</v>
      </c>
      <c r="E124" s="58"/>
      <c r="F124" s="59"/>
      <c r="G124" s="58"/>
      <c r="H124" s="59"/>
      <c r="I124" s="58"/>
      <c r="J124" s="59"/>
      <c r="K124" s="58"/>
      <c r="L124" s="59"/>
      <c r="M124" s="33" t="s">
        <v>47</v>
      </c>
      <c r="N124" s="52" t="s">
        <v>57</v>
      </c>
      <c r="O124" s="52" t="s">
        <v>99</v>
      </c>
      <c r="P124" s="52" t="s">
        <v>50</v>
      </c>
      <c r="Q124" s="52" t="s">
        <v>50</v>
      </c>
      <c r="R124" s="52" t="s">
        <v>51</v>
      </c>
      <c r="S124" s="74"/>
      <c r="T124" s="74"/>
      <c r="U124" s="74"/>
      <c r="V124" s="74">
        <v>1</v>
      </c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4"/>
      <c r="AJ124" s="74"/>
      <c r="AK124" s="74"/>
      <c r="AL124" s="74"/>
      <c r="AM124" s="74"/>
      <c r="AN124" s="74"/>
      <c r="AO124" s="74"/>
      <c r="AP124" s="74"/>
      <c r="AQ124" s="74"/>
      <c r="AR124" s="74"/>
      <c r="AS124" s="74"/>
      <c r="AT124" s="74"/>
      <c r="AU124" s="74"/>
      <c r="AV124" s="52" t="s">
        <v>47</v>
      </c>
      <c r="AW124" s="52" t="s">
        <v>100</v>
      </c>
      <c r="AX124" s="52" t="s">
        <v>47</v>
      </c>
      <c r="AY124" s="52" t="s">
        <v>47</v>
      </c>
    </row>
    <row r="125" spans="1:51" ht="30" customHeight="1" x14ac:dyDescent="0.3">
      <c r="A125" s="33" t="s">
        <v>210</v>
      </c>
      <c r="B125" s="33" t="s">
        <v>216</v>
      </c>
      <c r="C125" s="48" t="s">
        <v>101</v>
      </c>
      <c r="D125" s="57">
        <v>0.2</v>
      </c>
      <c r="E125" s="58"/>
      <c r="F125" s="59"/>
      <c r="G125" s="58"/>
      <c r="H125" s="59"/>
      <c r="I125" s="58"/>
      <c r="J125" s="59"/>
      <c r="K125" s="58"/>
      <c r="L125" s="59"/>
      <c r="M125" s="33" t="s">
        <v>47</v>
      </c>
      <c r="N125" s="52" t="s">
        <v>57</v>
      </c>
      <c r="O125" s="52" t="s">
        <v>99</v>
      </c>
      <c r="P125" s="52" t="s">
        <v>50</v>
      </c>
      <c r="Q125" s="52" t="s">
        <v>50</v>
      </c>
      <c r="R125" s="52" t="s">
        <v>51</v>
      </c>
      <c r="S125" s="74"/>
      <c r="T125" s="74"/>
      <c r="U125" s="74"/>
      <c r="V125" s="74">
        <v>1</v>
      </c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  <c r="AL125" s="74"/>
      <c r="AM125" s="74"/>
      <c r="AN125" s="74"/>
      <c r="AO125" s="74"/>
      <c r="AP125" s="74"/>
      <c r="AQ125" s="74"/>
      <c r="AR125" s="74"/>
      <c r="AS125" s="74"/>
      <c r="AT125" s="74"/>
      <c r="AU125" s="74"/>
      <c r="AV125" s="52" t="s">
        <v>47</v>
      </c>
      <c r="AW125" s="52" t="s">
        <v>100</v>
      </c>
      <c r="AX125" s="52" t="s">
        <v>47</v>
      </c>
      <c r="AY125" s="52" t="s">
        <v>47</v>
      </c>
    </row>
    <row r="126" spans="1:51" ht="30" customHeight="1" x14ac:dyDescent="0.3">
      <c r="A126" s="33" t="s">
        <v>211</v>
      </c>
      <c r="B126" s="33" t="s">
        <v>212</v>
      </c>
      <c r="C126" s="48" t="s">
        <v>101</v>
      </c>
      <c r="D126" s="57">
        <v>0.02</v>
      </c>
      <c r="E126" s="58"/>
      <c r="F126" s="59"/>
      <c r="G126" s="58"/>
      <c r="H126" s="59"/>
      <c r="I126" s="58"/>
      <c r="J126" s="59"/>
      <c r="K126" s="58"/>
      <c r="L126" s="59"/>
      <c r="M126" s="33" t="s">
        <v>47</v>
      </c>
      <c r="N126" s="52" t="s">
        <v>57</v>
      </c>
      <c r="O126" s="52" t="s">
        <v>99</v>
      </c>
      <c r="P126" s="52" t="s">
        <v>50</v>
      </c>
      <c r="Q126" s="52" t="s">
        <v>50</v>
      </c>
      <c r="R126" s="52" t="s">
        <v>51</v>
      </c>
      <c r="S126" s="74"/>
      <c r="T126" s="74"/>
      <c r="U126" s="74"/>
      <c r="V126" s="74">
        <v>1</v>
      </c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  <c r="AL126" s="74"/>
      <c r="AM126" s="74"/>
      <c r="AN126" s="74"/>
      <c r="AO126" s="74"/>
      <c r="AP126" s="74"/>
      <c r="AQ126" s="74"/>
      <c r="AR126" s="74"/>
      <c r="AS126" s="74"/>
      <c r="AT126" s="74"/>
      <c r="AU126" s="74"/>
      <c r="AV126" s="52" t="s">
        <v>47</v>
      </c>
      <c r="AW126" s="52" t="s">
        <v>100</v>
      </c>
      <c r="AX126" s="52" t="s">
        <v>47</v>
      </c>
      <c r="AY126" s="52" t="s">
        <v>47</v>
      </c>
    </row>
    <row r="127" spans="1:51" ht="30" customHeight="1" x14ac:dyDescent="0.3">
      <c r="A127" s="33" t="s">
        <v>102</v>
      </c>
      <c r="B127" s="33" t="s">
        <v>103</v>
      </c>
      <c r="C127" s="48" t="s">
        <v>104</v>
      </c>
      <c r="D127" s="57">
        <f>0.11</f>
        <v>0.11</v>
      </c>
      <c r="E127" s="58"/>
      <c r="F127" s="59"/>
      <c r="G127" s="58"/>
      <c r="H127" s="59"/>
      <c r="I127" s="58"/>
      <c r="J127" s="59"/>
      <c r="K127" s="58"/>
      <c r="L127" s="59"/>
      <c r="M127" s="41"/>
      <c r="N127" s="52" t="s">
        <v>57</v>
      </c>
      <c r="O127" s="52" t="s">
        <v>105</v>
      </c>
      <c r="P127" s="52" t="s">
        <v>50</v>
      </c>
      <c r="Q127" s="52" t="s">
        <v>50</v>
      </c>
      <c r="R127" s="52" t="s">
        <v>51</v>
      </c>
      <c r="S127" s="74"/>
      <c r="T127" s="74"/>
      <c r="U127" s="74"/>
      <c r="V127" s="74"/>
      <c r="W127" s="74">
        <v>2</v>
      </c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  <c r="AL127" s="74"/>
      <c r="AM127" s="74"/>
      <c r="AN127" s="74"/>
      <c r="AO127" s="74"/>
      <c r="AP127" s="74"/>
      <c r="AQ127" s="74"/>
      <c r="AR127" s="74"/>
      <c r="AS127" s="74"/>
      <c r="AT127" s="74"/>
      <c r="AU127" s="74"/>
      <c r="AV127" s="52" t="s">
        <v>47</v>
      </c>
      <c r="AW127" s="52" t="s">
        <v>106</v>
      </c>
      <c r="AX127" s="52" t="s">
        <v>47</v>
      </c>
      <c r="AY127" s="52" t="s">
        <v>47</v>
      </c>
    </row>
    <row r="128" spans="1:51" ht="30" customHeight="1" x14ac:dyDescent="0.3">
      <c r="A128" s="33" t="s">
        <v>107</v>
      </c>
      <c r="B128" s="33" t="s">
        <v>108</v>
      </c>
      <c r="C128" s="48" t="s">
        <v>101</v>
      </c>
      <c r="D128" s="57">
        <v>1</v>
      </c>
      <c r="E128" s="58"/>
      <c r="F128" s="59"/>
      <c r="G128" s="58"/>
      <c r="H128" s="59"/>
      <c r="I128" s="58"/>
      <c r="J128" s="59"/>
      <c r="K128" s="58"/>
      <c r="L128" s="59"/>
      <c r="M128" s="33" t="s">
        <v>47</v>
      </c>
      <c r="N128" s="52" t="s">
        <v>57</v>
      </c>
      <c r="O128" s="52" t="s">
        <v>109</v>
      </c>
      <c r="P128" s="52" t="s">
        <v>50</v>
      </c>
      <c r="Q128" s="52" t="s">
        <v>50</v>
      </c>
      <c r="R128" s="52" t="s">
        <v>50</v>
      </c>
      <c r="S128" s="74">
        <v>1</v>
      </c>
      <c r="T128" s="74">
        <v>0</v>
      </c>
      <c r="U128" s="74">
        <v>0.03</v>
      </c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  <c r="AL128" s="74"/>
      <c r="AM128" s="74"/>
      <c r="AN128" s="74"/>
      <c r="AO128" s="74"/>
      <c r="AP128" s="74"/>
      <c r="AQ128" s="74"/>
      <c r="AR128" s="74"/>
      <c r="AS128" s="74"/>
      <c r="AT128" s="74"/>
      <c r="AU128" s="74"/>
      <c r="AV128" s="52" t="s">
        <v>47</v>
      </c>
      <c r="AW128" s="52" t="s">
        <v>110</v>
      </c>
      <c r="AX128" s="52" t="s">
        <v>47</v>
      </c>
      <c r="AY128" s="52" t="s">
        <v>47</v>
      </c>
    </row>
    <row r="129" spans="1:51" ht="30" customHeight="1" x14ac:dyDescent="0.3">
      <c r="A129" s="33" t="s">
        <v>111</v>
      </c>
      <c r="B129" s="33" t="s">
        <v>47</v>
      </c>
      <c r="C129" s="48" t="s">
        <v>47</v>
      </c>
      <c r="D129" s="57"/>
      <c r="E129" s="58"/>
      <c r="F129" s="59">
        <f>TRUNC(SUMIF(N124:N128, N123, F124:F128),0)</f>
        <v>0</v>
      </c>
      <c r="G129" s="58"/>
      <c r="H129" s="59">
        <f>TRUNC(SUMIF(N124:N128, N123, H124:H128),0)</f>
        <v>0</v>
      </c>
      <c r="I129" s="58"/>
      <c r="J129" s="59">
        <f>TRUNC(SUMIF(N124:N128, N123, J124:J128),0)</f>
        <v>0</v>
      </c>
      <c r="K129" s="58"/>
      <c r="L129" s="59">
        <f>F129+H129+J129</f>
        <v>0</v>
      </c>
      <c r="M129" s="33" t="s">
        <v>47</v>
      </c>
      <c r="N129" s="52" t="s">
        <v>81</v>
      </c>
      <c r="O129" s="52" t="s">
        <v>81</v>
      </c>
      <c r="P129" s="52" t="s">
        <v>47</v>
      </c>
      <c r="Q129" s="52" t="s">
        <v>47</v>
      </c>
      <c r="R129" s="52" t="s">
        <v>47</v>
      </c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  <c r="AL129" s="74"/>
      <c r="AM129" s="74"/>
      <c r="AN129" s="74"/>
      <c r="AO129" s="74"/>
      <c r="AP129" s="74"/>
      <c r="AQ129" s="74"/>
      <c r="AR129" s="74"/>
      <c r="AS129" s="74"/>
      <c r="AT129" s="74"/>
      <c r="AU129" s="74"/>
      <c r="AV129" s="52" t="s">
        <v>47</v>
      </c>
      <c r="AW129" s="52" t="s">
        <v>47</v>
      </c>
      <c r="AX129" s="52" t="s">
        <v>47</v>
      </c>
      <c r="AY129" s="52" t="s">
        <v>47</v>
      </c>
    </row>
    <row r="130" spans="1:51" ht="30" customHeight="1" x14ac:dyDescent="0.3">
      <c r="A130" s="57"/>
      <c r="B130" s="57"/>
      <c r="C130" s="49"/>
      <c r="D130" s="57"/>
      <c r="E130" s="58"/>
      <c r="F130" s="59"/>
      <c r="G130" s="58"/>
      <c r="H130" s="59"/>
      <c r="I130" s="58"/>
      <c r="J130" s="59"/>
      <c r="K130" s="58"/>
      <c r="L130" s="59"/>
      <c r="M130" s="57"/>
    </row>
    <row r="131" spans="1:51" ht="30" customHeight="1" x14ac:dyDescent="0.3">
      <c r="A131" s="104" t="e">
        <f>A132&amp;"  "&amp;B132&amp;"  "&amp; C132&amp;"     ( 호표 20 )"</f>
        <v>#REF!</v>
      </c>
      <c r="B131" s="104"/>
      <c r="C131" s="104"/>
      <c r="D131" s="104"/>
      <c r="E131" s="105"/>
      <c r="F131" s="106"/>
      <c r="G131" s="105"/>
      <c r="H131" s="106"/>
      <c r="I131" s="105"/>
      <c r="J131" s="106"/>
      <c r="K131" s="105"/>
      <c r="L131" s="106"/>
      <c r="M131" s="104"/>
      <c r="N131" s="72" t="s">
        <v>57</v>
      </c>
    </row>
    <row r="132" spans="1:51" ht="30" customHeight="1" x14ac:dyDescent="0.3">
      <c r="A132" s="33" t="s">
        <v>208</v>
      </c>
      <c r="B132" s="33" t="e">
        <f>#REF!</f>
        <v>#REF!</v>
      </c>
      <c r="C132" s="48" t="e">
        <f>#REF!</f>
        <v>#REF!</v>
      </c>
      <c r="D132" s="57">
        <v>1.1000000000000001</v>
      </c>
      <c r="E132" s="58"/>
      <c r="F132" s="59"/>
      <c r="G132" s="58"/>
      <c r="H132" s="59"/>
      <c r="I132" s="58"/>
      <c r="J132" s="59"/>
      <c r="K132" s="58"/>
      <c r="L132" s="59"/>
      <c r="M132" s="33" t="s">
        <v>47</v>
      </c>
      <c r="N132" s="52" t="s">
        <v>57</v>
      </c>
      <c r="O132" s="52" t="s">
        <v>99</v>
      </c>
      <c r="P132" s="52" t="s">
        <v>50</v>
      </c>
      <c r="Q132" s="52" t="s">
        <v>50</v>
      </c>
      <c r="R132" s="52" t="s">
        <v>51</v>
      </c>
      <c r="S132" s="74"/>
      <c r="T132" s="74"/>
      <c r="U132" s="74"/>
      <c r="V132" s="74">
        <v>1</v>
      </c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  <c r="AL132" s="74"/>
      <c r="AM132" s="74"/>
      <c r="AN132" s="74"/>
      <c r="AO132" s="74"/>
      <c r="AP132" s="74"/>
      <c r="AQ132" s="74"/>
      <c r="AR132" s="74"/>
      <c r="AS132" s="74"/>
      <c r="AT132" s="74"/>
      <c r="AU132" s="74"/>
      <c r="AV132" s="52" t="s">
        <v>47</v>
      </c>
      <c r="AW132" s="52" t="s">
        <v>100</v>
      </c>
      <c r="AX132" s="52" t="s">
        <v>47</v>
      </c>
      <c r="AY132" s="52" t="s">
        <v>47</v>
      </c>
    </row>
    <row r="133" spans="1:51" ht="30" customHeight="1" x14ac:dyDescent="0.3">
      <c r="A133" s="33" t="s">
        <v>210</v>
      </c>
      <c r="B133" s="33" t="s">
        <v>216</v>
      </c>
      <c r="C133" s="48" t="s">
        <v>101</v>
      </c>
      <c r="D133" s="57">
        <v>0.2</v>
      </c>
      <c r="E133" s="58"/>
      <c r="F133" s="59"/>
      <c r="G133" s="58"/>
      <c r="H133" s="59"/>
      <c r="I133" s="58"/>
      <c r="J133" s="59"/>
      <c r="K133" s="58"/>
      <c r="L133" s="59"/>
      <c r="M133" s="33" t="s">
        <v>47</v>
      </c>
      <c r="N133" s="52" t="s">
        <v>57</v>
      </c>
      <c r="O133" s="52" t="s">
        <v>99</v>
      </c>
      <c r="P133" s="52" t="s">
        <v>50</v>
      </c>
      <c r="Q133" s="52" t="s">
        <v>50</v>
      </c>
      <c r="R133" s="52" t="s">
        <v>51</v>
      </c>
      <c r="S133" s="74"/>
      <c r="T133" s="74"/>
      <c r="U133" s="74"/>
      <c r="V133" s="74">
        <v>1</v>
      </c>
      <c r="W133" s="74"/>
      <c r="X133" s="74"/>
      <c r="Y133" s="74"/>
      <c r="Z133" s="74"/>
      <c r="AA133" s="74"/>
      <c r="AB133" s="74"/>
      <c r="AC133" s="74"/>
      <c r="AD133" s="74"/>
      <c r="AE133" s="74"/>
      <c r="AF133" s="74"/>
      <c r="AG133" s="74"/>
      <c r="AH133" s="74"/>
      <c r="AI133" s="74"/>
      <c r="AJ133" s="74"/>
      <c r="AK133" s="74"/>
      <c r="AL133" s="74"/>
      <c r="AM133" s="74"/>
      <c r="AN133" s="74"/>
      <c r="AO133" s="74"/>
      <c r="AP133" s="74"/>
      <c r="AQ133" s="74"/>
      <c r="AR133" s="74"/>
      <c r="AS133" s="74"/>
      <c r="AT133" s="74"/>
      <c r="AU133" s="74"/>
      <c r="AV133" s="52" t="s">
        <v>47</v>
      </c>
      <c r="AW133" s="52" t="s">
        <v>100</v>
      </c>
      <c r="AX133" s="52" t="s">
        <v>47</v>
      </c>
      <c r="AY133" s="52" t="s">
        <v>47</v>
      </c>
    </row>
    <row r="134" spans="1:51" ht="30" customHeight="1" x14ac:dyDescent="0.3">
      <c r="A134" s="33" t="s">
        <v>211</v>
      </c>
      <c r="B134" s="33" t="s">
        <v>212</v>
      </c>
      <c r="C134" s="48" t="s">
        <v>101</v>
      </c>
      <c r="D134" s="57">
        <v>0.02</v>
      </c>
      <c r="E134" s="58"/>
      <c r="F134" s="59"/>
      <c r="G134" s="58"/>
      <c r="H134" s="59"/>
      <c r="I134" s="58"/>
      <c r="J134" s="59"/>
      <c r="K134" s="58"/>
      <c r="L134" s="59"/>
      <c r="M134" s="33" t="s">
        <v>47</v>
      </c>
      <c r="N134" s="52" t="s">
        <v>57</v>
      </c>
      <c r="O134" s="52" t="s">
        <v>99</v>
      </c>
      <c r="P134" s="52" t="s">
        <v>50</v>
      </c>
      <c r="Q134" s="52" t="s">
        <v>50</v>
      </c>
      <c r="R134" s="52" t="s">
        <v>51</v>
      </c>
      <c r="S134" s="74"/>
      <c r="T134" s="74"/>
      <c r="U134" s="74"/>
      <c r="V134" s="74">
        <v>1</v>
      </c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  <c r="AL134" s="74"/>
      <c r="AM134" s="74"/>
      <c r="AN134" s="74"/>
      <c r="AO134" s="74"/>
      <c r="AP134" s="74"/>
      <c r="AQ134" s="74"/>
      <c r="AR134" s="74"/>
      <c r="AS134" s="74"/>
      <c r="AT134" s="74"/>
      <c r="AU134" s="74"/>
      <c r="AV134" s="52" t="s">
        <v>47</v>
      </c>
      <c r="AW134" s="52" t="s">
        <v>100</v>
      </c>
      <c r="AX134" s="52" t="s">
        <v>47</v>
      </c>
      <c r="AY134" s="52" t="s">
        <v>47</v>
      </c>
    </row>
    <row r="135" spans="1:51" ht="30" customHeight="1" x14ac:dyDescent="0.3">
      <c r="A135" s="33" t="s">
        <v>102</v>
      </c>
      <c r="B135" s="33" t="s">
        <v>103</v>
      </c>
      <c r="C135" s="48" t="s">
        <v>104</v>
      </c>
      <c r="D135" s="57">
        <f>0.08</f>
        <v>0.08</v>
      </c>
      <c r="E135" s="58"/>
      <c r="F135" s="59"/>
      <c r="G135" s="58"/>
      <c r="H135" s="59"/>
      <c r="I135" s="58"/>
      <c r="J135" s="59"/>
      <c r="K135" s="58"/>
      <c r="L135" s="59"/>
      <c r="M135" s="41"/>
      <c r="N135" s="52" t="s">
        <v>57</v>
      </c>
      <c r="O135" s="52" t="s">
        <v>105</v>
      </c>
      <c r="P135" s="52" t="s">
        <v>50</v>
      </c>
      <c r="Q135" s="52" t="s">
        <v>50</v>
      </c>
      <c r="R135" s="52" t="s">
        <v>51</v>
      </c>
      <c r="S135" s="74"/>
      <c r="T135" s="74"/>
      <c r="U135" s="74"/>
      <c r="V135" s="74"/>
      <c r="W135" s="74">
        <v>2</v>
      </c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  <c r="AL135" s="74"/>
      <c r="AM135" s="74"/>
      <c r="AN135" s="74"/>
      <c r="AO135" s="74"/>
      <c r="AP135" s="74"/>
      <c r="AQ135" s="74"/>
      <c r="AR135" s="74"/>
      <c r="AS135" s="74"/>
      <c r="AT135" s="74"/>
      <c r="AU135" s="74"/>
      <c r="AV135" s="52" t="s">
        <v>47</v>
      </c>
      <c r="AW135" s="52" t="s">
        <v>106</v>
      </c>
      <c r="AX135" s="52" t="s">
        <v>47</v>
      </c>
      <c r="AY135" s="52" t="s">
        <v>47</v>
      </c>
    </row>
    <row r="136" spans="1:51" ht="30" customHeight="1" x14ac:dyDescent="0.3">
      <c r="A136" s="33" t="s">
        <v>107</v>
      </c>
      <c r="B136" s="33" t="s">
        <v>108</v>
      </c>
      <c r="C136" s="48" t="s">
        <v>101</v>
      </c>
      <c r="D136" s="57">
        <v>1</v>
      </c>
      <c r="E136" s="58"/>
      <c r="F136" s="59"/>
      <c r="G136" s="58"/>
      <c r="H136" s="59"/>
      <c r="I136" s="58"/>
      <c r="J136" s="59"/>
      <c r="K136" s="58"/>
      <c r="L136" s="59"/>
      <c r="M136" s="33" t="s">
        <v>47</v>
      </c>
      <c r="N136" s="52" t="s">
        <v>57</v>
      </c>
      <c r="O136" s="52" t="s">
        <v>109</v>
      </c>
      <c r="P136" s="52" t="s">
        <v>50</v>
      </c>
      <c r="Q136" s="52" t="s">
        <v>50</v>
      </c>
      <c r="R136" s="52" t="s">
        <v>50</v>
      </c>
      <c r="S136" s="74">
        <v>1</v>
      </c>
      <c r="T136" s="74">
        <v>0</v>
      </c>
      <c r="U136" s="74">
        <v>0.03</v>
      </c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  <c r="AL136" s="74"/>
      <c r="AM136" s="74"/>
      <c r="AN136" s="74"/>
      <c r="AO136" s="74"/>
      <c r="AP136" s="74"/>
      <c r="AQ136" s="74"/>
      <c r="AR136" s="74"/>
      <c r="AS136" s="74"/>
      <c r="AT136" s="74"/>
      <c r="AU136" s="74"/>
      <c r="AV136" s="52" t="s">
        <v>47</v>
      </c>
      <c r="AW136" s="52" t="s">
        <v>110</v>
      </c>
      <c r="AX136" s="52" t="s">
        <v>47</v>
      </c>
      <c r="AY136" s="52" t="s">
        <v>47</v>
      </c>
    </row>
    <row r="137" spans="1:51" ht="30" customHeight="1" x14ac:dyDescent="0.3">
      <c r="A137" s="33" t="s">
        <v>111</v>
      </c>
      <c r="B137" s="33" t="s">
        <v>47</v>
      </c>
      <c r="C137" s="48" t="s">
        <v>47</v>
      </c>
      <c r="D137" s="57"/>
      <c r="E137" s="58"/>
      <c r="F137" s="59">
        <f>TRUNC(SUMIF(N132:N136, N131, F132:F136),0)</f>
        <v>0</v>
      </c>
      <c r="G137" s="58"/>
      <c r="H137" s="59">
        <f>TRUNC(SUMIF(N132:N136, N131, H132:H136),0)</f>
        <v>0</v>
      </c>
      <c r="I137" s="58"/>
      <c r="J137" s="59">
        <f>TRUNC(SUMIF(N132:N136, N131, J132:J136),0)</f>
        <v>0</v>
      </c>
      <c r="K137" s="58"/>
      <c r="L137" s="59">
        <f>F137+H137+J137</f>
        <v>0</v>
      </c>
      <c r="M137" s="33" t="s">
        <v>47</v>
      </c>
      <c r="N137" s="52" t="s">
        <v>81</v>
      </c>
      <c r="O137" s="52" t="s">
        <v>81</v>
      </c>
      <c r="P137" s="52" t="s">
        <v>47</v>
      </c>
      <c r="Q137" s="52" t="s">
        <v>47</v>
      </c>
      <c r="R137" s="52" t="s">
        <v>47</v>
      </c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4"/>
      <c r="AK137" s="74"/>
      <c r="AL137" s="74"/>
      <c r="AM137" s="74"/>
      <c r="AN137" s="74"/>
      <c r="AO137" s="74"/>
      <c r="AP137" s="74"/>
      <c r="AQ137" s="74"/>
      <c r="AR137" s="74"/>
      <c r="AS137" s="74"/>
      <c r="AT137" s="74"/>
      <c r="AU137" s="74"/>
      <c r="AV137" s="52" t="s">
        <v>47</v>
      </c>
      <c r="AW137" s="52" t="s">
        <v>47</v>
      </c>
      <c r="AX137" s="52" t="s">
        <v>47</v>
      </c>
      <c r="AY137" s="52" t="s">
        <v>47</v>
      </c>
    </row>
    <row r="138" spans="1:51" ht="30" customHeight="1" x14ac:dyDescent="0.3">
      <c r="A138" s="57"/>
      <c r="B138" s="57"/>
      <c r="C138" s="49"/>
      <c r="D138" s="57"/>
      <c r="E138" s="58"/>
      <c r="F138" s="59"/>
      <c r="G138" s="58"/>
      <c r="H138" s="59"/>
      <c r="I138" s="58"/>
      <c r="J138" s="59"/>
      <c r="K138" s="58"/>
      <c r="L138" s="59"/>
      <c r="M138" s="57"/>
    </row>
    <row r="139" spans="1:51" ht="30" customHeight="1" x14ac:dyDescent="0.3">
      <c r="A139" s="104" t="e">
        <f>A140&amp;"  "&amp;B140&amp;"  "&amp; C140&amp;"     ( 호표 21 )"</f>
        <v>#REF!</v>
      </c>
      <c r="B139" s="104"/>
      <c r="C139" s="104"/>
      <c r="D139" s="104"/>
      <c r="E139" s="105"/>
      <c r="F139" s="106"/>
      <c r="G139" s="105"/>
      <c r="H139" s="106"/>
      <c r="I139" s="105"/>
      <c r="J139" s="106"/>
      <c r="K139" s="105"/>
      <c r="L139" s="106"/>
      <c r="M139" s="104"/>
      <c r="N139" s="72" t="s">
        <v>57</v>
      </c>
    </row>
    <row r="140" spans="1:51" ht="30" customHeight="1" x14ac:dyDescent="0.3">
      <c r="A140" s="33" t="s">
        <v>265</v>
      </c>
      <c r="B140" s="33" t="e">
        <f>#REF!</f>
        <v>#REF!</v>
      </c>
      <c r="C140" s="48" t="e">
        <f>#REF!</f>
        <v>#REF!</v>
      </c>
      <c r="D140" s="57">
        <v>1</v>
      </c>
      <c r="E140" s="58"/>
      <c r="F140" s="59"/>
      <c r="G140" s="58"/>
      <c r="H140" s="59"/>
      <c r="I140" s="58"/>
      <c r="J140" s="59"/>
      <c r="K140" s="58"/>
      <c r="L140" s="59"/>
      <c r="M140" s="33" t="s">
        <v>47</v>
      </c>
      <c r="N140" s="52" t="s">
        <v>57</v>
      </c>
      <c r="O140" s="52" t="s">
        <v>99</v>
      </c>
      <c r="P140" s="52" t="s">
        <v>50</v>
      </c>
      <c r="Q140" s="52" t="s">
        <v>50</v>
      </c>
      <c r="R140" s="52" t="s">
        <v>51</v>
      </c>
      <c r="S140" s="74"/>
      <c r="T140" s="74"/>
      <c r="U140" s="74"/>
      <c r="V140" s="74">
        <v>1</v>
      </c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  <c r="AS140" s="74"/>
      <c r="AT140" s="74"/>
      <c r="AU140" s="74"/>
      <c r="AV140" s="52" t="s">
        <v>47</v>
      </c>
      <c r="AW140" s="52" t="s">
        <v>100</v>
      </c>
      <c r="AX140" s="52" t="s">
        <v>47</v>
      </c>
      <c r="AY140" s="52" t="s">
        <v>47</v>
      </c>
    </row>
    <row r="141" spans="1:51" ht="30" customHeight="1" x14ac:dyDescent="0.3">
      <c r="A141" s="33" t="s">
        <v>215</v>
      </c>
      <c r="B141" s="33" t="s">
        <v>103</v>
      </c>
      <c r="C141" s="48" t="s">
        <v>104</v>
      </c>
      <c r="D141" s="79">
        <f>0.55</f>
        <v>0.55000000000000004</v>
      </c>
      <c r="E141" s="58"/>
      <c r="F141" s="59"/>
      <c r="G141" s="58"/>
      <c r="H141" s="59"/>
      <c r="I141" s="58"/>
      <c r="J141" s="59"/>
      <c r="K141" s="58"/>
      <c r="L141" s="59"/>
      <c r="M141" s="33"/>
      <c r="N141" s="52" t="s">
        <v>57</v>
      </c>
      <c r="O141" s="52" t="s">
        <v>105</v>
      </c>
      <c r="P141" s="52" t="s">
        <v>50</v>
      </c>
      <c r="Q141" s="52" t="s">
        <v>50</v>
      </c>
      <c r="R141" s="52" t="s">
        <v>51</v>
      </c>
      <c r="S141" s="74"/>
      <c r="T141" s="74"/>
      <c r="U141" s="74"/>
      <c r="V141" s="74"/>
      <c r="W141" s="74">
        <v>2</v>
      </c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  <c r="AS141" s="74"/>
      <c r="AT141" s="74"/>
      <c r="AU141" s="74"/>
      <c r="AV141" s="52" t="s">
        <v>47</v>
      </c>
      <c r="AW141" s="52" t="s">
        <v>106</v>
      </c>
      <c r="AX141" s="52" t="s">
        <v>47</v>
      </c>
      <c r="AY141" s="52" t="s">
        <v>47</v>
      </c>
    </row>
    <row r="142" spans="1:51" ht="30" customHeight="1" x14ac:dyDescent="0.3">
      <c r="A142" s="33" t="s">
        <v>107</v>
      </c>
      <c r="B142" s="33" t="s">
        <v>108</v>
      </c>
      <c r="C142" s="48" t="s">
        <v>101</v>
      </c>
      <c r="D142" s="57">
        <v>1</v>
      </c>
      <c r="E142" s="58"/>
      <c r="F142" s="59"/>
      <c r="G142" s="58"/>
      <c r="H142" s="59"/>
      <c r="I142" s="58"/>
      <c r="J142" s="59"/>
      <c r="K142" s="58"/>
      <c r="L142" s="59"/>
      <c r="M142" s="33" t="s">
        <v>47</v>
      </c>
      <c r="N142" s="52" t="s">
        <v>57</v>
      </c>
      <c r="O142" s="52" t="s">
        <v>109</v>
      </c>
      <c r="P142" s="52" t="s">
        <v>50</v>
      </c>
      <c r="Q142" s="52" t="s">
        <v>50</v>
      </c>
      <c r="R142" s="52" t="s">
        <v>50</v>
      </c>
      <c r="S142" s="74">
        <v>1</v>
      </c>
      <c r="T142" s="74">
        <v>0</v>
      </c>
      <c r="U142" s="74">
        <v>0.03</v>
      </c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  <c r="AS142" s="74"/>
      <c r="AT142" s="74"/>
      <c r="AU142" s="74"/>
      <c r="AV142" s="52" t="s">
        <v>47</v>
      </c>
      <c r="AW142" s="52" t="s">
        <v>110</v>
      </c>
      <c r="AX142" s="52" t="s">
        <v>47</v>
      </c>
      <c r="AY142" s="52" t="s">
        <v>47</v>
      </c>
    </row>
    <row r="143" spans="1:51" ht="30" customHeight="1" x14ac:dyDescent="0.3">
      <c r="A143" s="33" t="s">
        <v>111</v>
      </c>
      <c r="B143" s="33" t="s">
        <v>47</v>
      </c>
      <c r="C143" s="48" t="s">
        <v>47</v>
      </c>
      <c r="D143" s="57"/>
      <c r="E143" s="58"/>
      <c r="F143" s="59">
        <f>TRUNC(SUMIF(N140:N142, N139, F140:F142),0)</f>
        <v>0</v>
      </c>
      <c r="G143" s="58"/>
      <c r="H143" s="59">
        <f>TRUNC(SUMIF(N140:N142, N139, H140:H142),0)</f>
        <v>0</v>
      </c>
      <c r="I143" s="58"/>
      <c r="J143" s="59">
        <f>TRUNC(SUMIF(N140:N142, N139, J140:J142),0)</f>
        <v>0</v>
      </c>
      <c r="K143" s="58"/>
      <c r="L143" s="59">
        <f>F143+H143+J143</f>
        <v>0</v>
      </c>
      <c r="M143" s="33" t="s">
        <v>47</v>
      </c>
      <c r="N143" s="52" t="s">
        <v>81</v>
      </c>
      <c r="O143" s="52" t="s">
        <v>81</v>
      </c>
      <c r="P143" s="52" t="s">
        <v>47</v>
      </c>
      <c r="Q143" s="52" t="s">
        <v>47</v>
      </c>
      <c r="R143" s="52" t="s">
        <v>47</v>
      </c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  <c r="AS143" s="74"/>
      <c r="AT143" s="74"/>
      <c r="AU143" s="74"/>
      <c r="AV143" s="52" t="s">
        <v>47</v>
      </c>
      <c r="AW143" s="52" t="s">
        <v>47</v>
      </c>
      <c r="AX143" s="52" t="s">
        <v>47</v>
      </c>
      <c r="AY143" s="52" t="s">
        <v>47</v>
      </c>
    </row>
    <row r="144" spans="1:51" ht="30" customHeight="1" x14ac:dyDescent="0.3">
      <c r="A144" s="57"/>
      <c r="B144" s="57"/>
      <c r="C144" s="49"/>
      <c r="D144" s="57"/>
      <c r="E144" s="58"/>
      <c r="F144" s="59"/>
      <c r="G144" s="58"/>
      <c r="H144" s="59"/>
      <c r="I144" s="58"/>
      <c r="J144" s="59"/>
      <c r="K144" s="58"/>
      <c r="L144" s="59"/>
      <c r="M144" s="57"/>
    </row>
    <row r="145" spans="1:51" ht="30" customHeight="1" x14ac:dyDescent="0.3">
      <c r="A145" s="104" t="e">
        <f>A146&amp;"  "&amp;B146&amp;"  "&amp; C146&amp;"     ( 호표 22 )"</f>
        <v>#REF!</v>
      </c>
      <c r="B145" s="104"/>
      <c r="C145" s="104"/>
      <c r="D145" s="104"/>
      <c r="E145" s="105"/>
      <c r="F145" s="106"/>
      <c r="G145" s="105"/>
      <c r="H145" s="106"/>
      <c r="I145" s="105"/>
      <c r="J145" s="106"/>
      <c r="K145" s="105"/>
      <c r="L145" s="106"/>
      <c r="M145" s="104"/>
      <c r="N145" s="72" t="s">
        <v>57</v>
      </c>
    </row>
    <row r="146" spans="1:51" ht="30" customHeight="1" x14ac:dyDescent="0.3">
      <c r="A146" s="33" t="s">
        <v>213</v>
      </c>
      <c r="B146" s="33" t="e">
        <f>#REF!</f>
        <v>#REF!</v>
      </c>
      <c r="C146" s="48" t="e">
        <f>#REF!</f>
        <v>#REF!</v>
      </c>
      <c r="D146" s="57">
        <v>1.05</v>
      </c>
      <c r="E146" s="58"/>
      <c r="F146" s="59"/>
      <c r="G146" s="58"/>
      <c r="H146" s="59"/>
      <c r="I146" s="58"/>
      <c r="J146" s="59"/>
      <c r="K146" s="58"/>
      <c r="L146" s="59"/>
      <c r="M146" s="33" t="s">
        <v>47</v>
      </c>
      <c r="N146" s="52" t="s">
        <v>57</v>
      </c>
      <c r="O146" s="52" t="s">
        <v>99</v>
      </c>
      <c r="P146" s="52" t="s">
        <v>50</v>
      </c>
      <c r="Q146" s="52" t="s">
        <v>50</v>
      </c>
      <c r="R146" s="52" t="s">
        <v>51</v>
      </c>
      <c r="S146" s="74"/>
      <c r="T146" s="74"/>
      <c r="U146" s="74"/>
      <c r="V146" s="74">
        <v>1</v>
      </c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4"/>
      <c r="AS146" s="74"/>
      <c r="AT146" s="74"/>
      <c r="AU146" s="74"/>
      <c r="AV146" s="52" t="s">
        <v>47</v>
      </c>
      <c r="AW146" s="52" t="s">
        <v>100</v>
      </c>
      <c r="AX146" s="52" t="s">
        <v>47</v>
      </c>
      <c r="AY146" s="52" t="s">
        <v>47</v>
      </c>
    </row>
    <row r="147" spans="1:51" ht="30" customHeight="1" x14ac:dyDescent="0.3">
      <c r="A147" s="33" t="s">
        <v>211</v>
      </c>
      <c r="B147" s="33" t="s">
        <v>212</v>
      </c>
      <c r="C147" s="48" t="s">
        <v>101</v>
      </c>
      <c r="D147" s="57">
        <v>0.02</v>
      </c>
      <c r="E147" s="58"/>
      <c r="F147" s="59"/>
      <c r="G147" s="58"/>
      <c r="H147" s="59"/>
      <c r="I147" s="58"/>
      <c r="J147" s="59"/>
      <c r="K147" s="58"/>
      <c r="L147" s="59"/>
      <c r="M147" s="33" t="s">
        <v>47</v>
      </c>
      <c r="N147" s="52" t="s">
        <v>57</v>
      </c>
      <c r="O147" s="52" t="s">
        <v>99</v>
      </c>
      <c r="P147" s="52" t="s">
        <v>50</v>
      </c>
      <c r="Q147" s="52" t="s">
        <v>50</v>
      </c>
      <c r="R147" s="52" t="s">
        <v>51</v>
      </c>
      <c r="S147" s="74"/>
      <c r="T147" s="74"/>
      <c r="U147" s="74"/>
      <c r="V147" s="74">
        <v>1</v>
      </c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  <c r="AM147" s="74"/>
      <c r="AN147" s="74"/>
      <c r="AO147" s="74"/>
      <c r="AP147" s="74"/>
      <c r="AQ147" s="74"/>
      <c r="AR147" s="74"/>
      <c r="AS147" s="74"/>
      <c r="AT147" s="74"/>
      <c r="AU147" s="74"/>
      <c r="AV147" s="52" t="s">
        <v>47</v>
      </c>
      <c r="AW147" s="52" t="s">
        <v>100</v>
      </c>
      <c r="AX147" s="52" t="s">
        <v>47</v>
      </c>
      <c r="AY147" s="52" t="s">
        <v>47</v>
      </c>
    </row>
    <row r="148" spans="1:51" ht="30" customHeight="1" x14ac:dyDescent="0.3">
      <c r="A148" s="33" t="s">
        <v>214</v>
      </c>
      <c r="B148" s="33" t="s">
        <v>103</v>
      </c>
      <c r="C148" s="48" t="s">
        <v>104</v>
      </c>
      <c r="D148" s="76">
        <f>0.03*2.6</f>
        <v>7.8E-2</v>
      </c>
      <c r="E148" s="58"/>
      <c r="F148" s="59"/>
      <c r="G148" s="58"/>
      <c r="H148" s="59"/>
      <c r="I148" s="58"/>
      <c r="J148" s="59"/>
      <c r="K148" s="58"/>
      <c r="L148" s="59"/>
      <c r="M148" s="33"/>
      <c r="N148" s="52" t="s">
        <v>57</v>
      </c>
      <c r="O148" s="52" t="s">
        <v>105</v>
      </c>
      <c r="P148" s="52" t="s">
        <v>50</v>
      </c>
      <c r="Q148" s="52" t="s">
        <v>50</v>
      </c>
      <c r="R148" s="52" t="s">
        <v>51</v>
      </c>
      <c r="S148" s="74"/>
      <c r="T148" s="74"/>
      <c r="U148" s="74"/>
      <c r="V148" s="74"/>
      <c r="W148" s="74">
        <v>2</v>
      </c>
      <c r="X148" s="74"/>
      <c r="Y148" s="74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  <c r="AM148" s="74"/>
      <c r="AN148" s="74"/>
      <c r="AO148" s="74"/>
      <c r="AP148" s="74"/>
      <c r="AQ148" s="74"/>
      <c r="AR148" s="74"/>
      <c r="AS148" s="74"/>
      <c r="AT148" s="74"/>
      <c r="AU148" s="74"/>
      <c r="AV148" s="52" t="s">
        <v>47</v>
      </c>
      <c r="AW148" s="52" t="s">
        <v>106</v>
      </c>
      <c r="AX148" s="52" t="s">
        <v>47</v>
      </c>
      <c r="AY148" s="52" t="s">
        <v>47</v>
      </c>
    </row>
    <row r="149" spans="1:51" ht="30" customHeight="1" x14ac:dyDescent="0.3">
      <c r="A149" s="33" t="s">
        <v>107</v>
      </c>
      <c r="B149" s="33" t="s">
        <v>108</v>
      </c>
      <c r="C149" s="48" t="s">
        <v>101</v>
      </c>
      <c r="D149" s="57">
        <v>1</v>
      </c>
      <c r="E149" s="58"/>
      <c r="F149" s="59"/>
      <c r="G149" s="58"/>
      <c r="H149" s="59"/>
      <c r="I149" s="58"/>
      <c r="J149" s="59"/>
      <c r="K149" s="58"/>
      <c r="L149" s="59"/>
      <c r="M149" s="33" t="s">
        <v>47</v>
      </c>
      <c r="N149" s="52" t="s">
        <v>57</v>
      </c>
      <c r="O149" s="52" t="s">
        <v>109</v>
      </c>
      <c r="P149" s="52" t="s">
        <v>50</v>
      </c>
      <c r="Q149" s="52" t="s">
        <v>50</v>
      </c>
      <c r="R149" s="52" t="s">
        <v>50</v>
      </c>
      <c r="S149" s="74">
        <v>1</v>
      </c>
      <c r="T149" s="74">
        <v>0</v>
      </c>
      <c r="U149" s="74">
        <v>0.03</v>
      </c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  <c r="AM149" s="74"/>
      <c r="AN149" s="74"/>
      <c r="AO149" s="74"/>
      <c r="AP149" s="74"/>
      <c r="AQ149" s="74"/>
      <c r="AR149" s="74"/>
      <c r="AS149" s="74"/>
      <c r="AT149" s="74"/>
      <c r="AU149" s="74"/>
      <c r="AV149" s="52" t="s">
        <v>47</v>
      </c>
      <c r="AW149" s="52" t="s">
        <v>110</v>
      </c>
      <c r="AX149" s="52" t="s">
        <v>47</v>
      </c>
      <c r="AY149" s="52" t="s">
        <v>47</v>
      </c>
    </row>
    <row r="150" spans="1:51" ht="30" customHeight="1" x14ac:dyDescent="0.3">
      <c r="A150" s="33" t="s">
        <v>111</v>
      </c>
      <c r="B150" s="33" t="s">
        <v>47</v>
      </c>
      <c r="C150" s="48" t="s">
        <v>47</v>
      </c>
      <c r="D150" s="57"/>
      <c r="E150" s="58"/>
      <c r="F150" s="59">
        <f>TRUNC(SUMIF(N146:N149, N145, F146:F149),0)</f>
        <v>0</v>
      </c>
      <c r="G150" s="58"/>
      <c r="H150" s="59">
        <f>TRUNC(SUMIF(N146:N149, N145, H146:H149),0)</f>
        <v>0</v>
      </c>
      <c r="I150" s="58"/>
      <c r="J150" s="59">
        <f>TRUNC(SUMIF(N146:N149, N145, J146:J149),0)</f>
        <v>0</v>
      </c>
      <c r="K150" s="58"/>
      <c r="L150" s="59">
        <f>F150+H150+J150</f>
        <v>0</v>
      </c>
      <c r="M150" s="33" t="s">
        <v>47</v>
      </c>
      <c r="N150" s="52" t="s">
        <v>81</v>
      </c>
      <c r="O150" s="52" t="s">
        <v>81</v>
      </c>
      <c r="P150" s="52" t="s">
        <v>47</v>
      </c>
      <c r="Q150" s="52" t="s">
        <v>47</v>
      </c>
      <c r="R150" s="52" t="s">
        <v>47</v>
      </c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  <c r="AM150" s="74"/>
      <c r="AN150" s="74"/>
      <c r="AO150" s="74"/>
      <c r="AP150" s="74"/>
      <c r="AQ150" s="74"/>
      <c r="AR150" s="74"/>
      <c r="AS150" s="74"/>
      <c r="AT150" s="74"/>
      <c r="AU150" s="74"/>
      <c r="AV150" s="52" t="s">
        <v>47</v>
      </c>
      <c r="AW150" s="52" t="s">
        <v>47</v>
      </c>
      <c r="AX150" s="52" t="s">
        <v>47</v>
      </c>
      <c r="AY150" s="52" t="s">
        <v>47</v>
      </c>
    </row>
    <row r="151" spans="1:51" ht="30" customHeight="1" x14ac:dyDescent="0.3">
      <c r="A151" s="57"/>
      <c r="B151" s="57"/>
      <c r="C151" s="49"/>
      <c r="D151" s="57"/>
      <c r="E151" s="58"/>
      <c r="F151" s="59"/>
      <c r="G151" s="58"/>
      <c r="H151" s="59"/>
      <c r="I151" s="58"/>
      <c r="J151" s="59"/>
      <c r="K151" s="58"/>
      <c r="L151" s="59"/>
      <c r="M151" s="57"/>
    </row>
    <row r="152" spans="1:51" ht="30" customHeight="1" x14ac:dyDescent="0.3">
      <c r="A152" s="104" t="e">
        <f>A153&amp;"  "&amp;B153&amp;"  "&amp; C153&amp;"     ( 호표 23 )"</f>
        <v>#REF!</v>
      </c>
      <c r="B152" s="104"/>
      <c r="C152" s="104"/>
      <c r="D152" s="104"/>
      <c r="E152" s="105"/>
      <c r="F152" s="106"/>
      <c r="G152" s="105"/>
      <c r="H152" s="106"/>
      <c r="I152" s="105"/>
      <c r="J152" s="106"/>
      <c r="K152" s="105"/>
      <c r="L152" s="106"/>
      <c r="M152" s="104"/>
      <c r="N152" s="72" t="s">
        <v>57</v>
      </c>
    </row>
    <row r="153" spans="1:51" ht="30" customHeight="1" x14ac:dyDescent="0.3">
      <c r="A153" s="33" t="s">
        <v>213</v>
      </c>
      <c r="B153" s="33" t="e">
        <f>#REF!</f>
        <v>#REF!</v>
      </c>
      <c r="C153" s="48" t="e">
        <f>#REF!</f>
        <v>#REF!</v>
      </c>
      <c r="D153" s="57">
        <v>1.05</v>
      </c>
      <c r="E153" s="58"/>
      <c r="F153" s="59"/>
      <c r="G153" s="58"/>
      <c r="H153" s="59"/>
      <c r="I153" s="58"/>
      <c r="J153" s="59"/>
      <c r="K153" s="58"/>
      <c r="L153" s="59"/>
      <c r="M153" s="33" t="s">
        <v>47</v>
      </c>
      <c r="N153" s="52" t="s">
        <v>57</v>
      </c>
      <c r="O153" s="52" t="s">
        <v>99</v>
      </c>
      <c r="P153" s="52" t="s">
        <v>50</v>
      </c>
      <c r="Q153" s="52" t="s">
        <v>50</v>
      </c>
      <c r="R153" s="52" t="s">
        <v>51</v>
      </c>
      <c r="S153" s="74"/>
      <c r="T153" s="74"/>
      <c r="U153" s="74"/>
      <c r="V153" s="74">
        <v>1</v>
      </c>
      <c r="W153" s="74"/>
      <c r="X153" s="74"/>
      <c r="Y153" s="74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  <c r="AM153" s="74"/>
      <c r="AN153" s="74"/>
      <c r="AO153" s="74"/>
      <c r="AP153" s="74"/>
      <c r="AQ153" s="74"/>
      <c r="AR153" s="74"/>
      <c r="AS153" s="74"/>
      <c r="AT153" s="74"/>
      <c r="AU153" s="74"/>
      <c r="AV153" s="52" t="s">
        <v>47</v>
      </c>
      <c r="AW153" s="52" t="s">
        <v>100</v>
      </c>
      <c r="AX153" s="52" t="s">
        <v>47</v>
      </c>
      <c r="AY153" s="52" t="s">
        <v>47</v>
      </c>
    </row>
    <row r="154" spans="1:51" ht="30" customHeight="1" x14ac:dyDescent="0.3">
      <c r="A154" s="33" t="s">
        <v>211</v>
      </c>
      <c r="B154" s="33" t="s">
        <v>212</v>
      </c>
      <c r="C154" s="48" t="s">
        <v>101</v>
      </c>
      <c r="D154" s="57">
        <v>0.02</v>
      </c>
      <c r="E154" s="58"/>
      <c r="F154" s="59"/>
      <c r="G154" s="58"/>
      <c r="H154" s="59"/>
      <c r="I154" s="58"/>
      <c r="J154" s="59"/>
      <c r="K154" s="58"/>
      <c r="L154" s="59"/>
      <c r="M154" s="33" t="s">
        <v>47</v>
      </c>
      <c r="N154" s="52" t="s">
        <v>57</v>
      </c>
      <c r="O154" s="52" t="s">
        <v>99</v>
      </c>
      <c r="P154" s="52" t="s">
        <v>50</v>
      </c>
      <c r="Q154" s="52" t="s">
        <v>50</v>
      </c>
      <c r="R154" s="52" t="s">
        <v>51</v>
      </c>
      <c r="S154" s="74"/>
      <c r="T154" s="74"/>
      <c r="U154" s="74"/>
      <c r="V154" s="74">
        <v>1</v>
      </c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  <c r="AM154" s="74"/>
      <c r="AN154" s="74"/>
      <c r="AO154" s="74"/>
      <c r="AP154" s="74"/>
      <c r="AQ154" s="74"/>
      <c r="AR154" s="74"/>
      <c r="AS154" s="74"/>
      <c r="AT154" s="74"/>
      <c r="AU154" s="74"/>
      <c r="AV154" s="52" t="s">
        <v>47</v>
      </c>
      <c r="AW154" s="52" t="s">
        <v>100</v>
      </c>
      <c r="AX154" s="52" t="s">
        <v>47</v>
      </c>
      <c r="AY154" s="52" t="s">
        <v>47</v>
      </c>
    </row>
    <row r="155" spans="1:51" ht="30" customHeight="1" x14ac:dyDescent="0.3">
      <c r="A155" s="33" t="s">
        <v>214</v>
      </c>
      <c r="B155" s="33" t="s">
        <v>103</v>
      </c>
      <c r="C155" s="48" t="s">
        <v>104</v>
      </c>
      <c r="D155" s="76">
        <f>0.049</f>
        <v>4.9000000000000002E-2</v>
      </c>
      <c r="E155" s="58"/>
      <c r="F155" s="59"/>
      <c r="G155" s="58"/>
      <c r="H155" s="59"/>
      <c r="I155" s="58"/>
      <c r="J155" s="59"/>
      <c r="K155" s="58"/>
      <c r="L155" s="59"/>
      <c r="M155" s="33"/>
      <c r="N155" s="52" t="s">
        <v>57</v>
      </c>
      <c r="O155" s="52" t="s">
        <v>105</v>
      </c>
      <c r="P155" s="52" t="s">
        <v>50</v>
      </c>
      <c r="Q155" s="52" t="s">
        <v>50</v>
      </c>
      <c r="R155" s="52" t="s">
        <v>51</v>
      </c>
      <c r="S155" s="74"/>
      <c r="T155" s="74"/>
      <c r="U155" s="74"/>
      <c r="V155" s="74"/>
      <c r="W155" s="74">
        <v>2</v>
      </c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  <c r="AM155" s="74"/>
      <c r="AN155" s="74"/>
      <c r="AO155" s="74"/>
      <c r="AP155" s="74"/>
      <c r="AQ155" s="74"/>
      <c r="AR155" s="74"/>
      <c r="AS155" s="74"/>
      <c r="AT155" s="74"/>
      <c r="AU155" s="74"/>
      <c r="AV155" s="52" t="s">
        <v>47</v>
      </c>
      <c r="AW155" s="52" t="s">
        <v>106</v>
      </c>
      <c r="AX155" s="52" t="s">
        <v>47</v>
      </c>
      <c r="AY155" s="52" t="s">
        <v>47</v>
      </c>
    </row>
    <row r="156" spans="1:51" ht="30" customHeight="1" x14ac:dyDescent="0.3">
      <c r="A156" s="33" t="s">
        <v>107</v>
      </c>
      <c r="B156" s="33" t="s">
        <v>108</v>
      </c>
      <c r="C156" s="48" t="s">
        <v>101</v>
      </c>
      <c r="D156" s="57">
        <v>1</v>
      </c>
      <c r="E156" s="58"/>
      <c r="F156" s="59"/>
      <c r="G156" s="58"/>
      <c r="H156" s="59"/>
      <c r="I156" s="58"/>
      <c r="J156" s="59"/>
      <c r="K156" s="58"/>
      <c r="L156" s="59"/>
      <c r="M156" s="33" t="s">
        <v>47</v>
      </c>
      <c r="N156" s="52" t="s">
        <v>57</v>
      </c>
      <c r="O156" s="52" t="s">
        <v>109</v>
      </c>
      <c r="P156" s="52" t="s">
        <v>50</v>
      </c>
      <c r="Q156" s="52" t="s">
        <v>50</v>
      </c>
      <c r="R156" s="52" t="s">
        <v>50</v>
      </c>
      <c r="S156" s="74">
        <v>1</v>
      </c>
      <c r="T156" s="74">
        <v>0</v>
      </c>
      <c r="U156" s="74">
        <v>0.03</v>
      </c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  <c r="AM156" s="74"/>
      <c r="AN156" s="74"/>
      <c r="AO156" s="74"/>
      <c r="AP156" s="74"/>
      <c r="AQ156" s="74"/>
      <c r="AR156" s="74"/>
      <c r="AS156" s="74"/>
      <c r="AT156" s="74"/>
      <c r="AU156" s="74"/>
      <c r="AV156" s="52" t="s">
        <v>47</v>
      </c>
      <c r="AW156" s="52" t="s">
        <v>110</v>
      </c>
      <c r="AX156" s="52" t="s">
        <v>47</v>
      </c>
      <c r="AY156" s="52" t="s">
        <v>47</v>
      </c>
    </row>
    <row r="157" spans="1:51" ht="30" customHeight="1" x14ac:dyDescent="0.3">
      <c r="A157" s="33" t="s">
        <v>111</v>
      </c>
      <c r="B157" s="33" t="s">
        <v>47</v>
      </c>
      <c r="C157" s="48" t="s">
        <v>47</v>
      </c>
      <c r="D157" s="57"/>
      <c r="E157" s="58"/>
      <c r="F157" s="59">
        <f>TRUNC(SUMIF(N153:N156, N152, F153:F156),0)</f>
        <v>0</v>
      </c>
      <c r="G157" s="58"/>
      <c r="H157" s="59">
        <f>TRUNC(SUMIF(N153:N156, N152, H153:H156),0)</f>
        <v>0</v>
      </c>
      <c r="I157" s="58"/>
      <c r="J157" s="59">
        <f>TRUNC(SUMIF(N153:N156, N152, J153:J156),0)</f>
        <v>0</v>
      </c>
      <c r="K157" s="58"/>
      <c r="L157" s="59">
        <f>F157+H157+J157</f>
        <v>0</v>
      </c>
      <c r="M157" s="33" t="s">
        <v>47</v>
      </c>
      <c r="N157" s="52" t="s">
        <v>81</v>
      </c>
      <c r="O157" s="52" t="s">
        <v>81</v>
      </c>
      <c r="P157" s="52" t="s">
        <v>47</v>
      </c>
      <c r="Q157" s="52" t="s">
        <v>47</v>
      </c>
      <c r="R157" s="52" t="s">
        <v>47</v>
      </c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  <c r="AM157" s="74"/>
      <c r="AN157" s="74"/>
      <c r="AO157" s="74"/>
      <c r="AP157" s="74"/>
      <c r="AQ157" s="74"/>
      <c r="AR157" s="74"/>
      <c r="AS157" s="74"/>
      <c r="AT157" s="74"/>
      <c r="AU157" s="74"/>
      <c r="AV157" s="52" t="s">
        <v>47</v>
      </c>
      <c r="AW157" s="52" t="s">
        <v>47</v>
      </c>
      <c r="AX157" s="52" t="s">
        <v>47</v>
      </c>
      <c r="AY157" s="52" t="s">
        <v>47</v>
      </c>
    </row>
    <row r="158" spans="1:51" ht="30" customHeight="1" x14ac:dyDescent="0.3">
      <c r="A158" s="57"/>
      <c r="B158" s="57"/>
      <c r="C158" s="49"/>
      <c r="D158" s="57"/>
      <c r="E158" s="58"/>
      <c r="F158" s="59"/>
      <c r="G158" s="58"/>
      <c r="H158" s="59"/>
      <c r="I158" s="58"/>
      <c r="J158" s="59"/>
      <c r="K158" s="58"/>
      <c r="L158" s="59"/>
      <c r="M158" s="57"/>
    </row>
    <row r="159" spans="1:51" ht="30" customHeight="1" x14ac:dyDescent="0.3">
      <c r="A159" s="104" t="e">
        <f>A160&amp;"  "&amp;B160&amp;"  "&amp; C160&amp;"     ( 호표 24 )"</f>
        <v>#REF!</v>
      </c>
      <c r="B159" s="104"/>
      <c r="C159" s="104"/>
      <c r="D159" s="104"/>
      <c r="E159" s="105"/>
      <c r="F159" s="106"/>
      <c r="G159" s="105"/>
      <c r="H159" s="106"/>
      <c r="I159" s="105"/>
      <c r="J159" s="106"/>
      <c r="K159" s="105"/>
      <c r="L159" s="106"/>
      <c r="M159" s="104"/>
      <c r="N159" s="72" t="s">
        <v>57</v>
      </c>
    </row>
    <row r="160" spans="1:51" ht="30" customHeight="1" x14ac:dyDescent="0.3">
      <c r="A160" s="33" t="s">
        <v>213</v>
      </c>
      <c r="B160" s="33" t="e">
        <f>#REF!</f>
        <v>#REF!</v>
      </c>
      <c r="C160" s="48" t="e">
        <f>#REF!</f>
        <v>#REF!</v>
      </c>
      <c r="D160" s="57">
        <v>1.05</v>
      </c>
      <c r="E160" s="58"/>
      <c r="F160" s="59"/>
      <c r="G160" s="58"/>
      <c r="H160" s="59"/>
      <c r="I160" s="58"/>
      <c r="J160" s="59"/>
      <c r="K160" s="58"/>
      <c r="L160" s="59"/>
      <c r="M160" s="33" t="s">
        <v>47</v>
      </c>
      <c r="N160" s="52" t="s">
        <v>57</v>
      </c>
      <c r="O160" s="52" t="s">
        <v>99</v>
      </c>
      <c r="P160" s="52" t="s">
        <v>50</v>
      </c>
      <c r="Q160" s="52" t="s">
        <v>50</v>
      </c>
      <c r="R160" s="52" t="s">
        <v>51</v>
      </c>
      <c r="S160" s="74"/>
      <c r="T160" s="74"/>
      <c r="U160" s="74"/>
      <c r="V160" s="74">
        <v>1</v>
      </c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  <c r="AM160" s="74"/>
      <c r="AN160" s="74"/>
      <c r="AO160" s="74"/>
      <c r="AP160" s="74"/>
      <c r="AQ160" s="74"/>
      <c r="AR160" s="74"/>
      <c r="AS160" s="74"/>
      <c r="AT160" s="74"/>
      <c r="AU160" s="74"/>
      <c r="AV160" s="52" t="s">
        <v>47</v>
      </c>
      <c r="AW160" s="52" t="s">
        <v>100</v>
      </c>
      <c r="AX160" s="52" t="s">
        <v>47</v>
      </c>
      <c r="AY160" s="52" t="s">
        <v>47</v>
      </c>
    </row>
    <row r="161" spans="1:51" ht="30" customHeight="1" x14ac:dyDescent="0.3">
      <c r="A161" s="33" t="s">
        <v>211</v>
      </c>
      <c r="B161" s="33" t="s">
        <v>212</v>
      </c>
      <c r="C161" s="48" t="s">
        <v>101</v>
      </c>
      <c r="D161" s="57">
        <v>0.02</v>
      </c>
      <c r="E161" s="58"/>
      <c r="F161" s="59"/>
      <c r="G161" s="58"/>
      <c r="H161" s="59"/>
      <c r="I161" s="58"/>
      <c r="J161" s="59"/>
      <c r="K161" s="58"/>
      <c r="L161" s="59"/>
      <c r="M161" s="33" t="s">
        <v>47</v>
      </c>
      <c r="N161" s="52" t="s">
        <v>57</v>
      </c>
      <c r="O161" s="52" t="s">
        <v>99</v>
      </c>
      <c r="P161" s="52" t="s">
        <v>50</v>
      </c>
      <c r="Q161" s="52" t="s">
        <v>50</v>
      </c>
      <c r="R161" s="52" t="s">
        <v>51</v>
      </c>
      <c r="S161" s="74"/>
      <c r="T161" s="74"/>
      <c r="U161" s="74"/>
      <c r="V161" s="74">
        <v>1</v>
      </c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  <c r="AM161" s="74"/>
      <c r="AN161" s="74"/>
      <c r="AO161" s="74"/>
      <c r="AP161" s="74"/>
      <c r="AQ161" s="74"/>
      <c r="AR161" s="74"/>
      <c r="AS161" s="74"/>
      <c r="AT161" s="74"/>
      <c r="AU161" s="74"/>
      <c r="AV161" s="52" t="s">
        <v>47</v>
      </c>
      <c r="AW161" s="52" t="s">
        <v>100</v>
      </c>
      <c r="AX161" s="52" t="s">
        <v>47</v>
      </c>
      <c r="AY161" s="52" t="s">
        <v>47</v>
      </c>
    </row>
    <row r="162" spans="1:51" ht="30" customHeight="1" x14ac:dyDescent="0.3">
      <c r="A162" s="33" t="s">
        <v>214</v>
      </c>
      <c r="B162" s="33" t="s">
        <v>103</v>
      </c>
      <c r="C162" s="48" t="s">
        <v>104</v>
      </c>
      <c r="D162" s="76">
        <f>0.034</f>
        <v>3.4000000000000002E-2</v>
      </c>
      <c r="E162" s="58"/>
      <c r="F162" s="59"/>
      <c r="G162" s="58"/>
      <c r="H162" s="59"/>
      <c r="I162" s="58"/>
      <c r="J162" s="59"/>
      <c r="K162" s="58"/>
      <c r="L162" s="59"/>
      <c r="M162" s="33"/>
      <c r="N162" s="52" t="s">
        <v>57</v>
      </c>
      <c r="O162" s="52" t="s">
        <v>105</v>
      </c>
      <c r="P162" s="52" t="s">
        <v>50</v>
      </c>
      <c r="Q162" s="52" t="s">
        <v>50</v>
      </c>
      <c r="R162" s="52" t="s">
        <v>51</v>
      </c>
      <c r="S162" s="74"/>
      <c r="T162" s="74"/>
      <c r="U162" s="74"/>
      <c r="V162" s="74"/>
      <c r="W162" s="74">
        <v>2</v>
      </c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  <c r="AM162" s="74"/>
      <c r="AN162" s="74"/>
      <c r="AO162" s="74"/>
      <c r="AP162" s="74"/>
      <c r="AQ162" s="74"/>
      <c r="AR162" s="74"/>
      <c r="AS162" s="74"/>
      <c r="AT162" s="74"/>
      <c r="AU162" s="74"/>
      <c r="AV162" s="52" t="s">
        <v>47</v>
      </c>
      <c r="AW162" s="52" t="s">
        <v>106</v>
      </c>
      <c r="AX162" s="52" t="s">
        <v>47</v>
      </c>
      <c r="AY162" s="52" t="s">
        <v>47</v>
      </c>
    </row>
    <row r="163" spans="1:51" ht="30" customHeight="1" x14ac:dyDescent="0.3">
      <c r="A163" s="33" t="s">
        <v>107</v>
      </c>
      <c r="B163" s="33" t="s">
        <v>108</v>
      </c>
      <c r="C163" s="48" t="s">
        <v>101</v>
      </c>
      <c r="D163" s="57">
        <v>1</v>
      </c>
      <c r="E163" s="58"/>
      <c r="F163" s="59"/>
      <c r="G163" s="58"/>
      <c r="H163" s="59"/>
      <c r="I163" s="58"/>
      <c r="J163" s="59"/>
      <c r="K163" s="58"/>
      <c r="L163" s="59"/>
      <c r="M163" s="33" t="s">
        <v>47</v>
      </c>
      <c r="N163" s="52" t="s">
        <v>57</v>
      </c>
      <c r="O163" s="52" t="s">
        <v>109</v>
      </c>
      <c r="P163" s="52" t="s">
        <v>50</v>
      </c>
      <c r="Q163" s="52" t="s">
        <v>50</v>
      </c>
      <c r="R163" s="52" t="s">
        <v>50</v>
      </c>
      <c r="S163" s="74">
        <v>1</v>
      </c>
      <c r="T163" s="74">
        <v>0</v>
      </c>
      <c r="U163" s="74">
        <v>0.03</v>
      </c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  <c r="AM163" s="74"/>
      <c r="AN163" s="74"/>
      <c r="AO163" s="74"/>
      <c r="AP163" s="74"/>
      <c r="AQ163" s="74"/>
      <c r="AR163" s="74"/>
      <c r="AS163" s="74"/>
      <c r="AT163" s="74"/>
      <c r="AU163" s="74"/>
      <c r="AV163" s="52" t="s">
        <v>47</v>
      </c>
      <c r="AW163" s="52" t="s">
        <v>110</v>
      </c>
      <c r="AX163" s="52" t="s">
        <v>47</v>
      </c>
      <c r="AY163" s="52" t="s">
        <v>47</v>
      </c>
    </row>
    <row r="164" spans="1:51" ht="30" customHeight="1" x14ac:dyDescent="0.3">
      <c r="A164" s="33" t="s">
        <v>111</v>
      </c>
      <c r="B164" s="33" t="s">
        <v>47</v>
      </c>
      <c r="C164" s="48" t="s">
        <v>47</v>
      </c>
      <c r="D164" s="57"/>
      <c r="E164" s="58"/>
      <c r="F164" s="59">
        <f>TRUNC(SUMIF(N160:N163, N159, F160:F163),0)</f>
        <v>0</v>
      </c>
      <c r="G164" s="58"/>
      <c r="H164" s="59">
        <f>TRUNC(SUMIF(N160:N163, N159, H160:H163),0)</f>
        <v>0</v>
      </c>
      <c r="I164" s="58"/>
      <c r="J164" s="59">
        <f>TRUNC(SUMIF(N160:N163, N159, J160:J163),0)</f>
        <v>0</v>
      </c>
      <c r="K164" s="58"/>
      <c r="L164" s="59">
        <f>F164+H164+J164</f>
        <v>0</v>
      </c>
      <c r="M164" s="33" t="s">
        <v>47</v>
      </c>
      <c r="N164" s="52" t="s">
        <v>81</v>
      </c>
      <c r="O164" s="52" t="s">
        <v>81</v>
      </c>
      <c r="P164" s="52" t="s">
        <v>47</v>
      </c>
      <c r="Q164" s="52" t="s">
        <v>47</v>
      </c>
      <c r="R164" s="52" t="s">
        <v>47</v>
      </c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  <c r="AM164" s="74"/>
      <c r="AN164" s="74"/>
      <c r="AO164" s="74"/>
      <c r="AP164" s="74"/>
      <c r="AQ164" s="74"/>
      <c r="AR164" s="74"/>
      <c r="AS164" s="74"/>
      <c r="AT164" s="74"/>
      <c r="AU164" s="74"/>
      <c r="AV164" s="52" t="s">
        <v>47</v>
      </c>
      <c r="AW164" s="52" t="s">
        <v>47</v>
      </c>
      <c r="AX164" s="52" t="s">
        <v>47</v>
      </c>
      <c r="AY164" s="52" t="s">
        <v>47</v>
      </c>
    </row>
    <row r="165" spans="1:51" ht="30" customHeight="1" x14ac:dyDescent="0.3">
      <c r="A165" s="57"/>
      <c r="B165" s="57"/>
      <c r="C165" s="49"/>
      <c r="D165" s="57"/>
      <c r="E165" s="58"/>
      <c r="F165" s="59"/>
      <c r="G165" s="58"/>
      <c r="H165" s="59"/>
      <c r="I165" s="58"/>
      <c r="J165" s="59"/>
      <c r="K165" s="58"/>
      <c r="L165" s="59"/>
      <c r="M165" s="57"/>
    </row>
    <row r="166" spans="1:51" ht="30" customHeight="1" x14ac:dyDescent="0.3">
      <c r="A166" s="104" t="e">
        <f>A167&amp;"  "&amp;B167&amp;"  "&amp; C167&amp;"     ( 호표 25 )"</f>
        <v>#REF!</v>
      </c>
      <c r="B166" s="104"/>
      <c r="C166" s="104"/>
      <c r="D166" s="104"/>
      <c r="E166" s="105"/>
      <c r="F166" s="106"/>
      <c r="G166" s="105"/>
      <c r="H166" s="106"/>
      <c r="I166" s="105"/>
      <c r="J166" s="106"/>
      <c r="K166" s="105"/>
      <c r="L166" s="106"/>
      <c r="M166" s="104"/>
      <c r="N166" s="72" t="s">
        <v>57</v>
      </c>
    </row>
    <row r="167" spans="1:51" ht="30" customHeight="1" x14ac:dyDescent="0.3">
      <c r="A167" s="33" t="s">
        <v>213</v>
      </c>
      <c r="B167" s="33" t="e">
        <f>#REF!</f>
        <v>#REF!</v>
      </c>
      <c r="C167" s="48" t="e">
        <f>#REF!</f>
        <v>#REF!</v>
      </c>
      <c r="D167" s="57">
        <v>1.05</v>
      </c>
      <c r="E167" s="58"/>
      <c r="F167" s="59"/>
      <c r="G167" s="58"/>
      <c r="H167" s="59"/>
      <c r="I167" s="58"/>
      <c r="J167" s="59"/>
      <c r="K167" s="58"/>
      <c r="L167" s="59"/>
      <c r="M167" s="33" t="s">
        <v>47</v>
      </c>
      <c r="N167" s="52" t="s">
        <v>57</v>
      </c>
      <c r="O167" s="52" t="s">
        <v>99</v>
      </c>
      <c r="P167" s="52" t="s">
        <v>50</v>
      </c>
      <c r="Q167" s="52" t="s">
        <v>50</v>
      </c>
      <c r="R167" s="52" t="s">
        <v>51</v>
      </c>
      <c r="S167" s="74"/>
      <c r="T167" s="74"/>
      <c r="U167" s="74"/>
      <c r="V167" s="74">
        <v>1</v>
      </c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  <c r="AM167" s="74"/>
      <c r="AN167" s="74"/>
      <c r="AO167" s="74"/>
      <c r="AP167" s="74"/>
      <c r="AQ167" s="74"/>
      <c r="AR167" s="74"/>
      <c r="AS167" s="74"/>
      <c r="AT167" s="74"/>
      <c r="AU167" s="74"/>
      <c r="AV167" s="52" t="s">
        <v>47</v>
      </c>
      <c r="AW167" s="52" t="s">
        <v>100</v>
      </c>
      <c r="AX167" s="52" t="s">
        <v>47</v>
      </c>
      <c r="AY167" s="52" t="s">
        <v>47</v>
      </c>
    </row>
    <row r="168" spans="1:51" ht="30" customHeight="1" x14ac:dyDescent="0.3">
      <c r="A168" s="33" t="s">
        <v>211</v>
      </c>
      <c r="B168" s="33" t="s">
        <v>212</v>
      </c>
      <c r="C168" s="48" t="s">
        <v>101</v>
      </c>
      <c r="D168" s="57">
        <v>0.02</v>
      </c>
      <c r="E168" s="58"/>
      <c r="F168" s="59"/>
      <c r="G168" s="58"/>
      <c r="H168" s="59"/>
      <c r="I168" s="58"/>
      <c r="J168" s="59"/>
      <c r="K168" s="58"/>
      <c r="L168" s="59"/>
      <c r="M168" s="33" t="s">
        <v>47</v>
      </c>
      <c r="N168" s="52" t="s">
        <v>57</v>
      </c>
      <c r="O168" s="52" t="s">
        <v>99</v>
      </c>
      <c r="P168" s="52" t="s">
        <v>50</v>
      </c>
      <c r="Q168" s="52" t="s">
        <v>50</v>
      </c>
      <c r="R168" s="52" t="s">
        <v>51</v>
      </c>
      <c r="S168" s="74"/>
      <c r="T168" s="74"/>
      <c r="U168" s="74"/>
      <c r="V168" s="74">
        <v>1</v>
      </c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  <c r="AM168" s="74"/>
      <c r="AN168" s="74"/>
      <c r="AO168" s="74"/>
      <c r="AP168" s="74"/>
      <c r="AQ168" s="74"/>
      <c r="AR168" s="74"/>
      <c r="AS168" s="74"/>
      <c r="AT168" s="74"/>
      <c r="AU168" s="74"/>
      <c r="AV168" s="52" t="s">
        <v>47</v>
      </c>
      <c r="AW168" s="52" t="s">
        <v>100</v>
      </c>
      <c r="AX168" s="52" t="s">
        <v>47</v>
      </c>
      <c r="AY168" s="52" t="s">
        <v>47</v>
      </c>
    </row>
    <row r="169" spans="1:51" ht="30" customHeight="1" x14ac:dyDescent="0.3">
      <c r="A169" s="33" t="s">
        <v>214</v>
      </c>
      <c r="B169" s="33" t="s">
        <v>103</v>
      </c>
      <c r="C169" s="48" t="s">
        <v>104</v>
      </c>
      <c r="D169" s="76">
        <f>0.022</f>
        <v>2.1999999999999999E-2</v>
      </c>
      <c r="E169" s="58"/>
      <c r="F169" s="59"/>
      <c r="G169" s="58"/>
      <c r="H169" s="59"/>
      <c r="I169" s="58"/>
      <c r="J169" s="59"/>
      <c r="K169" s="58"/>
      <c r="L169" s="59"/>
      <c r="M169" s="33"/>
      <c r="N169" s="52" t="s">
        <v>57</v>
      </c>
      <c r="O169" s="52" t="s">
        <v>105</v>
      </c>
      <c r="P169" s="52" t="s">
        <v>50</v>
      </c>
      <c r="Q169" s="52" t="s">
        <v>50</v>
      </c>
      <c r="R169" s="52" t="s">
        <v>51</v>
      </c>
      <c r="S169" s="74"/>
      <c r="T169" s="74"/>
      <c r="U169" s="74"/>
      <c r="V169" s="74"/>
      <c r="W169" s="74">
        <v>2</v>
      </c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  <c r="AM169" s="74"/>
      <c r="AN169" s="74"/>
      <c r="AO169" s="74"/>
      <c r="AP169" s="74"/>
      <c r="AQ169" s="74"/>
      <c r="AR169" s="74"/>
      <c r="AS169" s="74"/>
      <c r="AT169" s="74"/>
      <c r="AU169" s="74"/>
      <c r="AV169" s="52" t="s">
        <v>47</v>
      </c>
      <c r="AW169" s="52" t="s">
        <v>106</v>
      </c>
      <c r="AX169" s="52" t="s">
        <v>47</v>
      </c>
      <c r="AY169" s="52" t="s">
        <v>47</v>
      </c>
    </row>
    <row r="170" spans="1:51" ht="30" customHeight="1" x14ac:dyDescent="0.3">
      <c r="A170" s="33" t="s">
        <v>107</v>
      </c>
      <c r="B170" s="33" t="s">
        <v>108</v>
      </c>
      <c r="C170" s="48" t="s">
        <v>101</v>
      </c>
      <c r="D170" s="57">
        <v>1</v>
      </c>
      <c r="E170" s="58"/>
      <c r="F170" s="59"/>
      <c r="G170" s="58"/>
      <c r="H170" s="59"/>
      <c r="I170" s="58"/>
      <c r="J170" s="59"/>
      <c r="K170" s="58"/>
      <c r="L170" s="59"/>
      <c r="M170" s="33" t="s">
        <v>47</v>
      </c>
      <c r="N170" s="52" t="s">
        <v>57</v>
      </c>
      <c r="O170" s="52" t="s">
        <v>109</v>
      </c>
      <c r="P170" s="52" t="s">
        <v>50</v>
      </c>
      <c r="Q170" s="52" t="s">
        <v>50</v>
      </c>
      <c r="R170" s="52" t="s">
        <v>50</v>
      </c>
      <c r="S170" s="74">
        <v>1</v>
      </c>
      <c r="T170" s="74">
        <v>0</v>
      </c>
      <c r="U170" s="74">
        <v>0.03</v>
      </c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  <c r="AM170" s="74"/>
      <c r="AN170" s="74"/>
      <c r="AO170" s="74"/>
      <c r="AP170" s="74"/>
      <c r="AQ170" s="74"/>
      <c r="AR170" s="74"/>
      <c r="AS170" s="74"/>
      <c r="AT170" s="74"/>
      <c r="AU170" s="74"/>
      <c r="AV170" s="52" t="s">
        <v>47</v>
      </c>
      <c r="AW170" s="52" t="s">
        <v>110</v>
      </c>
      <c r="AX170" s="52" t="s">
        <v>47</v>
      </c>
      <c r="AY170" s="52" t="s">
        <v>47</v>
      </c>
    </row>
    <row r="171" spans="1:51" ht="30" customHeight="1" x14ac:dyDescent="0.3">
      <c r="A171" s="33" t="s">
        <v>111</v>
      </c>
      <c r="B171" s="33" t="s">
        <v>47</v>
      </c>
      <c r="C171" s="48" t="s">
        <v>47</v>
      </c>
      <c r="D171" s="57"/>
      <c r="E171" s="58"/>
      <c r="F171" s="59">
        <f>TRUNC(SUMIF(N167:N170, N166, F167:F170),0)</f>
        <v>0</v>
      </c>
      <c r="G171" s="58"/>
      <c r="H171" s="59">
        <f>TRUNC(SUMIF(N167:N170, N166, H167:H170),0)</f>
        <v>0</v>
      </c>
      <c r="I171" s="58"/>
      <c r="J171" s="59">
        <f>TRUNC(SUMIF(N167:N170, N166, J167:J170),0)</f>
        <v>0</v>
      </c>
      <c r="K171" s="58"/>
      <c r="L171" s="59">
        <f>F171+H171+J171</f>
        <v>0</v>
      </c>
      <c r="M171" s="33" t="s">
        <v>47</v>
      </c>
      <c r="N171" s="52" t="s">
        <v>81</v>
      </c>
      <c r="O171" s="52" t="s">
        <v>81</v>
      </c>
      <c r="P171" s="52" t="s">
        <v>47</v>
      </c>
      <c r="Q171" s="52" t="s">
        <v>47</v>
      </c>
      <c r="R171" s="52" t="s">
        <v>47</v>
      </c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  <c r="AM171" s="74"/>
      <c r="AN171" s="74"/>
      <c r="AO171" s="74"/>
      <c r="AP171" s="74"/>
      <c r="AQ171" s="74"/>
      <c r="AR171" s="74"/>
      <c r="AS171" s="74"/>
      <c r="AT171" s="74"/>
      <c r="AU171" s="74"/>
      <c r="AV171" s="52" t="s">
        <v>47</v>
      </c>
      <c r="AW171" s="52" t="s">
        <v>47</v>
      </c>
      <c r="AX171" s="52" t="s">
        <v>47</v>
      </c>
      <c r="AY171" s="52" t="s">
        <v>47</v>
      </c>
    </row>
    <row r="172" spans="1:51" ht="30" customHeight="1" x14ac:dyDescent="0.3">
      <c r="A172" s="57"/>
      <c r="B172" s="57"/>
      <c r="C172" s="49"/>
      <c r="D172" s="57"/>
      <c r="E172" s="58"/>
      <c r="F172" s="59"/>
      <c r="G172" s="58"/>
      <c r="H172" s="59"/>
      <c r="I172" s="58"/>
      <c r="J172" s="59"/>
      <c r="K172" s="58"/>
      <c r="L172" s="59"/>
      <c r="M172" s="57"/>
    </row>
    <row r="173" spans="1:51" ht="30" customHeight="1" x14ac:dyDescent="0.3">
      <c r="A173" s="104" t="e">
        <f>A174&amp;"  "&amp;B174&amp;"  "&amp; C174&amp;"     ( 호표 26 )"</f>
        <v>#REF!</v>
      </c>
      <c r="B173" s="104"/>
      <c r="C173" s="104"/>
      <c r="D173" s="104"/>
      <c r="E173" s="105"/>
      <c r="F173" s="106"/>
      <c r="G173" s="105"/>
      <c r="H173" s="106"/>
      <c r="I173" s="105"/>
      <c r="J173" s="106"/>
      <c r="K173" s="105"/>
      <c r="L173" s="106"/>
      <c r="M173" s="104"/>
      <c r="N173" s="72" t="s">
        <v>57</v>
      </c>
    </row>
    <row r="174" spans="1:51" ht="30" customHeight="1" x14ac:dyDescent="0.3">
      <c r="A174" s="33" t="s">
        <v>213</v>
      </c>
      <c r="B174" s="33" t="e">
        <f>#REF!</f>
        <v>#REF!</v>
      </c>
      <c r="C174" s="48" t="e">
        <f>#REF!</f>
        <v>#REF!</v>
      </c>
      <c r="D174" s="57">
        <v>1.05</v>
      </c>
      <c r="E174" s="58"/>
      <c r="F174" s="59"/>
      <c r="G174" s="58"/>
      <c r="H174" s="59"/>
      <c r="I174" s="58"/>
      <c r="J174" s="59"/>
      <c r="K174" s="58"/>
      <c r="L174" s="59"/>
      <c r="M174" s="33" t="s">
        <v>47</v>
      </c>
      <c r="N174" s="52" t="s">
        <v>57</v>
      </c>
      <c r="O174" s="52" t="s">
        <v>99</v>
      </c>
      <c r="P174" s="52" t="s">
        <v>50</v>
      </c>
      <c r="Q174" s="52" t="s">
        <v>50</v>
      </c>
      <c r="R174" s="52" t="s">
        <v>51</v>
      </c>
      <c r="S174" s="74"/>
      <c r="T174" s="74"/>
      <c r="U174" s="74"/>
      <c r="V174" s="74">
        <v>1</v>
      </c>
      <c r="W174" s="74"/>
      <c r="X174" s="74"/>
      <c r="Y174" s="74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  <c r="AM174" s="74"/>
      <c r="AN174" s="74"/>
      <c r="AO174" s="74"/>
      <c r="AP174" s="74"/>
      <c r="AQ174" s="74"/>
      <c r="AR174" s="74"/>
      <c r="AS174" s="74"/>
      <c r="AT174" s="74"/>
      <c r="AU174" s="74"/>
      <c r="AV174" s="52" t="s">
        <v>47</v>
      </c>
      <c r="AW174" s="52" t="s">
        <v>100</v>
      </c>
      <c r="AX174" s="52" t="s">
        <v>47</v>
      </c>
      <c r="AY174" s="52" t="s">
        <v>47</v>
      </c>
    </row>
    <row r="175" spans="1:51" ht="30" customHeight="1" x14ac:dyDescent="0.3">
      <c r="A175" s="33" t="s">
        <v>211</v>
      </c>
      <c r="B175" s="33" t="s">
        <v>212</v>
      </c>
      <c r="C175" s="48" t="s">
        <v>101</v>
      </c>
      <c r="D175" s="57">
        <v>0.02</v>
      </c>
      <c r="E175" s="58"/>
      <c r="F175" s="59"/>
      <c r="G175" s="58"/>
      <c r="H175" s="59"/>
      <c r="I175" s="58"/>
      <c r="J175" s="59"/>
      <c r="K175" s="58"/>
      <c r="L175" s="59"/>
      <c r="M175" s="33" t="s">
        <v>47</v>
      </c>
      <c r="N175" s="52" t="s">
        <v>57</v>
      </c>
      <c r="O175" s="52" t="s">
        <v>99</v>
      </c>
      <c r="P175" s="52" t="s">
        <v>50</v>
      </c>
      <c r="Q175" s="52" t="s">
        <v>50</v>
      </c>
      <c r="R175" s="52" t="s">
        <v>51</v>
      </c>
      <c r="S175" s="74"/>
      <c r="T175" s="74"/>
      <c r="U175" s="74"/>
      <c r="V175" s="74">
        <v>1</v>
      </c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  <c r="AM175" s="74"/>
      <c r="AN175" s="74"/>
      <c r="AO175" s="74"/>
      <c r="AP175" s="74"/>
      <c r="AQ175" s="74"/>
      <c r="AR175" s="74"/>
      <c r="AS175" s="74"/>
      <c r="AT175" s="74"/>
      <c r="AU175" s="74"/>
      <c r="AV175" s="52" t="s">
        <v>47</v>
      </c>
      <c r="AW175" s="52" t="s">
        <v>100</v>
      </c>
      <c r="AX175" s="52" t="s">
        <v>47</v>
      </c>
      <c r="AY175" s="52" t="s">
        <v>47</v>
      </c>
    </row>
    <row r="176" spans="1:51" ht="30" customHeight="1" x14ac:dyDescent="0.3">
      <c r="A176" s="33" t="s">
        <v>214</v>
      </c>
      <c r="B176" s="33" t="s">
        <v>103</v>
      </c>
      <c r="C176" s="48" t="s">
        <v>104</v>
      </c>
      <c r="D176" s="76">
        <f>0.019</f>
        <v>1.9E-2</v>
      </c>
      <c r="E176" s="58"/>
      <c r="F176" s="59"/>
      <c r="G176" s="58"/>
      <c r="H176" s="59"/>
      <c r="I176" s="58"/>
      <c r="J176" s="59"/>
      <c r="K176" s="58"/>
      <c r="L176" s="59"/>
      <c r="M176" s="33"/>
      <c r="N176" s="52" t="s">
        <v>57</v>
      </c>
      <c r="O176" s="52" t="s">
        <v>105</v>
      </c>
      <c r="P176" s="52" t="s">
        <v>50</v>
      </c>
      <c r="Q176" s="52" t="s">
        <v>50</v>
      </c>
      <c r="R176" s="52" t="s">
        <v>51</v>
      </c>
      <c r="S176" s="74"/>
      <c r="T176" s="74"/>
      <c r="U176" s="74"/>
      <c r="V176" s="74"/>
      <c r="W176" s="74">
        <v>2</v>
      </c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  <c r="AM176" s="74"/>
      <c r="AN176" s="74"/>
      <c r="AO176" s="74"/>
      <c r="AP176" s="74"/>
      <c r="AQ176" s="74"/>
      <c r="AR176" s="74"/>
      <c r="AS176" s="74"/>
      <c r="AT176" s="74"/>
      <c r="AU176" s="74"/>
      <c r="AV176" s="52" t="s">
        <v>47</v>
      </c>
      <c r="AW176" s="52" t="s">
        <v>106</v>
      </c>
      <c r="AX176" s="52" t="s">
        <v>47</v>
      </c>
      <c r="AY176" s="52" t="s">
        <v>47</v>
      </c>
    </row>
    <row r="177" spans="1:51" ht="30" customHeight="1" x14ac:dyDescent="0.3">
      <c r="A177" s="33" t="s">
        <v>107</v>
      </c>
      <c r="B177" s="33" t="s">
        <v>108</v>
      </c>
      <c r="C177" s="48" t="s">
        <v>101</v>
      </c>
      <c r="D177" s="57">
        <v>1</v>
      </c>
      <c r="E177" s="58"/>
      <c r="F177" s="59"/>
      <c r="G177" s="58"/>
      <c r="H177" s="59"/>
      <c r="I177" s="58"/>
      <c r="J177" s="59"/>
      <c r="K177" s="58"/>
      <c r="L177" s="59"/>
      <c r="M177" s="33" t="s">
        <v>47</v>
      </c>
      <c r="N177" s="52" t="s">
        <v>57</v>
      </c>
      <c r="O177" s="52" t="s">
        <v>109</v>
      </c>
      <c r="P177" s="52" t="s">
        <v>50</v>
      </c>
      <c r="Q177" s="52" t="s">
        <v>50</v>
      </c>
      <c r="R177" s="52" t="s">
        <v>50</v>
      </c>
      <c r="S177" s="74">
        <v>1</v>
      </c>
      <c r="T177" s="74">
        <v>0</v>
      </c>
      <c r="U177" s="74">
        <v>0.03</v>
      </c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  <c r="AL177" s="74"/>
      <c r="AM177" s="74"/>
      <c r="AN177" s="74"/>
      <c r="AO177" s="74"/>
      <c r="AP177" s="74"/>
      <c r="AQ177" s="74"/>
      <c r="AR177" s="74"/>
      <c r="AS177" s="74"/>
      <c r="AT177" s="74"/>
      <c r="AU177" s="74"/>
      <c r="AV177" s="52" t="s">
        <v>47</v>
      </c>
      <c r="AW177" s="52" t="s">
        <v>110</v>
      </c>
      <c r="AX177" s="52" t="s">
        <v>47</v>
      </c>
      <c r="AY177" s="52" t="s">
        <v>47</v>
      </c>
    </row>
    <row r="178" spans="1:51" ht="30" customHeight="1" x14ac:dyDescent="0.3">
      <c r="A178" s="33" t="s">
        <v>111</v>
      </c>
      <c r="B178" s="33" t="s">
        <v>47</v>
      </c>
      <c r="C178" s="48" t="s">
        <v>47</v>
      </c>
      <c r="D178" s="57"/>
      <c r="E178" s="58"/>
      <c r="F178" s="59">
        <f>TRUNC(SUMIF(N174:N177, N173, F174:F177),0)</f>
        <v>0</v>
      </c>
      <c r="G178" s="58"/>
      <c r="H178" s="59">
        <f>TRUNC(SUMIF(N174:N177, N173, H174:H177),0)</f>
        <v>0</v>
      </c>
      <c r="I178" s="58"/>
      <c r="J178" s="59">
        <f>TRUNC(SUMIF(N174:N177, N173, J174:J177),0)</f>
        <v>0</v>
      </c>
      <c r="K178" s="58"/>
      <c r="L178" s="59">
        <f>F178+H178+J178</f>
        <v>0</v>
      </c>
      <c r="M178" s="33" t="s">
        <v>47</v>
      </c>
      <c r="N178" s="52" t="s">
        <v>81</v>
      </c>
      <c r="O178" s="52" t="s">
        <v>81</v>
      </c>
      <c r="P178" s="52" t="s">
        <v>47</v>
      </c>
      <c r="Q178" s="52" t="s">
        <v>47</v>
      </c>
      <c r="R178" s="52" t="s">
        <v>47</v>
      </c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  <c r="AE178" s="74"/>
      <c r="AF178" s="74"/>
      <c r="AG178" s="74"/>
      <c r="AH178" s="74"/>
      <c r="AI178" s="74"/>
      <c r="AJ178" s="74"/>
      <c r="AK178" s="74"/>
      <c r="AL178" s="74"/>
      <c r="AM178" s="74"/>
      <c r="AN178" s="74"/>
      <c r="AO178" s="74"/>
      <c r="AP178" s="74"/>
      <c r="AQ178" s="74"/>
      <c r="AR178" s="74"/>
      <c r="AS178" s="74"/>
      <c r="AT178" s="74"/>
      <c r="AU178" s="74"/>
      <c r="AV178" s="52" t="s">
        <v>47</v>
      </c>
      <c r="AW178" s="52" t="s">
        <v>47</v>
      </c>
      <c r="AX178" s="52" t="s">
        <v>47</v>
      </c>
      <c r="AY178" s="52" t="s">
        <v>47</v>
      </c>
    </row>
    <row r="179" spans="1:51" ht="30" customHeight="1" x14ac:dyDescent="0.3">
      <c r="A179" s="57"/>
      <c r="B179" s="57"/>
      <c r="C179" s="49"/>
      <c r="D179" s="57"/>
      <c r="E179" s="58"/>
      <c r="F179" s="59"/>
      <c r="G179" s="58"/>
      <c r="H179" s="59"/>
      <c r="I179" s="58"/>
      <c r="J179" s="59"/>
      <c r="K179" s="58"/>
      <c r="L179" s="59"/>
      <c r="M179" s="57"/>
    </row>
    <row r="180" spans="1:51" ht="30" customHeight="1" x14ac:dyDescent="0.3">
      <c r="A180" s="104" t="e">
        <f>A181&amp;"  "&amp;B181&amp;"  "&amp; C181&amp;"     ( 호표 27 )"</f>
        <v>#REF!</v>
      </c>
      <c r="B180" s="104"/>
      <c r="C180" s="104"/>
      <c r="D180" s="104"/>
      <c r="E180" s="105"/>
      <c r="F180" s="106"/>
      <c r="G180" s="105"/>
      <c r="H180" s="106"/>
      <c r="I180" s="105"/>
      <c r="J180" s="106"/>
      <c r="K180" s="105"/>
      <c r="L180" s="106"/>
      <c r="M180" s="104"/>
      <c r="N180" s="72" t="s">
        <v>57</v>
      </c>
    </row>
    <row r="181" spans="1:51" ht="30" customHeight="1" x14ac:dyDescent="0.3">
      <c r="A181" s="33" t="s">
        <v>266</v>
      </c>
      <c r="B181" s="33" t="e">
        <f>#REF!</f>
        <v>#REF!</v>
      </c>
      <c r="C181" s="48" t="e">
        <f>#REF!</f>
        <v>#REF!</v>
      </c>
      <c r="D181" s="57">
        <v>1.05</v>
      </c>
      <c r="E181" s="58"/>
      <c r="F181" s="59"/>
      <c r="G181" s="58"/>
      <c r="H181" s="59"/>
      <c r="I181" s="58"/>
      <c r="J181" s="59"/>
      <c r="K181" s="58"/>
      <c r="L181" s="59"/>
      <c r="M181" s="33" t="s">
        <v>47</v>
      </c>
      <c r="N181" s="52" t="s">
        <v>57</v>
      </c>
      <c r="O181" s="52" t="s">
        <v>99</v>
      </c>
      <c r="P181" s="52" t="s">
        <v>50</v>
      </c>
      <c r="Q181" s="52" t="s">
        <v>50</v>
      </c>
      <c r="R181" s="52" t="s">
        <v>51</v>
      </c>
      <c r="S181" s="74"/>
      <c r="T181" s="74"/>
      <c r="U181" s="74"/>
      <c r="V181" s="74">
        <v>1</v>
      </c>
      <c r="W181" s="74"/>
      <c r="X181" s="74"/>
      <c r="Y181" s="74"/>
      <c r="Z181" s="74"/>
      <c r="AA181" s="74"/>
      <c r="AB181" s="74"/>
      <c r="AC181" s="74"/>
      <c r="AD181" s="74"/>
      <c r="AE181" s="74"/>
      <c r="AF181" s="74"/>
      <c r="AG181" s="74"/>
      <c r="AH181" s="74"/>
      <c r="AI181" s="74"/>
      <c r="AJ181" s="74"/>
      <c r="AK181" s="74"/>
      <c r="AL181" s="74"/>
      <c r="AM181" s="74"/>
      <c r="AN181" s="74"/>
      <c r="AO181" s="74"/>
      <c r="AP181" s="74"/>
      <c r="AQ181" s="74"/>
      <c r="AR181" s="74"/>
      <c r="AS181" s="74"/>
      <c r="AT181" s="74"/>
      <c r="AU181" s="74"/>
      <c r="AV181" s="52" t="s">
        <v>47</v>
      </c>
      <c r="AW181" s="52" t="s">
        <v>100</v>
      </c>
      <c r="AX181" s="52" t="s">
        <v>47</v>
      </c>
      <c r="AY181" s="52" t="s">
        <v>47</v>
      </c>
    </row>
    <row r="182" spans="1:51" ht="30" customHeight="1" x14ac:dyDescent="0.3">
      <c r="A182" s="33" t="s">
        <v>211</v>
      </c>
      <c r="B182" s="33" t="s">
        <v>212</v>
      </c>
      <c r="C182" s="48" t="s">
        <v>101</v>
      </c>
      <c r="D182" s="57">
        <v>0.02</v>
      </c>
      <c r="E182" s="58"/>
      <c r="F182" s="59"/>
      <c r="G182" s="58"/>
      <c r="H182" s="59"/>
      <c r="I182" s="58"/>
      <c r="J182" s="59"/>
      <c r="K182" s="58"/>
      <c r="L182" s="59"/>
      <c r="M182" s="33" t="s">
        <v>47</v>
      </c>
      <c r="N182" s="52" t="s">
        <v>57</v>
      </c>
      <c r="O182" s="52" t="s">
        <v>99</v>
      </c>
      <c r="P182" s="52" t="s">
        <v>50</v>
      </c>
      <c r="Q182" s="52" t="s">
        <v>50</v>
      </c>
      <c r="R182" s="52" t="s">
        <v>51</v>
      </c>
      <c r="S182" s="74"/>
      <c r="T182" s="74"/>
      <c r="U182" s="74"/>
      <c r="V182" s="74">
        <v>1</v>
      </c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  <c r="AH182" s="74"/>
      <c r="AI182" s="74"/>
      <c r="AJ182" s="74"/>
      <c r="AK182" s="74"/>
      <c r="AL182" s="74"/>
      <c r="AM182" s="74"/>
      <c r="AN182" s="74"/>
      <c r="AO182" s="74"/>
      <c r="AP182" s="74"/>
      <c r="AQ182" s="74"/>
      <c r="AR182" s="74"/>
      <c r="AS182" s="74"/>
      <c r="AT182" s="74"/>
      <c r="AU182" s="74"/>
      <c r="AV182" s="52" t="s">
        <v>47</v>
      </c>
      <c r="AW182" s="52" t="s">
        <v>100</v>
      </c>
      <c r="AX182" s="52" t="s">
        <v>47</v>
      </c>
      <c r="AY182" s="52" t="s">
        <v>47</v>
      </c>
    </row>
    <row r="183" spans="1:51" ht="30" customHeight="1" x14ac:dyDescent="0.3">
      <c r="A183" s="33" t="s">
        <v>312</v>
      </c>
      <c r="B183" s="33" t="s">
        <v>103</v>
      </c>
      <c r="C183" s="48" t="s">
        <v>104</v>
      </c>
      <c r="D183" s="76">
        <f>0.15/10</f>
        <v>1.4999999999999999E-2</v>
      </c>
      <c r="E183" s="58"/>
      <c r="F183" s="59"/>
      <c r="G183" s="58"/>
      <c r="H183" s="59"/>
      <c r="I183" s="58"/>
      <c r="J183" s="59"/>
      <c r="K183" s="58"/>
      <c r="L183" s="59"/>
      <c r="M183" s="33"/>
      <c r="N183" s="52" t="s">
        <v>57</v>
      </c>
      <c r="O183" s="52" t="s">
        <v>105</v>
      </c>
      <c r="P183" s="52" t="s">
        <v>50</v>
      </c>
      <c r="Q183" s="52" t="s">
        <v>50</v>
      </c>
      <c r="R183" s="52" t="s">
        <v>51</v>
      </c>
      <c r="S183" s="74"/>
      <c r="T183" s="74"/>
      <c r="U183" s="74"/>
      <c r="V183" s="74"/>
      <c r="W183" s="74">
        <v>2</v>
      </c>
      <c r="X183" s="74"/>
      <c r="Y183" s="74"/>
      <c r="Z183" s="74"/>
      <c r="AA183" s="74"/>
      <c r="AB183" s="74"/>
      <c r="AC183" s="74"/>
      <c r="AD183" s="74"/>
      <c r="AE183" s="74"/>
      <c r="AF183" s="74"/>
      <c r="AG183" s="74"/>
      <c r="AH183" s="74"/>
      <c r="AI183" s="74"/>
      <c r="AJ183" s="74"/>
      <c r="AK183" s="74"/>
      <c r="AL183" s="74"/>
      <c r="AM183" s="74"/>
      <c r="AN183" s="74"/>
      <c r="AO183" s="74"/>
      <c r="AP183" s="74"/>
      <c r="AQ183" s="74"/>
      <c r="AR183" s="74"/>
      <c r="AS183" s="74"/>
      <c r="AT183" s="74"/>
      <c r="AU183" s="74"/>
      <c r="AV183" s="52" t="s">
        <v>47</v>
      </c>
      <c r="AW183" s="52" t="s">
        <v>106</v>
      </c>
      <c r="AX183" s="52" t="s">
        <v>47</v>
      </c>
      <c r="AY183" s="52" t="s">
        <v>47</v>
      </c>
    </row>
    <row r="184" spans="1:51" ht="30" customHeight="1" x14ac:dyDescent="0.3">
      <c r="A184" s="33" t="s">
        <v>107</v>
      </c>
      <c r="B184" s="33" t="s">
        <v>108</v>
      </c>
      <c r="C184" s="48" t="s">
        <v>101</v>
      </c>
      <c r="D184" s="57">
        <v>1</v>
      </c>
      <c r="E184" s="58"/>
      <c r="F184" s="59"/>
      <c r="G184" s="58"/>
      <c r="H184" s="59"/>
      <c r="I184" s="58"/>
      <c r="J184" s="59"/>
      <c r="K184" s="58"/>
      <c r="L184" s="59"/>
      <c r="M184" s="33" t="s">
        <v>47</v>
      </c>
      <c r="N184" s="52" t="s">
        <v>57</v>
      </c>
      <c r="O184" s="52" t="s">
        <v>109</v>
      </c>
      <c r="P184" s="52" t="s">
        <v>50</v>
      </c>
      <c r="Q184" s="52" t="s">
        <v>50</v>
      </c>
      <c r="R184" s="52" t="s">
        <v>50</v>
      </c>
      <c r="S184" s="74">
        <v>1</v>
      </c>
      <c r="T184" s="74">
        <v>0</v>
      </c>
      <c r="U184" s="74">
        <v>0.03</v>
      </c>
      <c r="V184" s="74"/>
      <c r="W184" s="74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74"/>
      <c r="AJ184" s="74"/>
      <c r="AK184" s="74"/>
      <c r="AL184" s="74"/>
      <c r="AM184" s="74"/>
      <c r="AN184" s="74"/>
      <c r="AO184" s="74"/>
      <c r="AP184" s="74"/>
      <c r="AQ184" s="74"/>
      <c r="AR184" s="74"/>
      <c r="AS184" s="74"/>
      <c r="AT184" s="74"/>
      <c r="AU184" s="74"/>
      <c r="AV184" s="52" t="s">
        <v>47</v>
      </c>
      <c r="AW184" s="52" t="s">
        <v>110</v>
      </c>
      <c r="AX184" s="52" t="s">
        <v>47</v>
      </c>
      <c r="AY184" s="52" t="s">
        <v>47</v>
      </c>
    </row>
    <row r="185" spans="1:51" ht="30" customHeight="1" x14ac:dyDescent="0.3">
      <c r="A185" s="33" t="s">
        <v>111</v>
      </c>
      <c r="B185" s="33" t="s">
        <v>47</v>
      </c>
      <c r="C185" s="48" t="s">
        <v>47</v>
      </c>
      <c r="D185" s="57"/>
      <c r="E185" s="58"/>
      <c r="F185" s="59">
        <f>TRUNC(SUMIF(N181:N184, N180, F181:F184),0)</f>
        <v>0</v>
      </c>
      <c r="G185" s="58"/>
      <c r="H185" s="59">
        <f>TRUNC(SUMIF(N181:N184, N180, H181:H184),0)</f>
        <v>0</v>
      </c>
      <c r="I185" s="58"/>
      <c r="J185" s="59">
        <f>TRUNC(SUMIF(N181:N184, N180, J181:J184),0)</f>
        <v>0</v>
      </c>
      <c r="K185" s="58"/>
      <c r="L185" s="59">
        <f>F185+H185+J185</f>
        <v>0</v>
      </c>
      <c r="M185" s="33" t="s">
        <v>47</v>
      </c>
      <c r="N185" s="52" t="s">
        <v>81</v>
      </c>
      <c r="O185" s="52" t="s">
        <v>81</v>
      </c>
      <c r="P185" s="52" t="s">
        <v>47</v>
      </c>
      <c r="Q185" s="52" t="s">
        <v>47</v>
      </c>
      <c r="R185" s="52" t="s">
        <v>47</v>
      </c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74"/>
      <c r="AJ185" s="74"/>
      <c r="AK185" s="74"/>
      <c r="AL185" s="74"/>
      <c r="AM185" s="74"/>
      <c r="AN185" s="74"/>
      <c r="AO185" s="74"/>
      <c r="AP185" s="74"/>
      <c r="AQ185" s="74"/>
      <c r="AR185" s="74"/>
      <c r="AS185" s="74"/>
      <c r="AT185" s="74"/>
      <c r="AU185" s="74"/>
      <c r="AV185" s="52" t="s">
        <v>47</v>
      </c>
      <c r="AW185" s="52" t="s">
        <v>47</v>
      </c>
      <c r="AX185" s="52" t="s">
        <v>47</v>
      </c>
      <c r="AY185" s="52" t="s">
        <v>47</v>
      </c>
    </row>
    <row r="186" spans="1:51" ht="30" customHeight="1" x14ac:dyDescent="0.3">
      <c r="A186" s="57"/>
      <c r="B186" s="57"/>
      <c r="C186" s="49"/>
      <c r="D186" s="57"/>
      <c r="E186" s="58"/>
      <c r="F186" s="59"/>
      <c r="G186" s="58"/>
      <c r="H186" s="59"/>
      <c r="I186" s="58"/>
      <c r="J186" s="59"/>
      <c r="K186" s="58"/>
      <c r="L186" s="59"/>
      <c r="M186" s="57"/>
    </row>
    <row r="187" spans="1:51" ht="30" customHeight="1" x14ac:dyDescent="0.3">
      <c r="A187" s="104" t="e">
        <f>A188&amp;"  "&amp;B188&amp;"  "&amp; C188&amp;"     ( 호표 28 )"</f>
        <v>#REF!</v>
      </c>
      <c r="B187" s="104"/>
      <c r="C187" s="104"/>
      <c r="D187" s="104"/>
      <c r="E187" s="105"/>
      <c r="F187" s="106"/>
      <c r="G187" s="105"/>
      <c r="H187" s="106"/>
      <c r="I187" s="105"/>
      <c r="J187" s="106"/>
      <c r="K187" s="105"/>
      <c r="L187" s="106"/>
      <c r="M187" s="104"/>
      <c r="N187" s="72" t="s">
        <v>57</v>
      </c>
    </row>
    <row r="188" spans="1:51" ht="30" customHeight="1" x14ac:dyDescent="0.3">
      <c r="A188" s="33" t="s">
        <v>267</v>
      </c>
      <c r="B188" s="33" t="e">
        <f>#REF!</f>
        <v>#REF!</v>
      </c>
      <c r="C188" s="48" t="e">
        <f>#REF!</f>
        <v>#REF!</v>
      </c>
      <c r="D188" s="57">
        <v>1.1000000000000001</v>
      </c>
      <c r="E188" s="58"/>
      <c r="F188" s="59"/>
      <c r="G188" s="58"/>
      <c r="H188" s="59"/>
      <c r="I188" s="58"/>
      <c r="J188" s="59"/>
      <c r="K188" s="58"/>
      <c r="L188" s="59"/>
      <c r="M188" s="33" t="s">
        <v>47</v>
      </c>
      <c r="N188" s="52" t="s">
        <v>57</v>
      </c>
      <c r="O188" s="52" t="s">
        <v>99</v>
      </c>
      <c r="P188" s="52" t="s">
        <v>50</v>
      </c>
      <c r="Q188" s="52" t="s">
        <v>50</v>
      </c>
      <c r="R188" s="52" t="s">
        <v>51</v>
      </c>
      <c r="S188" s="74"/>
      <c r="T188" s="74"/>
      <c r="U188" s="74"/>
      <c r="V188" s="74">
        <v>1</v>
      </c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4"/>
      <c r="AK188" s="74"/>
      <c r="AL188" s="74"/>
      <c r="AM188" s="74"/>
      <c r="AN188" s="74"/>
      <c r="AO188" s="74"/>
      <c r="AP188" s="74"/>
      <c r="AQ188" s="74"/>
      <c r="AR188" s="74"/>
      <c r="AS188" s="74"/>
      <c r="AT188" s="74"/>
      <c r="AU188" s="74"/>
      <c r="AV188" s="52" t="s">
        <v>47</v>
      </c>
      <c r="AW188" s="52" t="s">
        <v>100</v>
      </c>
      <c r="AX188" s="52" t="s">
        <v>47</v>
      </c>
      <c r="AY188" s="52" t="s">
        <v>47</v>
      </c>
    </row>
    <row r="189" spans="1:51" ht="30" customHeight="1" x14ac:dyDescent="0.3">
      <c r="A189" s="33" t="s">
        <v>211</v>
      </c>
      <c r="B189" s="33" t="s">
        <v>212</v>
      </c>
      <c r="C189" s="48" t="s">
        <v>101</v>
      </c>
      <c r="D189" s="57">
        <v>0.02</v>
      </c>
      <c r="E189" s="58"/>
      <c r="F189" s="59"/>
      <c r="G189" s="58"/>
      <c r="H189" s="59"/>
      <c r="I189" s="58"/>
      <c r="J189" s="59"/>
      <c r="K189" s="58"/>
      <c r="L189" s="59"/>
      <c r="M189" s="33" t="s">
        <v>47</v>
      </c>
      <c r="N189" s="52" t="s">
        <v>57</v>
      </c>
      <c r="O189" s="52" t="s">
        <v>99</v>
      </c>
      <c r="P189" s="52" t="s">
        <v>50</v>
      </c>
      <c r="Q189" s="52" t="s">
        <v>50</v>
      </c>
      <c r="R189" s="52" t="s">
        <v>51</v>
      </c>
      <c r="S189" s="74"/>
      <c r="T189" s="74"/>
      <c r="U189" s="74"/>
      <c r="V189" s="74">
        <v>1</v>
      </c>
      <c r="W189" s="74"/>
      <c r="X189" s="74"/>
      <c r="Y189" s="74"/>
      <c r="Z189" s="74"/>
      <c r="AA189" s="74"/>
      <c r="AB189" s="74"/>
      <c r="AC189" s="74"/>
      <c r="AD189" s="74"/>
      <c r="AE189" s="74"/>
      <c r="AF189" s="74"/>
      <c r="AG189" s="74"/>
      <c r="AH189" s="74"/>
      <c r="AI189" s="74"/>
      <c r="AJ189" s="74"/>
      <c r="AK189" s="74"/>
      <c r="AL189" s="74"/>
      <c r="AM189" s="74"/>
      <c r="AN189" s="74"/>
      <c r="AO189" s="74"/>
      <c r="AP189" s="74"/>
      <c r="AQ189" s="74"/>
      <c r="AR189" s="74"/>
      <c r="AS189" s="74"/>
      <c r="AT189" s="74"/>
      <c r="AU189" s="74"/>
      <c r="AV189" s="52" t="s">
        <v>47</v>
      </c>
      <c r="AW189" s="52" t="s">
        <v>100</v>
      </c>
      <c r="AX189" s="52" t="s">
        <v>47</v>
      </c>
      <c r="AY189" s="52" t="s">
        <v>47</v>
      </c>
    </row>
    <row r="190" spans="1:51" ht="30" customHeight="1" x14ac:dyDescent="0.3">
      <c r="A190" s="33" t="s">
        <v>215</v>
      </c>
      <c r="B190" s="33" t="s">
        <v>103</v>
      </c>
      <c r="C190" s="48" t="s">
        <v>104</v>
      </c>
      <c r="D190" s="76">
        <f>0.006*1.5</f>
        <v>9.0000000000000011E-3</v>
      </c>
      <c r="E190" s="58"/>
      <c r="F190" s="59"/>
      <c r="G190" s="58"/>
      <c r="H190" s="59"/>
      <c r="I190" s="58"/>
      <c r="J190" s="59"/>
      <c r="K190" s="58"/>
      <c r="L190" s="59"/>
      <c r="M190" s="33"/>
      <c r="N190" s="52" t="s">
        <v>57</v>
      </c>
      <c r="O190" s="52" t="s">
        <v>105</v>
      </c>
      <c r="P190" s="52" t="s">
        <v>50</v>
      </c>
      <c r="Q190" s="52" t="s">
        <v>50</v>
      </c>
      <c r="R190" s="52" t="s">
        <v>51</v>
      </c>
      <c r="S190" s="74"/>
      <c r="T190" s="74"/>
      <c r="U190" s="74"/>
      <c r="V190" s="74"/>
      <c r="W190" s="74">
        <v>2</v>
      </c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  <c r="AL190" s="74"/>
      <c r="AM190" s="74"/>
      <c r="AN190" s="74"/>
      <c r="AO190" s="74"/>
      <c r="AP190" s="74"/>
      <c r="AQ190" s="74"/>
      <c r="AR190" s="74"/>
      <c r="AS190" s="74"/>
      <c r="AT190" s="74"/>
      <c r="AU190" s="74"/>
      <c r="AV190" s="52" t="s">
        <v>47</v>
      </c>
      <c r="AW190" s="52" t="s">
        <v>106</v>
      </c>
      <c r="AX190" s="52" t="s">
        <v>47</v>
      </c>
      <c r="AY190" s="52" t="s">
        <v>47</v>
      </c>
    </row>
    <row r="191" spans="1:51" ht="30" customHeight="1" x14ac:dyDescent="0.3">
      <c r="A191" s="33" t="s">
        <v>107</v>
      </c>
      <c r="B191" s="33" t="s">
        <v>108</v>
      </c>
      <c r="C191" s="48" t="s">
        <v>101</v>
      </c>
      <c r="D191" s="57">
        <v>1</v>
      </c>
      <c r="E191" s="58"/>
      <c r="F191" s="59"/>
      <c r="G191" s="58"/>
      <c r="H191" s="59"/>
      <c r="I191" s="58"/>
      <c r="J191" s="59"/>
      <c r="K191" s="58"/>
      <c r="L191" s="59"/>
      <c r="M191" s="33" t="s">
        <v>47</v>
      </c>
      <c r="N191" s="52" t="s">
        <v>57</v>
      </c>
      <c r="O191" s="52" t="s">
        <v>109</v>
      </c>
      <c r="P191" s="52" t="s">
        <v>50</v>
      </c>
      <c r="Q191" s="52" t="s">
        <v>50</v>
      </c>
      <c r="R191" s="52" t="s">
        <v>50</v>
      </c>
      <c r="S191" s="74">
        <v>1</v>
      </c>
      <c r="T191" s="74">
        <v>0</v>
      </c>
      <c r="U191" s="74">
        <v>0.03</v>
      </c>
      <c r="V191" s="74"/>
      <c r="W191" s="74"/>
      <c r="X191" s="74"/>
      <c r="Y191" s="74"/>
      <c r="Z191" s="74"/>
      <c r="AA191" s="74"/>
      <c r="AB191" s="74"/>
      <c r="AC191" s="74"/>
      <c r="AD191" s="74"/>
      <c r="AE191" s="74"/>
      <c r="AF191" s="74"/>
      <c r="AG191" s="74"/>
      <c r="AH191" s="74"/>
      <c r="AI191" s="74"/>
      <c r="AJ191" s="74"/>
      <c r="AK191" s="74"/>
      <c r="AL191" s="74"/>
      <c r="AM191" s="74"/>
      <c r="AN191" s="74"/>
      <c r="AO191" s="74"/>
      <c r="AP191" s="74"/>
      <c r="AQ191" s="74"/>
      <c r="AR191" s="74"/>
      <c r="AS191" s="74"/>
      <c r="AT191" s="74"/>
      <c r="AU191" s="74"/>
      <c r="AV191" s="52" t="s">
        <v>47</v>
      </c>
      <c r="AW191" s="52" t="s">
        <v>110</v>
      </c>
      <c r="AX191" s="52" t="s">
        <v>47</v>
      </c>
      <c r="AY191" s="52" t="s">
        <v>47</v>
      </c>
    </row>
    <row r="192" spans="1:51" ht="30" customHeight="1" x14ac:dyDescent="0.3">
      <c r="A192" s="33" t="s">
        <v>111</v>
      </c>
      <c r="B192" s="33" t="s">
        <v>47</v>
      </c>
      <c r="C192" s="48" t="s">
        <v>47</v>
      </c>
      <c r="D192" s="57"/>
      <c r="E192" s="58"/>
      <c r="F192" s="59">
        <f>TRUNC(SUMIF(N188:N191, N187, F188:F191),0)</f>
        <v>0</v>
      </c>
      <c r="G192" s="58"/>
      <c r="H192" s="59">
        <f>TRUNC(SUMIF(N188:N191, N187, H188:H191),0)</f>
        <v>0</v>
      </c>
      <c r="I192" s="58"/>
      <c r="J192" s="59">
        <f>TRUNC(SUMIF(N188:N191, N187, J188:J191),0)</f>
        <v>0</v>
      </c>
      <c r="K192" s="58"/>
      <c r="L192" s="59">
        <f>F192+H192+J192</f>
        <v>0</v>
      </c>
      <c r="M192" s="33" t="s">
        <v>47</v>
      </c>
      <c r="N192" s="52" t="s">
        <v>81</v>
      </c>
      <c r="O192" s="52" t="s">
        <v>81</v>
      </c>
      <c r="P192" s="52" t="s">
        <v>47</v>
      </c>
      <c r="Q192" s="52" t="s">
        <v>47</v>
      </c>
      <c r="R192" s="52" t="s">
        <v>47</v>
      </c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  <c r="AM192" s="74"/>
      <c r="AN192" s="74"/>
      <c r="AO192" s="74"/>
      <c r="AP192" s="74"/>
      <c r="AQ192" s="74"/>
      <c r="AR192" s="74"/>
      <c r="AS192" s="74"/>
      <c r="AT192" s="74"/>
      <c r="AU192" s="74"/>
      <c r="AV192" s="52" t="s">
        <v>47</v>
      </c>
      <c r="AW192" s="52" t="s">
        <v>47</v>
      </c>
      <c r="AX192" s="52" t="s">
        <v>47</v>
      </c>
      <c r="AY192" s="52" t="s">
        <v>47</v>
      </c>
    </row>
    <row r="193" spans="1:51" ht="30" customHeight="1" x14ac:dyDescent="0.3">
      <c r="A193" s="57"/>
      <c r="B193" s="57"/>
      <c r="C193" s="49"/>
      <c r="D193" s="57"/>
      <c r="E193" s="58"/>
      <c r="F193" s="59"/>
      <c r="G193" s="58"/>
      <c r="H193" s="59"/>
      <c r="I193" s="58"/>
      <c r="J193" s="59"/>
      <c r="K193" s="58"/>
      <c r="L193" s="59"/>
      <c r="M193" s="57"/>
    </row>
    <row r="194" spans="1:51" ht="30" customHeight="1" x14ac:dyDescent="0.3">
      <c r="A194" s="104" t="str">
        <f>A195&amp;"  "&amp;B195&amp;"  "&amp; C195&amp;"     ( 호표 29 )"</f>
        <v>배관 해체  D25  m     ( 호표 29 )</v>
      </c>
      <c r="B194" s="104"/>
      <c r="C194" s="104"/>
      <c r="D194" s="104"/>
      <c r="E194" s="105"/>
      <c r="F194" s="106"/>
      <c r="G194" s="105"/>
      <c r="H194" s="106"/>
      <c r="I194" s="105"/>
      <c r="J194" s="106"/>
      <c r="K194" s="105"/>
      <c r="L194" s="106"/>
      <c r="M194" s="104"/>
      <c r="N194" s="72" t="s">
        <v>57</v>
      </c>
    </row>
    <row r="195" spans="1:51" ht="30" customHeight="1" x14ac:dyDescent="0.3">
      <c r="A195" s="33" t="s">
        <v>320</v>
      </c>
      <c r="B195" s="33" t="s">
        <v>321</v>
      </c>
      <c r="C195" s="48" t="s">
        <v>209</v>
      </c>
      <c r="D195" s="57">
        <v>1</v>
      </c>
      <c r="E195" s="58"/>
      <c r="F195" s="59"/>
      <c r="G195" s="58"/>
      <c r="H195" s="59"/>
      <c r="I195" s="58"/>
      <c r="J195" s="59"/>
      <c r="K195" s="58"/>
      <c r="L195" s="59"/>
      <c r="M195" s="33" t="s">
        <v>47</v>
      </c>
      <c r="N195" s="52" t="s">
        <v>57</v>
      </c>
      <c r="O195" s="52" t="s">
        <v>99</v>
      </c>
      <c r="P195" s="52" t="s">
        <v>50</v>
      </c>
      <c r="Q195" s="52" t="s">
        <v>50</v>
      </c>
      <c r="R195" s="52" t="s">
        <v>51</v>
      </c>
      <c r="S195" s="74"/>
      <c r="T195" s="74"/>
      <c r="U195" s="74"/>
      <c r="V195" s="74">
        <v>1</v>
      </c>
      <c r="W195" s="74"/>
      <c r="X195" s="74"/>
      <c r="Y195" s="74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  <c r="AM195" s="74"/>
      <c r="AN195" s="74"/>
      <c r="AO195" s="74"/>
      <c r="AP195" s="74"/>
      <c r="AQ195" s="74"/>
      <c r="AR195" s="74"/>
      <c r="AS195" s="74"/>
      <c r="AT195" s="74"/>
      <c r="AU195" s="74"/>
      <c r="AV195" s="52" t="s">
        <v>47</v>
      </c>
      <c r="AW195" s="52" t="s">
        <v>100</v>
      </c>
      <c r="AX195" s="52" t="s">
        <v>47</v>
      </c>
      <c r="AY195" s="52" t="s">
        <v>47</v>
      </c>
    </row>
    <row r="196" spans="1:51" ht="30" customHeight="1" x14ac:dyDescent="0.3">
      <c r="A196" s="33" t="s">
        <v>318</v>
      </c>
      <c r="B196" s="33" t="s">
        <v>103</v>
      </c>
      <c r="C196" s="48" t="s">
        <v>104</v>
      </c>
      <c r="D196" s="76">
        <f>0.017</f>
        <v>1.7000000000000001E-2</v>
      </c>
      <c r="E196" s="58"/>
      <c r="F196" s="59"/>
      <c r="G196" s="58"/>
      <c r="H196" s="59"/>
      <c r="I196" s="58"/>
      <c r="J196" s="59"/>
      <c r="K196" s="58"/>
      <c r="L196" s="59"/>
      <c r="M196" s="41"/>
      <c r="N196" s="52" t="s">
        <v>57</v>
      </c>
      <c r="O196" s="52" t="s">
        <v>105</v>
      </c>
      <c r="P196" s="52" t="s">
        <v>50</v>
      </c>
      <c r="Q196" s="52" t="s">
        <v>50</v>
      </c>
      <c r="R196" s="52" t="s">
        <v>51</v>
      </c>
      <c r="S196" s="74"/>
      <c r="T196" s="74"/>
      <c r="U196" s="74"/>
      <c r="V196" s="74"/>
      <c r="W196" s="74">
        <v>2</v>
      </c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  <c r="AM196" s="74"/>
      <c r="AN196" s="74"/>
      <c r="AO196" s="74"/>
      <c r="AP196" s="74"/>
      <c r="AQ196" s="74"/>
      <c r="AR196" s="74"/>
      <c r="AS196" s="74"/>
      <c r="AT196" s="74"/>
      <c r="AU196" s="74"/>
      <c r="AV196" s="52" t="s">
        <v>47</v>
      </c>
      <c r="AW196" s="52" t="s">
        <v>106</v>
      </c>
      <c r="AX196" s="52" t="s">
        <v>47</v>
      </c>
      <c r="AY196" s="52" t="s">
        <v>47</v>
      </c>
    </row>
    <row r="197" spans="1:51" ht="30" customHeight="1" x14ac:dyDescent="0.3">
      <c r="A197" s="33" t="s">
        <v>319</v>
      </c>
      <c r="B197" s="33" t="s">
        <v>103</v>
      </c>
      <c r="C197" s="48" t="s">
        <v>104</v>
      </c>
      <c r="D197" s="76">
        <f>0.011</f>
        <v>1.0999999999999999E-2</v>
      </c>
      <c r="E197" s="58"/>
      <c r="F197" s="59"/>
      <c r="G197" s="58"/>
      <c r="H197" s="59"/>
      <c r="I197" s="58"/>
      <c r="J197" s="59"/>
      <c r="K197" s="58"/>
      <c r="L197" s="59"/>
      <c r="M197" s="41"/>
      <c r="N197" s="52" t="s">
        <v>57</v>
      </c>
      <c r="O197" s="52" t="s">
        <v>105</v>
      </c>
      <c r="P197" s="52" t="s">
        <v>50</v>
      </c>
      <c r="Q197" s="52" t="s">
        <v>50</v>
      </c>
      <c r="R197" s="52" t="s">
        <v>51</v>
      </c>
      <c r="S197" s="74"/>
      <c r="T197" s="74"/>
      <c r="U197" s="74"/>
      <c r="V197" s="74"/>
      <c r="W197" s="74">
        <v>2</v>
      </c>
      <c r="X197" s="74"/>
      <c r="Y197" s="74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4"/>
      <c r="AK197" s="74"/>
      <c r="AL197" s="74"/>
      <c r="AM197" s="74"/>
      <c r="AN197" s="74"/>
      <c r="AO197" s="74"/>
      <c r="AP197" s="74"/>
      <c r="AQ197" s="74"/>
      <c r="AR197" s="74"/>
      <c r="AS197" s="74"/>
      <c r="AT197" s="74"/>
      <c r="AU197" s="74"/>
      <c r="AV197" s="52" t="s">
        <v>47</v>
      </c>
      <c r="AW197" s="52" t="s">
        <v>106</v>
      </c>
      <c r="AX197" s="52" t="s">
        <v>47</v>
      </c>
      <c r="AY197" s="52" t="s">
        <v>47</v>
      </c>
    </row>
    <row r="198" spans="1:51" ht="30" customHeight="1" x14ac:dyDescent="0.3">
      <c r="A198" s="33" t="s">
        <v>107</v>
      </c>
      <c r="B198" s="33" t="s">
        <v>322</v>
      </c>
      <c r="C198" s="48" t="s">
        <v>101</v>
      </c>
      <c r="D198" s="57">
        <v>1</v>
      </c>
      <c r="E198" s="58"/>
      <c r="F198" s="59"/>
      <c r="G198" s="58"/>
      <c r="H198" s="59"/>
      <c r="I198" s="58"/>
      <c r="J198" s="59"/>
      <c r="K198" s="58"/>
      <c r="L198" s="59"/>
      <c r="M198" s="33" t="s">
        <v>47</v>
      </c>
      <c r="N198" s="52" t="s">
        <v>57</v>
      </c>
      <c r="O198" s="52" t="s">
        <v>109</v>
      </c>
      <c r="P198" s="52" t="s">
        <v>50</v>
      </c>
      <c r="Q198" s="52" t="s">
        <v>50</v>
      </c>
      <c r="R198" s="52" t="s">
        <v>50</v>
      </c>
      <c r="S198" s="74">
        <v>1</v>
      </c>
      <c r="T198" s="74">
        <v>0</v>
      </c>
      <c r="U198" s="74">
        <v>0.02</v>
      </c>
      <c r="V198" s="74"/>
      <c r="W198" s="74"/>
      <c r="X198" s="74"/>
      <c r="Y198" s="74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  <c r="AM198" s="74"/>
      <c r="AN198" s="74"/>
      <c r="AO198" s="74"/>
      <c r="AP198" s="74"/>
      <c r="AQ198" s="74"/>
      <c r="AR198" s="74"/>
      <c r="AS198" s="74"/>
      <c r="AT198" s="74"/>
      <c r="AU198" s="74"/>
      <c r="AV198" s="52" t="s">
        <v>47</v>
      </c>
      <c r="AW198" s="52" t="s">
        <v>110</v>
      </c>
      <c r="AX198" s="52" t="s">
        <v>47</v>
      </c>
      <c r="AY198" s="52" t="s">
        <v>47</v>
      </c>
    </row>
    <row r="199" spans="1:51" ht="30" customHeight="1" x14ac:dyDescent="0.3">
      <c r="A199" s="33" t="s">
        <v>111</v>
      </c>
      <c r="B199" s="33" t="s">
        <v>47</v>
      </c>
      <c r="C199" s="48" t="s">
        <v>47</v>
      </c>
      <c r="D199" s="57"/>
      <c r="E199" s="58"/>
      <c r="F199" s="59">
        <f>TRUNC(SUMIF(N195:N198, N194, F195:F198),0)</f>
        <v>0</v>
      </c>
      <c r="G199" s="58"/>
      <c r="H199" s="59">
        <f>TRUNC(SUMIF(N195:N198, N194, H195:H198),0)</f>
        <v>0</v>
      </c>
      <c r="I199" s="58"/>
      <c r="J199" s="59">
        <f>TRUNC(SUMIF(N195:N198, N194, J195:J198),0)</f>
        <v>0</v>
      </c>
      <c r="K199" s="58"/>
      <c r="L199" s="59">
        <f>F199+H199+J199</f>
        <v>0</v>
      </c>
      <c r="M199" s="33" t="s">
        <v>47</v>
      </c>
      <c r="N199" s="52" t="s">
        <v>81</v>
      </c>
      <c r="O199" s="52" t="s">
        <v>81</v>
      </c>
      <c r="P199" s="52" t="s">
        <v>47</v>
      </c>
      <c r="Q199" s="52" t="s">
        <v>47</v>
      </c>
      <c r="R199" s="52" t="s">
        <v>47</v>
      </c>
      <c r="S199" s="74"/>
      <c r="T199" s="74"/>
      <c r="U199" s="74"/>
      <c r="V199" s="74"/>
      <c r="W199" s="74"/>
      <c r="X199" s="74"/>
      <c r="Y199" s="74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  <c r="AM199" s="74"/>
      <c r="AN199" s="74"/>
      <c r="AO199" s="74"/>
      <c r="AP199" s="74"/>
      <c r="AQ199" s="74"/>
      <c r="AR199" s="74"/>
      <c r="AS199" s="74"/>
      <c r="AT199" s="74"/>
      <c r="AU199" s="74"/>
      <c r="AV199" s="52" t="s">
        <v>47</v>
      </c>
      <c r="AW199" s="52" t="s">
        <v>47</v>
      </c>
      <c r="AX199" s="52" t="s">
        <v>47</v>
      </c>
      <c r="AY199" s="52" t="s">
        <v>47</v>
      </c>
    </row>
    <row r="200" spans="1:51" ht="30" customHeight="1" x14ac:dyDescent="0.3">
      <c r="A200" s="57"/>
      <c r="B200" s="57"/>
      <c r="C200" s="49"/>
      <c r="D200" s="57"/>
      <c r="E200" s="58"/>
      <c r="F200" s="59"/>
      <c r="G200" s="58"/>
      <c r="H200" s="59"/>
      <c r="I200" s="58"/>
      <c r="J200" s="59"/>
      <c r="K200" s="58"/>
      <c r="L200" s="59"/>
      <c r="M200" s="57"/>
    </row>
    <row r="201" spans="1:51" ht="30" customHeight="1" x14ac:dyDescent="0.3">
      <c r="A201" s="104" t="str">
        <f>A202&amp;"  "&amp;B202&amp;"  "&amp; C202&amp;"     ( 호표 30 )"</f>
        <v>스위치 철거  텀블러 스위치 단로용  개     ( 호표 30 )</v>
      </c>
      <c r="B201" s="104"/>
      <c r="C201" s="104"/>
      <c r="D201" s="104"/>
      <c r="E201" s="105"/>
      <c r="F201" s="106"/>
      <c r="G201" s="105"/>
      <c r="H201" s="106"/>
      <c r="I201" s="105"/>
      <c r="J201" s="106"/>
      <c r="K201" s="105"/>
      <c r="L201" s="106"/>
      <c r="M201" s="104"/>
      <c r="N201" s="72" t="s">
        <v>57</v>
      </c>
    </row>
    <row r="202" spans="1:51" ht="30" customHeight="1" x14ac:dyDescent="0.3">
      <c r="A202" s="33" t="s">
        <v>314</v>
      </c>
      <c r="B202" s="33" t="s">
        <v>315</v>
      </c>
      <c r="C202" s="48" t="s">
        <v>207</v>
      </c>
      <c r="D202" s="57">
        <v>1</v>
      </c>
      <c r="E202" s="58"/>
      <c r="F202" s="59"/>
      <c r="G202" s="58"/>
      <c r="H202" s="59"/>
      <c r="I202" s="58"/>
      <c r="J202" s="59"/>
      <c r="K202" s="58"/>
      <c r="L202" s="59"/>
      <c r="M202" s="33" t="s">
        <v>47</v>
      </c>
      <c r="N202" s="52" t="s">
        <v>57</v>
      </c>
      <c r="O202" s="52" t="s">
        <v>99</v>
      </c>
      <c r="P202" s="52" t="s">
        <v>50</v>
      </c>
      <c r="Q202" s="52" t="s">
        <v>50</v>
      </c>
      <c r="R202" s="52" t="s">
        <v>51</v>
      </c>
      <c r="S202" s="74"/>
      <c r="T202" s="74"/>
      <c r="U202" s="74"/>
      <c r="V202" s="74">
        <v>1</v>
      </c>
      <c r="W202" s="74"/>
      <c r="X202" s="74"/>
      <c r="Y202" s="74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  <c r="AM202" s="74"/>
      <c r="AN202" s="74"/>
      <c r="AO202" s="74"/>
      <c r="AP202" s="74"/>
      <c r="AQ202" s="74"/>
      <c r="AR202" s="74"/>
      <c r="AS202" s="74"/>
      <c r="AT202" s="74"/>
      <c r="AU202" s="74"/>
      <c r="AV202" s="52" t="s">
        <v>47</v>
      </c>
      <c r="AW202" s="52" t="s">
        <v>100</v>
      </c>
      <c r="AX202" s="52" t="s">
        <v>47</v>
      </c>
      <c r="AY202" s="52" t="s">
        <v>47</v>
      </c>
    </row>
    <row r="203" spans="1:51" ht="30" customHeight="1" x14ac:dyDescent="0.3">
      <c r="A203" s="33" t="s">
        <v>215</v>
      </c>
      <c r="B203" s="33" t="s">
        <v>103</v>
      </c>
      <c r="C203" s="48" t="s">
        <v>104</v>
      </c>
      <c r="D203" s="77">
        <f>0.085*0.3</f>
        <v>2.5500000000000002E-2</v>
      </c>
      <c r="E203" s="58"/>
      <c r="F203" s="59"/>
      <c r="G203" s="58"/>
      <c r="H203" s="59"/>
      <c r="I203" s="58"/>
      <c r="J203" s="59"/>
      <c r="K203" s="58"/>
      <c r="L203" s="59"/>
      <c r="M203" s="33"/>
      <c r="N203" s="52" t="s">
        <v>57</v>
      </c>
      <c r="O203" s="52" t="s">
        <v>105</v>
      </c>
      <c r="P203" s="52" t="s">
        <v>50</v>
      </c>
      <c r="Q203" s="52" t="s">
        <v>50</v>
      </c>
      <c r="R203" s="52" t="s">
        <v>51</v>
      </c>
      <c r="S203" s="74"/>
      <c r="T203" s="74"/>
      <c r="U203" s="74"/>
      <c r="V203" s="74"/>
      <c r="W203" s="74">
        <v>2</v>
      </c>
      <c r="X203" s="74"/>
      <c r="Y203" s="74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  <c r="AM203" s="74"/>
      <c r="AN203" s="74"/>
      <c r="AO203" s="74"/>
      <c r="AP203" s="74"/>
      <c r="AQ203" s="74"/>
      <c r="AR203" s="74"/>
      <c r="AS203" s="74"/>
      <c r="AT203" s="74"/>
      <c r="AU203" s="74"/>
      <c r="AV203" s="52" t="s">
        <v>47</v>
      </c>
      <c r="AW203" s="52" t="s">
        <v>106</v>
      </c>
      <c r="AX203" s="52" t="s">
        <v>47</v>
      </c>
      <c r="AY203" s="52" t="s">
        <v>47</v>
      </c>
    </row>
    <row r="204" spans="1:51" ht="30" customHeight="1" x14ac:dyDescent="0.3">
      <c r="A204" s="33" t="s">
        <v>107</v>
      </c>
      <c r="B204" s="33" t="s">
        <v>108</v>
      </c>
      <c r="C204" s="48" t="s">
        <v>101</v>
      </c>
      <c r="D204" s="57">
        <v>1</v>
      </c>
      <c r="E204" s="58"/>
      <c r="F204" s="59"/>
      <c r="G204" s="58"/>
      <c r="H204" s="59"/>
      <c r="I204" s="58"/>
      <c r="J204" s="59"/>
      <c r="K204" s="58"/>
      <c r="L204" s="59"/>
      <c r="M204" s="33" t="s">
        <v>47</v>
      </c>
      <c r="N204" s="52" t="s">
        <v>57</v>
      </c>
      <c r="O204" s="52" t="s">
        <v>109</v>
      </c>
      <c r="P204" s="52" t="s">
        <v>50</v>
      </c>
      <c r="Q204" s="52" t="s">
        <v>50</v>
      </c>
      <c r="R204" s="52" t="s">
        <v>50</v>
      </c>
      <c r="S204" s="74">
        <v>1</v>
      </c>
      <c r="T204" s="74">
        <v>0</v>
      </c>
      <c r="U204" s="74">
        <v>0.03</v>
      </c>
      <c r="V204" s="74"/>
      <c r="W204" s="74"/>
      <c r="X204" s="74"/>
      <c r="Y204" s="74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  <c r="AM204" s="74"/>
      <c r="AN204" s="74"/>
      <c r="AO204" s="74"/>
      <c r="AP204" s="74"/>
      <c r="AQ204" s="74"/>
      <c r="AR204" s="74"/>
      <c r="AS204" s="74"/>
      <c r="AT204" s="74"/>
      <c r="AU204" s="74"/>
      <c r="AV204" s="52" t="s">
        <v>47</v>
      </c>
      <c r="AW204" s="52" t="s">
        <v>110</v>
      </c>
      <c r="AX204" s="52" t="s">
        <v>47</v>
      </c>
      <c r="AY204" s="52" t="s">
        <v>47</v>
      </c>
    </row>
    <row r="205" spans="1:51" ht="30" customHeight="1" x14ac:dyDescent="0.3">
      <c r="A205" s="33" t="s">
        <v>111</v>
      </c>
      <c r="B205" s="33" t="s">
        <v>47</v>
      </c>
      <c r="C205" s="48" t="s">
        <v>47</v>
      </c>
      <c r="D205" s="57"/>
      <c r="E205" s="58"/>
      <c r="F205" s="59">
        <f>TRUNC(SUMIF(N202:N204, N201, F202:F204),0)</f>
        <v>0</v>
      </c>
      <c r="G205" s="58"/>
      <c r="H205" s="59">
        <f>TRUNC(SUMIF(N202:N204, N201, H202:H204),0)</f>
        <v>0</v>
      </c>
      <c r="I205" s="58"/>
      <c r="J205" s="59">
        <f>TRUNC(SUMIF(N202:N204, N201, J202:J204),0)</f>
        <v>0</v>
      </c>
      <c r="K205" s="58"/>
      <c r="L205" s="59">
        <f>F205+H205+J205</f>
        <v>0</v>
      </c>
      <c r="M205" s="33" t="s">
        <v>47</v>
      </c>
      <c r="N205" s="52" t="s">
        <v>81</v>
      </c>
      <c r="O205" s="52" t="s">
        <v>81</v>
      </c>
      <c r="P205" s="52" t="s">
        <v>47</v>
      </c>
      <c r="Q205" s="52" t="s">
        <v>47</v>
      </c>
      <c r="R205" s="52" t="s">
        <v>47</v>
      </c>
      <c r="S205" s="74"/>
      <c r="T205" s="74"/>
      <c r="U205" s="74"/>
      <c r="V205" s="74"/>
      <c r="W205" s="74"/>
      <c r="X205" s="74"/>
      <c r="Y205" s="74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  <c r="AM205" s="74"/>
      <c r="AN205" s="74"/>
      <c r="AO205" s="74"/>
      <c r="AP205" s="74"/>
      <c r="AQ205" s="74"/>
      <c r="AR205" s="74"/>
      <c r="AS205" s="74"/>
      <c r="AT205" s="74"/>
      <c r="AU205" s="74"/>
      <c r="AV205" s="52" t="s">
        <v>47</v>
      </c>
      <c r="AW205" s="52" t="s">
        <v>47</v>
      </c>
      <c r="AX205" s="52" t="s">
        <v>47</v>
      </c>
      <c r="AY205" s="52" t="s">
        <v>47</v>
      </c>
    </row>
    <row r="206" spans="1:51" ht="30" customHeight="1" x14ac:dyDescent="0.3">
      <c r="A206" s="57"/>
      <c r="B206" s="57"/>
      <c r="C206" s="49"/>
      <c r="D206" s="57"/>
      <c r="E206" s="58"/>
      <c r="F206" s="59"/>
      <c r="G206" s="58"/>
      <c r="H206" s="59"/>
      <c r="I206" s="58"/>
      <c r="J206" s="59"/>
      <c r="K206" s="58"/>
      <c r="L206" s="59"/>
      <c r="M206" s="57"/>
    </row>
    <row r="207" spans="1:51" ht="30" customHeight="1" x14ac:dyDescent="0.3">
      <c r="A207" s="104" t="e">
        <f>A208&amp;"  "&amp;B208&amp;"  "&amp; C208&amp;"     ( 호표 31 )"</f>
        <v>#REF!</v>
      </c>
      <c r="B207" s="104"/>
      <c r="C207" s="104"/>
      <c r="D207" s="104"/>
      <c r="E207" s="105"/>
      <c r="F207" s="106"/>
      <c r="G207" s="105"/>
      <c r="H207" s="106"/>
      <c r="I207" s="105"/>
      <c r="J207" s="106"/>
      <c r="K207" s="105"/>
      <c r="L207" s="106"/>
      <c r="M207" s="104"/>
      <c r="N207" s="72" t="s">
        <v>57</v>
      </c>
    </row>
    <row r="208" spans="1:51" ht="30" customHeight="1" x14ac:dyDescent="0.3">
      <c r="A208" s="33" t="s">
        <v>317</v>
      </c>
      <c r="B208" s="33" t="e">
        <f>#REF!</f>
        <v>#REF!</v>
      </c>
      <c r="C208" s="48" t="e">
        <f>#REF!</f>
        <v>#REF!</v>
      </c>
      <c r="D208" s="57">
        <v>1</v>
      </c>
      <c r="E208" s="58"/>
      <c r="F208" s="59"/>
      <c r="G208" s="58"/>
      <c r="H208" s="59"/>
      <c r="I208" s="58"/>
      <c r="J208" s="59"/>
      <c r="K208" s="58"/>
      <c r="L208" s="59"/>
      <c r="M208" s="33" t="s">
        <v>47</v>
      </c>
      <c r="N208" s="52" t="s">
        <v>57</v>
      </c>
      <c r="O208" s="52" t="s">
        <v>99</v>
      </c>
      <c r="P208" s="52" t="s">
        <v>50</v>
      </c>
      <c r="Q208" s="52" t="s">
        <v>50</v>
      </c>
      <c r="R208" s="52" t="s">
        <v>51</v>
      </c>
      <c r="S208" s="74"/>
      <c r="T208" s="74"/>
      <c r="U208" s="74"/>
      <c r="V208" s="74">
        <v>1</v>
      </c>
      <c r="W208" s="74"/>
      <c r="X208" s="74"/>
      <c r="Y208" s="74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  <c r="AM208" s="74"/>
      <c r="AN208" s="74"/>
      <c r="AO208" s="74"/>
      <c r="AP208" s="74"/>
      <c r="AQ208" s="74"/>
      <c r="AR208" s="74"/>
      <c r="AS208" s="74"/>
      <c r="AT208" s="74"/>
      <c r="AU208" s="74"/>
      <c r="AV208" s="52" t="s">
        <v>47</v>
      </c>
      <c r="AW208" s="52" t="s">
        <v>100</v>
      </c>
      <c r="AX208" s="52" t="s">
        <v>47</v>
      </c>
      <c r="AY208" s="52" t="s">
        <v>47</v>
      </c>
    </row>
    <row r="209" spans="1:51" ht="30" customHeight="1" x14ac:dyDescent="0.3">
      <c r="A209" s="33" t="s">
        <v>215</v>
      </c>
      <c r="B209" s="33" t="s">
        <v>103</v>
      </c>
      <c r="C209" s="48" t="s">
        <v>104</v>
      </c>
      <c r="D209" s="76">
        <f>0.085</f>
        <v>8.5000000000000006E-2</v>
      </c>
      <c r="E209" s="58"/>
      <c r="F209" s="59"/>
      <c r="G209" s="58"/>
      <c r="H209" s="59"/>
      <c r="I209" s="58"/>
      <c r="J209" s="59"/>
      <c r="K209" s="58"/>
      <c r="L209" s="59"/>
      <c r="M209" s="33"/>
      <c r="N209" s="52" t="s">
        <v>57</v>
      </c>
      <c r="O209" s="52" t="s">
        <v>105</v>
      </c>
      <c r="P209" s="52" t="s">
        <v>50</v>
      </c>
      <c r="Q209" s="52" t="s">
        <v>50</v>
      </c>
      <c r="R209" s="52" t="s">
        <v>51</v>
      </c>
      <c r="S209" s="74"/>
      <c r="T209" s="74"/>
      <c r="U209" s="74"/>
      <c r="V209" s="74"/>
      <c r="W209" s="74">
        <v>2</v>
      </c>
      <c r="X209" s="74"/>
      <c r="Y209" s="74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  <c r="AM209" s="74"/>
      <c r="AN209" s="74"/>
      <c r="AO209" s="74"/>
      <c r="AP209" s="74"/>
      <c r="AQ209" s="74"/>
      <c r="AR209" s="74"/>
      <c r="AS209" s="74"/>
      <c r="AT209" s="74"/>
      <c r="AU209" s="74"/>
      <c r="AV209" s="52" t="s">
        <v>47</v>
      </c>
      <c r="AW209" s="52" t="s">
        <v>106</v>
      </c>
      <c r="AX209" s="52" t="s">
        <v>47</v>
      </c>
      <c r="AY209" s="52" t="s">
        <v>47</v>
      </c>
    </row>
    <row r="210" spans="1:51" ht="30" customHeight="1" x14ac:dyDescent="0.3">
      <c r="A210" s="33" t="s">
        <v>107</v>
      </c>
      <c r="B210" s="33" t="s">
        <v>108</v>
      </c>
      <c r="C210" s="48" t="s">
        <v>101</v>
      </c>
      <c r="D210" s="57">
        <v>1</v>
      </c>
      <c r="E210" s="58"/>
      <c r="F210" s="59"/>
      <c r="G210" s="58"/>
      <c r="H210" s="59"/>
      <c r="I210" s="58"/>
      <c r="J210" s="59"/>
      <c r="K210" s="58"/>
      <c r="L210" s="59"/>
      <c r="M210" s="33" t="s">
        <v>47</v>
      </c>
      <c r="N210" s="52" t="s">
        <v>57</v>
      </c>
      <c r="O210" s="52" t="s">
        <v>109</v>
      </c>
      <c r="P210" s="52" t="s">
        <v>50</v>
      </c>
      <c r="Q210" s="52" t="s">
        <v>50</v>
      </c>
      <c r="R210" s="52" t="s">
        <v>50</v>
      </c>
      <c r="S210" s="74">
        <v>1</v>
      </c>
      <c r="T210" s="74">
        <v>0</v>
      </c>
      <c r="U210" s="74">
        <v>0.03</v>
      </c>
      <c r="V210" s="74"/>
      <c r="W210" s="74"/>
      <c r="X210" s="74"/>
      <c r="Y210" s="74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  <c r="AM210" s="74"/>
      <c r="AN210" s="74"/>
      <c r="AO210" s="74"/>
      <c r="AP210" s="74"/>
      <c r="AQ210" s="74"/>
      <c r="AR210" s="74"/>
      <c r="AS210" s="74"/>
      <c r="AT210" s="74"/>
      <c r="AU210" s="74"/>
      <c r="AV210" s="52" t="s">
        <v>47</v>
      </c>
      <c r="AW210" s="52" t="s">
        <v>110</v>
      </c>
      <c r="AX210" s="52" t="s">
        <v>47</v>
      </c>
      <c r="AY210" s="52" t="s">
        <v>47</v>
      </c>
    </row>
    <row r="211" spans="1:51" ht="30" customHeight="1" x14ac:dyDescent="0.3">
      <c r="A211" s="33" t="s">
        <v>111</v>
      </c>
      <c r="B211" s="33" t="s">
        <v>47</v>
      </c>
      <c r="C211" s="48" t="s">
        <v>47</v>
      </c>
      <c r="D211" s="57"/>
      <c r="E211" s="58"/>
      <c r="F211" s="59">
        <f>TRUNC(SUMIF(N208:N210, N207, F208:F210),0)</f>
        <v>0</v>
      </c>
      <c r="G211" s="58"/>
      <c r="H211" s="59">
        <f>TRUNC(SUMIF(N208:N210, N207, H208:H210),0)</f>
        <v>0</v>
      </c>
      <c r="I211" s="58"/>
      <c r="J211" s="59">
        <f>TRUNC(SUMIF(N208:N210, N207, J208:J210),0)</f>
        <v>0</v>
      </c>
      <c r="K211" s="58"/>
      <c r="L211" s="59">
        <f>F211+H211+J211</f>
        <v>0</v>
      </c>
      <c r="M211" s="33" t="s">
        <v>47</v>
      </c>
      <c r="N211" s="52" t="s">
        <v>81</v>
      </c>
      <c r="O211" s="52" t="s">
        <v>81</v>
      </c>
      <c r="P211" s="52" t="s">
        <v>47</v>
      </c>
      <c r="Q211" s="52" t="s">
        <v>47</v>
      </c>
      <c r="R211" s="52" t="s">
        <v>47</v>
      </c>
      <c r="S211" s="74"/>
      <c r="T211" s="74"/>
      <c r="U211" s="74"/>
      <c r="V211" s="74"/>
      <c r="W211" s="74"/>
      <c r="X211" s="74"/>
      <c r="Y211" s="74"/>
      <c r="Z211" s="74"/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  <c r="AM211" s="74"/>
      <c r="AN211" s="74"/>
      <c r="AO211" s="74"/>
      <c r="AP211" s="74"/>
      <c r="AQ211" s="74"/>
      <c r="AR211" s="74"/>
      <c r="AS211" s="74"/>
      <c r="AT211" s="74"/>
      <c r="AU211" s="74"/>
      <c r="AV211" s="52" t="s">
        <v>47</v>
      </c>
      <c r="AW211" s="52" t="s">
        <v>47</v>
      </c>
      <c r="AX211" s="52" t="s">
        <v>47</v>
      </c>
      <c r="AY211" s="52" t="s">
        <v>47</v>
      </c>
    </row>
    <row r="212" spans="1:51" ht="30" customHeight="1" x14ac:dyDescent="0.3">
      <c r="A212" s="57"/>
      <c r="B212" s="57"/>
      <c r="C212" s="49"/>
      <c r="D212" s="57"/>
      <c r="E212" s="58"/>
      <c r="F212" s="59"/>
      <c r="G212" s="58"/>
      <c r="H212" s="59"/>
      <c r="I212" s="58"/>
      <c r="J212" s="59"/>
      <c r="K212" s="58"/>
      <c r="L212" s="59"/>
      <c r="M212" s="57"/>
    </row>
    <row r="213" spans="1:51" ht="30" customHeight="1" x14ac:dyDescent="0.3">
      <c r="A213" s="104" t="e">
        <f>A214&amp;"  "&amp;B214&amp;"  "&amp; C214&amp;"     ( 호표 32 )"</f>
        <v>#REF!</v>
      </c>
      <c r="B213" s="104"/>
      <c r="C213" s="104"/>
      <c r="D213" s="104"/>
      <c r="E213" s="105"/>
      <c r="F213" s="106"/>
      <c r="G213" s="105"/>
      <c r="H213" s="106"/>
      <c r="I213" s="105"/>
      <c r="J213" s="106"/>
      <c r="K213" s="105"/>
      <c r="L213" s="106"/>
      <c r="M213" s="104"/>
      <c r="N213" s="72" t="s">
        <v>57</v>
      </c>
    </row>
    <row r="214" spans="1:51" ht="30" customHeight="1" x14ac:dyDescent="0.3">
      <c r="A214" s="33" t="s">
        <v>317</v>
      </c>
      <c r="B214" s="33" t="e">
        <f>#REF!</f>
        <v>#REF!</v>
      </c>
      <c r="C214" s="48" t="e">
        <f>#REF!</f>
        <v>#REF!</v>
      </c>
      <c r="D214" s="33">
        <v>1</v>
      </c>
      <c r="E214" s="58"/>
      <c r="F214" s="59"/>
      <c r="G214" s="58"/>
      <c r="H214" s="59"/>
      <c r="I214" s="58"/>
      <c r="J214" s="59"/>
      <c r="K214" s="58"/>
      <c r="L214" s="59"/>
      <c r="M214" s="33" t="s">
        <v>47</v>
      </c>
      <c r="N214" s="52" t="s">
        <v>57</v>
      </c>
      <c r="O214" s="52" t="s">
        <v>99</v>
      </c>
      <c r="P214" s="52" t="s">
        <v>50</v>
      </c>
      <c r="Q214" s="52" t="s">
        <v>50</v>
      </c>
      <c r="R214" s="52" t="s">
        <v>51</v>
      </c>
      <c r="S214" s="74"/>
      <c r="T214" s="74"/>
      <c r="U214" s="74"/>
      <c r="V214" s="74">
        <v>1</v>
      </c>
      <c r="W214" s="74"/>
      <c r="X214" s="74"/>
      <c r="Y214" s="74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  <c r="AM214" s="74"/>
      <c r="AN214" s="74"/>
      <c r="AO214" s="74"/>
      <c r="AP214" s="74"/>
      <c r="AQ214" s="74"/>
      <c r="AR214" s="74"/>
      <c r="AS214" s="74"/>
      <c r="AT214" s="74"/>
      <c r="AU214" s="74"/>
      <c r="AV214" s="52" t="s">
        <v>47</v>
      </c>
      <c r="AW214" s="52" t="s">
        <v>100</v>
      </c>
      <c r="AX214" s="52" t="s">
        <v>47</v>
      </c>
      <c r="AY214" s="52" t="s">
        <v>47</v>
      </c>
    </row>
    <row r="215" spans="1:51" ht="30" customHeight="1" x14ac:dyDescent="0.3">
      <c r="A215" s="33" t="s">
        <v>215</v>
      </c>
      <c r="B215" s="33" t="s">
        <v>103</v>
      </c>
      <c r="C215" s="48" t="s">
        <v>104</v>
      </c>
      <c r="D215" s="76">
        <f>0.085</f>
        <v>8.5000000000000006E-2</v>
      </c>
      <c r="E215" s="58"/>
      <c r="F215" s="59"/>
      <c r="G215" s="58"/>
      <c r="H215" s="59"/>
      <c r="I215" s="58"/>
      <c r="J215" s="59"/>
      <c r="K215" s="58"/>
      <c r="L215" s="59"/>
      <c r="M215" s="33"/>
      <c r="N215" s="52" t="s">
        <v>57</v>
      </c>
      <c r="O215" s="52" t="s">
        <v>105</v>
      </c>
      <c r="P215" s="52" t="s">
        <v>50</v>
      </c>
      <c r="Q215" s="52" t="s">
        <v>50</v>
      </c>
      <c r="R215" s="52" t="s">
        <v>51</v>
      </c>
      <c r="S215" s="74"/>
      <c r="T215" s="74"/>
      <c r="U215" s="74"/>
      <c r="V215" s="74"/>
      <c r="W215" s="74">
        <v>2</v>
      </c>
      <c r="X215" s="74"/>
      <c r="Y215" s="74"/>
      <c r="Z215" s="74"/>
      <c r="AA215" s="74"/>
      <c r="AB215" s="74"/>
      <c r="AC215" s="74"/>
      <c r="AD215" s="74"/>
      <c r="AE215" s="74"/>
      <c r="AF215" s="74"/>
      <c r="AG215" s="74"/>
      <c r="AH215" s="74"/>
      <c r="AI215" s="74"/>
      <c r="AJ215" s="74"/>
      <c r="AK215" s="74"/>
      <c r="AL215" s="74"/>
      <c r="AM215" s="74"/>
      <c r="AN215" s="74"/>
      <c r="AO215" s="74"/>
      <c r="AP215" s="74"/>
      <c r="AQ215" s="74"/>
      <c r="AR215" s="74"/>
      <c r="AS215" s="74"/>
      <c r="AT215" s="74"/>
      <c r="AU215" s="74"/>
      <c r="AV215" s="52" t="s">
        <v>47</v>
      </c>
      <c r="AW215" s="52" t="s">
        <v>106</v>
      </c>
      <c r="AX215" s="52" t="s">
        <v>47</v>
      </c>
      <c r="AY215" s="52" t="s">
        <v>47</v>
      </c>
    </row>
    <row r="216" spans="1:51" ht="30" customHeight="1" x14ac:dyDescent="0.3">
      <c r="A216" s="33" t="s">
        <v>107</v>
      </c>
      <c r="B216" s="33" t="s">
        <v>108</v>
      </c>
      <c r="C216" s="48" t="s">
        <v>101</v>
      </c>
      <c r="D216" s="57">
        <v>1</v>
      </c>
      <c r="E216" s="58"/>
      <c r="F216" s="59"/>
      <c r="G216" s="58"/>
      <c r="H216" s="59"/>
      <c r="I216" s="58"/>
      <c r="J216" s="59"/>
      <c r="K216" s="58"/>
      <c r="L216" s="59"/>
      <c r="M216" s="33" t="s">
        <v>47</v>
      </c>
      <c r="N216" s="52" t="s">
        <v>57</v>
      </c>
      <c r="O216" s="52" t="s">
        <v>109</v>
      </c>
      <c r="P216" s="52" t="s">
        <v>50</v>
      </c>
      <c r="Q216" s="52" t="s">
        <v>50</v>
      </c>
      <c r="R216" s="52" t="s">
        <v>50</v>
      </c>
      <c r="S216" s="74">
        <v>1</v>
      </c>
      <c r="T216" s="74">
        <v>0</v>
      </c>
      <c r="U216" s="74">
        <v>0.03</v>
      </c>
      <c r="V216" s="74"/>
      <c r="W216" s="74"/>
      <c r="X216" s="74"/>
      <c r="Y216" s="74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  <c r="AM216" s="74"/>
      <c r="AN216" s="74"/>
      <c r="AO216" s="74"/>
      <c r="AP216" s="74"/>
      <c r="AQ216" s="74"/>
      <c r="AR216" s="74"/>
      <c r="AS216" s="74"/>
      <c r="AT216" s="74"/>
      <c r="AU216" s="74"/>
      <c r="AV216" s="52" t="s">
        <v>47</v>
      </c>
      <c r="AW216" s="52" t="s">
        <v>110</v>
      </c>
      <c r="AX216" s="52" t="s">
        <v>47</v>
      </c>
      <c r="AY216" s="52" t="s">
        <v>47</v>
      </c>
    </row>
    <row r="217" spans="1:51" ht="30" customHeight="1" x14ac:dyDescent="0.3">
      <c r="A217" s="33" t="s">
        <v>111</v>
      </c>
      <c r="B217" s="33" t="s">
        <v>47</v>
      </c>
      <c r="C217" s="48" t="s">
        <v>47</v>
      </c>
      <c r="D217" s="57"/>
      <c r="E217" s="58"/>
      <c r="F217" s="59">
        <f>TRUNC(SUMIF(N214:N216, N213, F214:F216),0)</f>
        <v>0</v>
      </c>
      <c r="G217" s="58"/>
      <c r="H217" s="59">
        <f>TRUNC(SUMIF(N214:N216, N213, H214:H216),0)</f>
        <v>0</v>
      </c>
      <c r="I217" s="58"/>
      <c r="J217" s="59">
        <f>TRUNC(SUMIF(N214:N216, N213, J214:J216),0)</f>
        <v>0</v>
      </c>
      <c r="K217" s="58"/>
      <c r="L217" s="59">
        <f>F217+H217+J217</f>
        <v>0</v>
      </c>
      <c r="M217" s="33" t="s">
        <v>47</v>
      </c>
      <c r="N217" s="52" t="s">
        <v>81</v>
      </c>
      <c r="O217" s="52" t="s">
        <v>81</v>
      </c>
      <c r="P217" s="52" t="s">
        <v>47</v>
      </c>
      <c r="Q217" s="52" t="s">
        <v>47</v>
      </c>
      <c r="R217" s="52" t="s">
        <v>47</v>
      </c>
      <c r="S217" s="74"/>
      <c r="T217" s="74"/>
      <c r="U217" s="74"/>
      <c r="V217" s="74"/>
      <c r="W217" s="74"/>
      <c r="X217" s="74"/>
      <c r="Y217" s="74"/>
      <c r="Z217" s="74"/>
      <c r="AA217" s="74"/>
      <c r="AB217" s="74"/>
      <c r="AC217" s="74"/>
      <c r="AD217" s="74"/>
      <c r="AE217" s="74"/>
      <c r="AF217" s="74"/>
      <c r="AG217" s="74"/>
      <c r="AH217" s="74"/>
      <c r="AI217" s="74"/>
      <c r="AJ217" s="74"/>
      <c r="AK217" s="74"/>
      <c r="AL217" s="74"/>
      <c r="AM217" s="74"/>
      <c r="AN217" s="74"/>
      <c r="AO217" s="74"/>
      <c r="AP217" s="74"/>
      <c r="AQ217" s="74"/>
      <c r="AR217" s="74"/>
      <c r="AS217" s="74"/>
      <c r="AT217" s="74"/>
      <c r="AU217" s="74"/>
      <c r="AV217" s="52" t="s">
        <v>47</v>
      </c>
      <c r="AW217" s="52" t="s">
        <v>47</v>
      </c>
      <c r="AX217" s="52" t="s">
        <v>47</v>
      </c>
      <c r="AY217" s="52" t="s">
        <v>47</v>
      </c>
    </row>
    <row r="218" spans="1:51" ht="30" customHeight="1" x14ac:dyDescent="0.3">
      <c r="A218" s="57"/>
      <c r="B218" s="57"/>
      <c r="C218" s="49"/>
      <c r="D218" s="57"/>
      <c r="E218" s="58"/>
      <c r="F218" s="59"/>
      <c r="G218" s="58"/>
      <c r="H218" s="59"/>
      <c r="I218" s="58"/>
      <c r="J218" s="59"/>
      <c r="K218" s="58"/>
      <c r="L218" s="59"/>
      <c r="M218" s="57"/>
    </row>
    <row r="219" spans="1:51" ht="30" customHeight="1" x14ac:dyDescent="0.3">
      <c r="A219" s="104" t="e">
        <f>A220&amp;"  "&amp;B220&amp;"  "&amp; C220&amp;"     ( 호표 33 )"</f>
        <v>#REF!</v>
      </c>
      <c r="B219" s="104"/>
      <c r="C219" s="104"/>
      <c r="D219" s="104"/>
      <c r="E219" s="105"/>
      <c r="F219" s="106"/>
      <c r="G219" s="105"/>
      <c r="H219" s="106"/>
      <c r="I219" s="105"/>
      <c r="J219" s="106"/>
      <c r="K219" s="105"/>
      <c r="L219" s="106"/>
      <c r="M219" s="104"/>
      <c r="N219" s="72" t="s">
        <v>57</v>
      </c>
    </row>
    <row r="220" spans="1:51" ht="30" customHeight="1" x14ac:dyDescent="0.3">
      <c r="A220" s="33" t="s">
        <v>317</v>
      </c>
      <c r="B220" s="33" t="e">
        <f>#REF!</f>
        <v>#REF!</v>
      </c>
      <c r="C220" s="48" t="e">
        <f>#REF!</f>
        <v>#REF!</v>
      </c>
      <c r="D220" s="33">
        <v>1</v>
      </c>
      <c r="E220" s="58"/>
      <c r="F220" s="59"/>
      <c r="G220" s="58"/>
      <c r="H220" s="59"/>
      <c r="I220" s="58"/>
      <c r="J220" s="59"/>
      <c r="K220" s="58"/>
      <c r="L220" s="59"/>
      <c r="M220" s="33" t="s">
        <v>47</v>
      </c>
      <c r="N220" s="52" t="s">
        <v>57</v>
      </c>
      <c r="O220" s="52" t="s">
        <v>99</v>
      </c>
      <c r="P220" s="52" t="s">
        <v>50</v>
      </c>
      <c r="Q220" s="52" t="s">
        <v>50</v>
      </c>
      <c r="R220" s="52" t="s">
        <v>51</v>
      </c>
      <c r="S220" s="74"/>
      <c r="T220" s="74"/>
      <c r="U220" s="74"/>
      <c r="V220" s="74">
        <v>1</v>
      </c>
      <c r="W220" s="74"/>
      <c r="X220" s="74"/>
      <c r="Y220" s="74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  <c r="AM220" s="74"/>
      <c r="AN220" s="74"/>
      <c r="AO220" s="74"/>
      <c r="AP220" s="74"/>
      <c r="AQ220" s="74"/>
      <c r="AR220" s="74"/>
      <c r="AS220" s="74"/>
      <c r="AT220" s="74"/>
      <c r="AU220" s="74"/>
      <c r="AV220" s="52" t="s">
        <v>47</v>
      </c>
      <c r="AW220" s="52" t="s">
        <v>100</v>
      </c>
      <c r="AX220" s="52" t="s">
        <v>47</v>
      </c>
      <c r="AY220" s="52" t="s">
        <v>47</v>
      </c>
    </row>
    <row r="221" spans="1:51" ht="30" customHeight="1" x14ac:dyDescent="0.3">
      <c r="A221" s="33" t="s">
        <v>215</v>
      </c>
      <c r="B221" s="33" t="s">
        <v>103</v>
      </c>
      <c r="C221" s="48" t="s">
        <v>104</v>
      </c>
      <c r="D221" s="76">
        <f>0.085</f>
        <v>8.5000000000000006E-2</v>
      </c>
      <c r="E221" s="58"/>
      <c r="F221" s="59"/>
      <c r="G221" s="58"/>
      <c r="H221" s="59"/>
      <c r="I221" s="58"/>
      <c r="J221" s="59"/>
      <c r="K221" s="58"/>
      <c r="L221" s="59"/>
      <c r="M221" s="33"/>
      <c r="N221" s="52" t="s">
        <v>57</v>
      </c>
      <c r="O221" s="52" t="s">
        <v>105</v>
      </c>
      <c r="P221" s="52" t="s">
        <v>50</v>
      </c>
      <c r="Q221" s="52" t="s">
        <v>50</v>
      </c>
      <c r="R221" s="52" t="s">
        <v>51</v>
      </c>
      <c r="S221" s="74"/>
      <c r="T221" s="74"/>
      <c r="U221" s="74"/>
      <c r="V221" s="74"/>
      <c r="W221" s="74">
        <v>2</v>
      </c>
      <c r="X221" s="74"/>
      <c r="Y221" s="74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  <c r="AM221" s="74"/>
      <c r="AN221" s="74"/>
      <c r="AO221" s="74"/>
      <c r="AP221" s="74"/>
      <c r="AQ221" s="74"/>
      <c r="AR221" s="74"/>
      <c r="AS221" s="74"/>
      <c r="AT221" s="74"/>
      <c r="AU221" s="74"/>
      <c r="AV221" s="52" t="s">
        <v>47</v>
      </c>
      <c r="AW221" s="52" t="s">
        <v>106</v>
      </c>
      <c r="AX221" s="52" t="s">
        <v>47</v>
      </c>
      <c r="AY221" s="52" t="s">
        <v>47</v>
      </c>
    </row>
    <row r="222" spans="1:51" ht="30" customHeight="1" x14ac:dyDescent="0.3">
      <c r="A222" s="33" t="s">
        <v>107</v>
      </c>
      <c r="B222" s="33" t="s">
        <v>108</v>
      </c>
      <c r="C222" s="48" t="s">
        <v>101</v>
      </c>
      <c r="D222" s="57">
        <v>1</v>
      </c>
      <c r="E222" s="58"/>
      <c r="F222" s="59"/>
      <c r="G222" s="58"/>
      <c r="H222" s="59"/>
      <c r="I222" s="58"/>
      <c r="J222" s="59"/>
      <c r="K222" s="58"/>
      <c r="L222" s="59"/>
      <c r="M222" s="33" t="s">
        <v>47</v>
      </c>
      <c r="N222" s="52" t="s">
        <v>57</v>
      </c>
      <c r="O222" s="52" t="s">
        <v>109</v>
      </c>
      <c r="P222" s="52" t="s">
        <v>50</v>
      </c>
      <c r="Q222" s="52" t="s">
        <v>50</v>
      </c>
      <c r="R222" s="52" t="s">
        <v>50</v>
      </c>
      <c r="S222" s="74">
        <v>1</v>
      </c>
      <c r="T222" s="74">
        <v>0</v>
      </c>
      <c r="U222" s="74">
        <v>0.03</v>
      </c>
      <c r="V222" s="74"/>
      <c r="W222" s="74"/>
      <c r="X222" s="74"/>
      <c r="Y222" s="74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  <c r="AM222" s="74"/>
      <c r="AN222" s="74"/>
      <c r="AO222" s="74"/>
      <c r="AP222" s="74"/>
      <c r="AQ222" s="74"/>
      <c r="AR222" s="74"/>
      <c r="AS222" s="74"/>
      <c r="AT222" s="74"/>
      <c r="AU222" s="74"/>
      <c r="AV222" s="52" t="s">
        <v>47</v>
      </c>
      <c r="AW222" s="52" t="s">
        <v>110</v>
      </c>
      <c r="AX222" s="52" t="s">
        <v>47</v>
      </c>
      <c r="AY222" s="52" t="s">
        <v>47</v>
      </c>
    </row>
    <row r="223" spans="1:51" ht="30" customHeight="1" x14ac:dyDescent="0.3">
      <c r="A223" s="33" t="s">
        <v>111</v>
      </c>
      <c r="B223" s="33" t="s">
        <v>47</v>
      </c>
      <c r="C223" s="48" t="s">
        <v>47</v>
      </c>
      <c r="D223" s="57"/>
      <c r="E223" s="58"/>
      <c r="F223" s="59">
        <f>TRUNC(SUMIF(N220:N222, N219, F220:F222),0)</f>
        <v>0</v>
      </c>
      <c r="G223" s="58"/>
      <c r="H223" s="59">
        <f>TRUNC(SUMIF(N220:N222, N219, H220:H222),0)</f>
        <v>0</v>
      </c>
      <c r="I223" s="58"/>
      <c r="J223" s="59">
        <f>TRUNC(SUMIF(N220:N222, N219, J220:J222),0)</f>
        <v>0</v>
      </c>
      <c r="K223" s="58"/>
      <c r="L223" s="59">
        <f>F223+H223+J223</f>
        <v>0</v>
      </c>
      <c r="M223" s="33" t="s">
        <v>47</v>
      </c>
      <c r="N223" s="52" t="s">
        <v>81</v>
      </c>
      <c r="O223" s="52" t="s">
        <v>81</v>
      </c>
      <c r="P223" s="52" t="s">
        <v>47</v>
      </c>
      <c r="Q223" s="52" t="s">
        <v>47</v>
      </c>
      <c r="R223" s="52" t="s">
        <v>47</v>
      </c>
      <c r="S223" s="74"/>
      <c r="T223" s="74"/>
      <c r="U223" s="74"/>
      <c r="V223" s="74"/>
      <c r="W223" s="74"/>
      <c r="X223" s="74"/>
      <c r="Y223" s="74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  <c r="AM223" s="74"/>
      <c r="AN223" s="74"/>
      <c r="AO223" s="74"/>
      <c r="AP223" s="74"/>
      <c r="AQ223" s="74"/>
      <c r="AR223" s="74"/>
      <c r="AS223" s="74"/>
      <c r="AT223" s="74"/>
      <c r="AU223" s="74"/>
      <c r="AV223" s="52" t="s">
        <v>47</v>
      </c>
      <c r="AW223" s="52" t="s">
        <v>47</v>
      </c>
      <c r="AX223" s="52" t="s">
        <v>47</v>
      </c>
      <c r="AY223" s="52" t="s">
        <v>47</v>
      </c>
    </row>
    <row r="224" spans="1:51" ht="30" customHeight="1" x14ac:dyDescent="0.3">
      <c r="A224" s="57"/>
      <c r="B224" s="57"/>
      <c r="C224" s="49"/>
      <c r="D224" s="57"/>
      <c r="E224" s="58"/>
      <c r="F224" s="59"/>
      <c r="G224" s="58"/>
      <c r="H224" s="59"/>
      <c r="I224" s="58"/>
      <c r="J224" s="59"/>
      <c r="K224" s="58"/>
      <c r="L224" s="59"/>
      <c r="M224" s="57"/>
    </row>
    <row r="225" spans="1:51" ht="30" customHeight="1" x14ac:dyDescent="0.3">
      <c r="A225" s="104" t="str">
        <f>A226&amp;"  "&amp;B226&amp;"  "&amp; C226&amp;"     ( 호표 34 )"</f>
        <v>콘센트 철거  접지극부 15A  개     ( 호표 34 )</v>
      </c>
      <c r="B225" s="104"/>
      <c r="C225" s="104"/>
      <c r="D225" s="104"/>
      <c r="E225" s="105"/>
      <c r="F225" s="106"/>
      <c r="G225" s="105"/>
      <c r="H225" s="106"/>
      <c r="I225" s="105"/>
      <c r="J225" s="106"/>
      <c r="K225" s="105"/>
      <c r="L225" s="106"/>
      <c r="M225" s="104"/>
      <c r="N225" s="72" t="s">
        <v>57</v>
      </c>
    </row>
    <row r="226" spans="1:51" ht="30" customHeight="1" x14ac:dyDescent="0.3">
      <c r="A226" s="33" t="s">
        <v>316</v>
      </c>
      <c r="B226" s="33" t="s">
        <v>325</v>
      </c>
      <c r="C226" s="48" t="s">
        <v>207</v>
      </c>
      <c r="D226" s="57">
        <v>1</v>
      </c>
      <c r="E226" s="58"/>
      <c r="F226" s="59"/>
      <c r="G226" s="58"/>
      <c r="H226" s="59"/>
      <c r="I226" s="58"/>
      <c r="J226" s="59"/>
      <c r="K226" s="58"/>
      <c r="L226" s="59"/>
      <c r="M226" s="33" t="s">
        <v>47</v>
      </c>
      <c r="N226" s="52" t="s">
        <v>57</v>
      </c>
      <c r="O226" s="52" t="s">
        <v>99</v>
      </c>
      <c r="P226" s="52" t="s">
        <v>50</v>
      </c>
      <c r="Q226" s="52" t="s">
        <v>50</v>
      </c>
      <c r="R226" s="52" t="s">
        <v>51</v>
      </c>
      <c r="S226" s="74"/>
      <c r="T226" s="74"/>
      <c r="U226" s="74"/>
      <c r="V226" s="74">
        <v>1</v>
      </c>
      <c r="W226" s="74"/>
      <c r="X226" s="74"/>
      <c r="Y226" s="74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  <c r="AM226" s="74"/>
      <c r="AN226" s="74"/>
      <c r="AO226" s="74"/>
      <c r="AP226" s="74"/>
      <c r="AQ226" s="74"/>
      <c r="AR226" s="74"/>
      <c r="AS226" s="74"/>
      <c r="AT226" s="74"/>
      <c r="AU226" s="74"/>
      <c r="AV226" s="52" t="s">
        <v>47</v>
      </c>
      <c r="AW226" s="52" t="s">
        <v>100</v>
      </c>
      <c r="AX226" s="52" t="s">
        <v>47</v>
      </c>
      <c r="AY226" s="52" t="s">
        <v>47</v>
      </c>
    </row>
    <row r="227" spans="1:51" ht="30" customHeight="1" x14ac:dyDescent="0.3">
      <c r="A227" s="33" t="s">
        <v>215</v>
      </c>
      <c r="B227" s="33" t="s">
        <v>103</v>
      </c>
      <c r="C227" s="48" t="s">
        <v>104</v>
      </c>
      <c r="D227" s="77">
        <f>0.08*1.2*0.3</f>
        <v>2.8799999999999999E-2</v>
      </c>
      <c r="E227" s="58"/>
      <c r="F227" s="59"/>
      <c r="G227" s="58"/>
      <c r="H227" s="59"/>
      <c r="I227" s="58"/>
      <c r="J227" s="59"/>
      <c r="K227" s="58"/>
      <c r="L227" s="59"/>
      <c r="M227" s="33"/>
      <c r="N227" s="52" t="s">
        <v>57</v>
      </c>
      <c r="O227" s="52" t="s">
        <v>105</v>
      </c>
      <c r="P227" s="52" t="s">
        <v>50</v>
      </c>
      <c r="Q227" s="52" t="s">
        <v>50</v>
      </c>
      <c r="R227" s="52" t="s">
        <v>51</v>
      </c>
      <c r="S227" s="74"/>
      <c r="T227" s="74"/>
      <c r="U227" s="74"/>
      <c r="V227" s="74"/>
      <c r="W227" s="74">
        <v>2</v>
      </c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52" t="s">
        <v>47</v>
      </c>
      <c r="AW227" s="52" t="s">
        <v>106</v>
      </c>
      <c r="AX227" s="52" t="s">
        <v>47</v>
      </c>
      <c r="AY227" s="52" t="s">
        <v>47</v>
      </c>
    </row>
    <row r="228" spans="1:51" ht="30" customHeight="1" x14ac:dyDescent="0.3">
      <c r="A228" s="33" t="s">
        <v>107</v>
      </c>
      <c r="B228" s="33" t="s">
        <v>108</v>
      </c>
      <c r="C228" s="48" t="s">
        <v>101</v>
      </c>
      <c r="D228" s="57">
        <v>1</v>
      </c>
      <c r="E228" s="58"/>
      <c r="F228" s="59"/>
      <c r="G228" s="58"/>
      <c r="H228" s="59"/>
      <c r="I228" s="58"/>
      <c r="J228" s="59"/>
      <c r="K228" s="58"/>
      <c r="L228" s="59"/>
      <c r="M228" s="33" t="s">
        <v>47</v>
      </c>
      <c r="N228" s="52" t="s">
        <v>57</v>
      </c>
      <c r="O228" s="52" t="s">
        <v>109</v>
      </c>
      <c r="P228" s="52" t="s">
        <v>50</v>
      </c>
      <c r="Q228" s="52" t="s">
        <v>50</v>
      </c>
      <c r="R228" s="52" t="s">
        <v>50</v>
      </c>
      <c r="S228" s="74">
        <v>1</v>
      </c>
      <c r="T228" s="74">
        <v>0</v>
      </c>
      <c r="U228" s="74">
        <v>0.03</v>
      </c>
      <c r="V228" s="74"/>
      <c r="W228" s="74"/>
      <c r="X228" s="74"/>
      <c r="Y228" s="74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  <c r="AM228" s="74"/>
      <c r="AN228" s="74"/>
      <c r="AO228" s="74"/>
      <c r="AP228" s="74"/>
      <c r="AQ228" s="74"/>
      <c r="AR228" s="74"/>
      <c r="AS228" s="74"/>
      <c r="AT228" s="74"/>
      <c r="AU228" s="74"/>
      <c r="AV228" s="52" t="s">
        <v>47</v>
      </c>
      <c r="AW228" s="52" t="s">
        <v>110</v>
      </c>
      <c r="AX228" s="52" t="s">
        <v>47</v>
      </c>
      <c r="AY228" s="52" t="s">
        <v>47</v>
      </c>
    </row>
    <row r="229" spans="1:51" ht="30" customHeight="1" x14ac:dyDescent="0.3">
      <c r="A229" s="33" t="s">
        <v>111</v>
      </c>
      <c r="B229" s="33" t="s">
        <v>47</v>
      </c>
      <c r="C229" s="48" t="s">
        <v>47</v>
      </c>
      <c r="D229" s="57"/>
      <c r="E229" s="58"/>
      <c r="F229" s="59">
        <f>TRUNC(SUMIF(N226:N228, N225, F226:F228),0)</f>
        <v>0</v>
      </c>
      <c r="G229" s="58"/>
      <c r="H229" s="59">
        <f>TRUNC(SUMIF(N226:N228, N225, H226:H228),0)</f>
        <v>0</v>
      </c>
      <c r="I229" s="58"/>
      <c r="J229" s="59">
        <f>TRUNC(SUMIF(N226:N228, N225, J226:J228),0)</f>
        <v>0</v>
      </c>
      <c r="K229" s="58"/>
      <c r="L229" s="59">
        <f>F229+H229+J229</f>
        <v>0</v>
      </c>
      <c r="M229" s="33" t="s">
        <v>47</v>
      </c>
      <c r="N229" s="52" t="s">
        <v>81</v>
      </c>
      <c r="O229" s="52" t="s">
        <v>81</v>
      </c>
      <c r="P229" s="52" t="s">
        <v>47</v>
      </c>
      <c r="Q229" s="52" t="s">
        <v>47</v>
      </c>
      <c r="R229" s="52" t="s">
        <v>47</v>
      </c>
      <c r="S229" s="74"/>
      <c r="T229" s="74"/>
      <c r="U229" s="74"/>
      <c r="V229" s="74"/>
      <c r="W229" s="74"/>
      <c r="X229" s="74"/>
      <c r="Y229" s="74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  <c r="AM229" s="74"/>
      <c r="AN229" s="74"/>
      <c r="AO229" s="74"/>
      <c r="AP229" s="74"/>
      <c r="AQ229" s="74"/>
      <c r="AR229" s="74"/>
      <c r="AS229" s="74"/>
      <c r="AT229" s="74"/>
      <c r="AU229" s="74"/>
      <c r="AV229" s="52" t="s">
        <v>47</v>
      </c>
      <c r="AW229" s="52" t="s">
        <v>47</v>
      </c>
      <c r="AX229" s="52" t="s">
        <v>47</v>
      </c>
      <c r="AY229" s="52" t="s">
        <v>47</v>
      </c>
    </row>
    <row r="230" spans="1:51" ht="30" customHeight="1" x14ac:dyDescent="0.3">
      <c r="A230" s="57"/>
      <c r="B230" s="57"/>
      <c r="C230" s="49"/>
      <c r="D230" s="57"/>
      <c r="E230" s="58"/>
      <c r="F230" s="59"/>
      <c r="G230" s="58"/>
      <c r="H230" s="59"/>
      <c r="I230" s="58"/>
      <c r="J230" s="59"/>
      <c r="K230" s="58"/>
      <c r="L230" s="59"/>
      <c r="M230" s="57"/>
    </row>
    <row r="231" spans="1:51" ht="30" customHeight="1" x14ac:dyDescent="0.3">
      <c r="A231" s="104" t="e">
        <f>A232&amp;"  "&amp;B232&amp;"  "&amp; C232&amp;"     ( 호표 35 )"</f>
        <v>#REF!</v>
      </c>
      <c r="B231" s="104"/>
      <c r="C231" s="104"/>
      <c r="D231" s="104"/>
      <c r="E231" s="105"/>
      <c r="F231" s="106"/>
      <c r="G231" s="105"/>
      <c r="H231" s="106"/>
      <c r="I231" s="105"/>
      <c r="J231" s="106"/>
      <c r="K231" s="105"/>
      <c r="L231" s="106"/>
      <c r="M231" s="104"/>
      <c r="N231" s="72" t="s">
        <v>57</v>
      </c>
    </row>
    <row r="232" spans="1:51" ht="30" customHeight="1" x14ac:dyDescent="0.3">
      <c r="A232" s="33" t="s">
        <v>326</v>
      </c>
      <c r="B232" s="33" t="e">
        <f>#REF!</f>
        <v>#REF!</v>
      </c>
      <c r="C232" s="48" t="e">
        <f>#REF!</f>
        <v>#REF!</v>
      </c>
      <c r="D232" s="57">
        <v>1</v>
      </c>
      <c r="E232" s="58"/>
      <c r="F232" s="59"/>
      <c r="G232" s="58"/>
      <c r="H232" s="59"/>
      <c r="I232" s="58"/>
      <c r="J232" s="59"/>
      <c r="K232" s="58"/>
      <c r="L232" s="59"/>
      <c r="M232" s="33" t="s">
        <v>47</v>
      </c>
      <c r="N232" s="52" t="s">
        <v>57</v>
      </c>
      <c r="O232" s="52" t="s">
        <v>99</v>
      </c>
      <c r="P232" s="52" t="s">
        <v>50</v>
      </c>
      <c r="Q232" s="52" t="s">
        <v>50</v>
      </c>
      <c r="R232" s="52" t="s">
        <v>51</v>
      </c>
      <c r="S232" s="74"/>
      <c r="T232" s="74"/>
      <c r="U232" s="74"/>
      <c r="V232" s="74">
        <v>1</v>
      </c>
      <c r="W232" s="74"/>
      <c r="X232" s="74"/>
      <c r="Y232" s="74"/>
      <c r="Z232" s="74"/>
      <c r="AA232" s="74"/>
      <c r="AB232" s="74"/>
      <c r="AC232" s="74"/>
      <c r="AD232" s="74"/>
      <c r="AE232" s="74"/>
      <c r="AF232" s="74"/>
      <c r="AG232" s="74"/>
      <c r="AH232" s="74"/>
      <c r="AI232" s="74"/>
      <c r="AJ232" s="74"/>
      <c r="AK232" s="74"/>
      <c r="AL232" s="74"/>
      <c r="AM232" s="74"/>
      <c r="AN232" s="74"/>
      <c r="AO232" s="74"/>
      <c r="AP232" s="74"/>
      <c r="AQ232" s="74"/>
      <c r="AR232" s="74"/>
      <c r="AS232" s="74"/>
      <c r="AT232" s="74"/>
      <c r="AU232" s="74"/>
      <c r="AV232" s="52" t="s">
        <v>47</v>
      </c>
      <c r="AW232" s="52" t="s">
        <v>100</v>
      </c>
      <c r="AX232" s="52" t="s">
        <v>47</v>
      </c>
      <c r="AY232" s="52" t="s">
        <v>47</v>
      </c>
    </row>
    <row r="233" spans="1:51" ht="30" customHeight="1" x14ac:dyDescent="0.3">
      <c r="A233" s="33" t="s">
        <v>215</v>
      </c>
      <c r="B233" s="33" t="s">
        <v>103</v>
      </c>
      <c r="C233" s="48" t="s">
        <v>104</v>
      </c>
      <c r="D233" s="76">
        <f>0.08*1.2</f>
        <v>9.6000000000000002E-2</v>
      </c>
      <c r="E233" s="58"/>
      <c r="F233" s="59"/>
      <c r="G233" s="58"/>
      <c r="H233" s="59"/>
      <c r="I233" s="58"/>
      <c r="J233" s="59"/>
      <c r="K233" s="58"/>
      <c r="L233" s="59"/>
      <c r="M233" s="33"/>
      <c r="N233" s="52" t="s">
        <v>57</v>
      </c>
      <c r="O233" s="52" t="s">
        <v>105</v>
      </c>
      <c r="P233" s="52" t="s">
        <v>50</v>
      </c>
      <c r="Q233" s="52" t="s">
        <v>50</v>
      </c>
      <c r="R233" s="52" t="s">
        <v>51</v>
      </c>
      <c r="S233" s="74"/>
      <c r="T233" s="74"/>
      <c r="U233" s="74"/>
      <c r="V233" s="74"/>
      <c r="W233" s="74">
        <v>2</v>
      </c>
      <c r="X233" s="74"/>
      <c r="Y233" s="74"/>
      <c r="Z233" s="74"/>
      <c r="AA233" s="74"/>
      <c r="AB233" s="74"/>
      <c r="AC233" s="74"/>
      <c r="AD233" s="74"/>
      <c r="AE233" s="74"/>
      <c r="AF233" s="74"/>
      <c r="AG233" s="74"/>
      <c r="AH233" s="74"/>
      <c r="AI233" s="74"/>
      <c r="AJ233" s="74"/>
      <c r="AK233" s="74"/>
      <c r="AL233" s="74"/>
      <c r="AM233" s="74"/>
      <c r="AN233" s="74"/>
      <c r="AO233" s="74"/>
      <c r="AP233" s="74"/>
      <c r="AQ233" s="74"/>
      <c r="AR233" s="74"/>
      <c r="AS233" s="74"/>
      <c r="AT233" s="74"/>
      <c r="AU233" s="74"/>
      <c r="AV233" s="52" t="s">
        <v>47</v>
      </c>
      <c r="AW233" s="52" t="s">
        <v>106</v>
      </c>
      <c r="AX233" s="52" t="s">
        <v>47</v>
      </c>
      <c r="AY233" s="52" t="s">
        <v>47</v>
      </c>
    </row>
    <row r="234" spans="1:51" ht="30" customHeight="1" x14ac:dyDescent="0.3">
      <c r="A234" s="33" t="s">
        <v>107</v>
      </c>
      <c r="B234" s="33" t="s">
        <v>108</v>
      </c>
      <c r="C234" s="48" t="s">
        <v>101</v>
      </c>
      <c r="D234" s="57">
        <v>1</v>
      </c>
      <c r="E234" s="58"/>
      <c r="F234" s="59"/>
      <c r="G234" s="58"/>
      <c r="H234" s="59"/>
      <c r="I234" s="58"/>
      <c r="J234" s="59"/>
      <c r="K234" s="58"/>
      <c r="L234" s="59"/>
      <c r="M234" s="33" t="s">
        <v>47</v>
      </c>
      <c r="N234" s="52" t="s">
        <v>57</v>
      </c>
      <c r="O234" s="52" t="s">
        <v>109</v>
      </c>
      <c r="P234" s="52" t="s">
        <v>50</v>
      </c>
      <c r="Q234" s="52" t="s">
        <v>50</v>
      </c>
      <c r="R234" s="52" t="s">
        <v>50</v>
      </c>
      <c r="S234" s="74">
        <v>1</v>
      </c>
      <c r="T234" s="74">
        <v>0</v>
      </c>
      <c r="U234" s="74">
        <v>0.03</v>
      </c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74"/>
      <c r="AH234" s="74"/>
      <c r="AI234" s="74"/>
      <c r="AJ234" s="74"/>
      <c r="AK234" s="74"/>
      <c r="AL234" s="74"/>
      <c r="AM234" s="74"/>
      <c r="AN234" s="74"/>
      <c r="AO234" s="74"/>
      <c r="AP234" s="74"/>
      <c r="AQ234" s="74"/>
      <c r="AR234" s="74"/>
      <c r="AS234" s="74"/>
      <c r="AT234" s="74"/>
      <c r="AU234" s="74"/>
      <c r="AV234" s="52" t="s">
        <v>47</v>
      </c>
      <c r="AW234" s="52" t="s">
        <v>110</v>
      </c>
      <c r="AX234" s="52" t="s">
        <v>47</v>
      </c>
      <c r="AY234" s="52" t="s">
        <v>47</v>
      </c>
    </row>
    <row r="235" spans="1:51" ht="30" customHeight="1" x14ac:dyDescent="0.3">
      <c r="A235" s="33" t="s">
        <v>111</v>
      </c>
      <c r="B235" s="33" t="s">
        <v>47</v>
      </c>
      <c r="C235" s="48" t="s">
        <v>47</v>
      </c>
      <c r="D235" s="57"/>
      <c r="E235" s="58"/>
      <c r="F235" s="59">
        <f>TRUNC(SUMIF(N232:N234, N231, F232:F234),0)</f>
        <v>0</v>
      </c>
      <c r="G235" s="58"/>
      <c r="H235" s="59">
        <f>TRUNC(SUMIF(N232:N234, N231, H232:H234),0)</f>
        <v>0</v>
      </c>
      <c r="I235" s="58"/>
      <c r="J235" s="59">
        <f>TRUNC(SUMIF(N232:N234, N231, J232:J234),0)</f>
        <v>0</v>
      </c>
      <c r="K235" s="58"/>
      <c r="L235" s="59">
        <f>F235+H235+J235</f>
        <v>0</v>
      </c>
      <c r="M235" s="33" t="s">
        <v>47</v>
      </c>
      <c r="N235" s="52" t="s">
        <v>81</v>
      </c>
      <c r="O235" s="52" t="s">
        <v>81</v>
      </c>
      <c r="P235" s="52" t="s">
        <v>47</v>
      </c>
      <c r="Q235" s="52" t="s">
        <v>47</v>
      </c>
      <c r="R235" s="52" t="s">
        <v>47</v>
      </c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52" t="s">
        <v>47</v>
      </c>
      <c r="AW235" s="52" t="s">
        <v>47</v>
      </c>
      <c r="AX235" s="52" t="s">
        <v>47</v>
      </c>
      <c r="AY235" s="52" t="s">
        <v>47</v>
      </c>
    </row>
    <row r="236" spans="1:51" ht="30" customHeight="1" x14ac:dyDescent="0.3">
      <c r="A236" s="57"/>
      <c r="B236" s="57"/>
      <c r="C236" s="49"/>
      <c r="D236" s="57"/>
      <c r="E236" s="58"/>
      <c r="F236" s="59"/>
      <c r="G236" s="58"/>
      <c r="H236" s="59"/>
      <c r="I236" s="58"/>
      <c r="J236" s="59"/>
      <c r="K236" s="58"/>
      <c r="L236" s="59"/>
      <c r="M236" s="57"/>
    </row>
    <row r="237" spans="1:51" ht="30" customHeight="1" x14ac:dyDescent="0.3">
      <c r="A237" s="107" t="e">
        <f>A238&amp;"  "&amp;B238&amp;"  "&amp; C238&amp;"     ( 호표 36 )"</f>
        <v>#REF!</v>
      </c>
      <c r="B237" s="107"/>
      <c r="C237" s="107"/>
      <c r="D237" s="107"/>
      <c r="E237" s="108"/>
      <c r="F237" s="109"/>
      <c r="G237" s="108"/>
      <c r="H237" s="109"/>
      <c r="I237" s="108"/>
      <c r="J237" s="109"/>
      <c r="K237" s="108"/>
      <c r="L237" s="109"/>
      <c r="M237" s="107"/>
      <c r="N237" s="72" t="s">
        <v>57</v>
      </c>
    </row>
    <row r="238" spans="1:51" ht="30" customHeight="1" x14ac:dyDescent="0.3">
      <c r="A238" s="47" t="s">
        <v>336</v>
      </c>
      <c r="B238" s="47" t="e">
        <f>#REF!</f>
        <v>#REF!</v>
      </c>
      <c r="C238" s="47" t="e">
        <f>#REF!</f>
        <v>#REF!</v>
      </c>
      <c r="D238" s="62">
        <v>1.05</v>
      </c>
      <c r="E238" s="63"/>
      <c r="F238" s="64"/>
      <c r="G238" s="63"/>
      <c r="H238" s="64"/>
      <c r="I238" s="63"/>
      <c r="J238" s="64"/>
      <c r="K238" s="63"/>
      <c r="L238" s="64"/>
      <c r="M238" s="47" t="s">
        <v>47</v>
      </c>
      <c r="N238" s="72" t="s">
        <v>57</v>
      </c>
      <c r="O238" s="72" t="s">
        <v>99</v>
      </c>
      <c r="P238" s="72" t="s">
        <v>50</v>
      </c>
      <c r="Q238" s="72" t="s">
        <v>50</v>
      </c>
      <c r="R238" s="72" t="s">
        <v>51</v>
      </c>
      <c r="V238" s="53">
        <v>1</v>
      </c>
      <c r="AV238" s="72" t="s">
        <v>47</v>
      </c>
      <c r="AW238" s="72" t="s">
        <v>100</v>
      </c>
      <c r="AX238" s="72" t="s">
        <v>47</v>
      </c>
      <c r="AY238" s="72" t="s">
        <v>47</v>
      </c>
    </row>
    <row r="239" spans="1:51" ht="30" customHeight="1" x14ac:dyDescent="0.3">
      <c r="A239" s="47" t="e">
        <f>#REF!</f>
        <v>#REF!</v>
      </c>
      <c r="B239" s="47" t="e">
        <f>#REF!</f>
        <v>#REF!</v>
      </c>
      <c r="C239" s="47" t="e">
        <f>#REF!</f>
        <v>#REF!</v>
      </c>
      <c r="D239" s="62">
        <v>1.05</v>
      </c>
      <c r="E239" s="63"/>
      <c r="F239" s="64"/>
      <c r="G239" s="63"/>
      <c r="H239" s="64"/>
      <c r="I239" s="63"/>
      <c r="J239" s="64"/>
      <c r="K239" s="63"/>
      <c r="L239" s="64"/>
      <c r="M239" s="47" t="s">
        <v>47</v>
      </c>
      <c r="N239" s="72" t="s">
        <v>57</v>
      </c>
      <c r="O239" s="72" t="s">
        <v>99</v>
      </c>
      <c r="P239" s="72" t="s">
        <v>50</v>
      </c>
      <c r="Q239" s="72" t="s">
        <v>50</v>
      </c>
      <c r="R239" s="72" t="s">
        <v>51</v>
      </c>
      <c r="V239" s="53">
        <v>1</v>
      </c>
      <c r="AV239" s="72" t="s">
        <v>47</v>
      </c>
      <c r="AW239" s="72" t="s">
        <v>100</v>
      </c>
      <c r="AX239" s="72" t="s">
        <v>47</v>
      </c>
      <c r="AY239" s="72" t="s">
        <v>47</v>
      </c>
    </row>
    <row r="240" spans="1:51" ht="30" customHeight="1" x14ac:dyDescent="0.3">
      <c r="A240" s="47" t="s">
        <v>215</v>
      </c>
      <c r="B240" s="47" t="s">
        <v>103</v>
      </c>
      <c r="C240" s="47" t="s">
        <v>104</v>
      </c>
      <c r="D240" s="65">
        <f>0.2*0.7</f>
        <v>0.13999999999999999</v>
      </c>
      <c r="E240" s="63"/>
      <c r="F240" s="64"/>
      <c r="G240" s="63"/>
      <c r="H240" s="64"/>
      <c r="I240" s="63"/>
      <c r="J240" s="64"/>
      <c r="K240" s="63"/>
      <c r="L240" s="64"/>
      <c r="M240" s="66">
        <v>0.7</v>
      </c>
      <c r="N240" s="72" t="s">
        <v>57</v>
      </c>
      <c r="O240" s="72" t="s">
        <v>105</v>
      </c>
      <c r="P240" s="72" t="s">
        <v>50</v>
      </c>
      <c r="Q240" s="72" t="s">
        <v>50</v>
      </c>
      <c r="R240" s="72" t="s">
        <v>51</v>
      </c>
      <c r="W240" s="53">
        <v>2</v>
      </c>
      <c r="AV240" s="72" t="s">
        <v>47</v>
      </c>
      <c r="AW240" s="72" t="s">
        <v>106</v>
      </c>
      <c r="AX240" s="72" t="s">
        <v>47</v>
      </c>
      <c r="AY240" s="72" t="s">
        <v>47</v>
      </c>
    </row>
    <row r="241" spans="1:51" ht="30" customHeight="1" x14ac:dyDescent="0.3">
      <c r="A241" s="47" t="s">
        <v>107</v>
      </c>
      <c r="B241" s="47" t="s">
        <v>108</v>
      </c>
      <c r="C241" s="47" t="s">
        <v>101</v>
      </c>
      <c r="D241" s="62">
        <v>1</v>
      </c>
      <c r="E241" s="63"/>
      <c r="F241" s="64"/>
      <c r="G241" s="63"/>
      <c r="H241" s="64"/>
      <c r="I241" s="63"/>
      <c r="J241" s="64"/>
      <c r="K241" s="63"/>
      <c r="L241" s="64"/>
      <c r="M241" s="47" t="s">
        <v>47</v>
      </c>
      <c r="N241" s="72" t="s">
        <v>57</v>
      </c>
      <c r="O241" s="72" t="s">
        <v>109</v>
      </c>
      <c r="P241" s="72" t="s">
        <v>50</v>
      </c>
      <c r="Q241" s="72" t="s">
        <v>50</v>
      </c>
      <c r="R241" s="72" t="s">
        <v>50</v>
      </c>
      <c r="S241" s="53">
        <v>1</v>
      </c>
      <c r="T241" s="53">
        <v>0</v>
      </c>
      <c r="U241" s="53">
        <v>0.03</v>
      </c>
      <c r="AV241" s="72" t="s">
        <v>47</v>
      </c>
      <c r="AW241" s="72" t="s">
        <v>110</v>
      </c>
      <c r="AX241" s="72" t="s">
        <v>47</v>
      </c>
      <c r="AY241" s="72" t="s">
        <v>47</v>
      </c>
    </row>
    <row r="242" spans="1:51" ht="30" customHeight="1" x14ac:dyDescent="0.3">
      <c r="A242" s="47" t="s">
        <v>111</v>
      </c>
      <c r="B242" s="47" t="s">
        <v>47</v>
      </c>
      <c r="C242" s="47" t="s">
        <v>47</v>
      </c>
      <c r="D242" s="62"/>
      <c r="E242" s="63"/>
      <c r="F242" s="64">
        <f>TRUNC(SUMIF(N238:N241, N237, F238:F241),0)</f>
        <v>0</v>
      </c>
      <c r="G242" s="63"/>
      <c r="H242" s="64">
        <f>TRUNC(SUMIF(N238:N241, N237, H238:H241),0)</f>
        <v>0</v>
      </c>
      <c r="I242" s="63"/>
      <c r="J242" s="64">
        <f>TRUNC(SUMIF(N238:N241, N237, J238:J241),0)</f>
        <v>0</v>
      </c>
      <c r="K242" s="63"/>
      <c r="L242" s="64">
        <f>F242+H242+J242</f>
        <v>0</v>
      </c>
      <c r="M242" s="47" t="s">
        <v>47</v>
      </c>
      <c r="N242" s="72" t="s">
        <v>81</v>
      </c>
      <c r="O242" s="72" t="s">
        <v>81</v>
      </c>
      <c r="P242" s="72" t="s">
        <v>47</v>
      </c>
      <c r="Q242" s="72" t="s">
        <v>47</v>
      </c>
      <c r="R242" s="72" t="s">
        <v>47</v>
      </c>
      <c r="AV242" s="72" t="s">
        <v>47</v>
      </c>
      <c r="AW242" s="72" t="s">
        <v>47</v>
      </c>
      <c r="AX242" s="72" t="s">
        <v>47</v>
      </c>
      <c r="AY242" s="72" t="s">
        <v>47</v>
      </c>
    </row>
    <row r="243" spans="1:51" ht="30" customHeight="1" x14ac:dyDescent="0.3">
      <c r="A243" s="62"/>
      <c r="B243" s="62"/>
      <c r="C243" s="62"/>
      <c r="D243" s="62"/>
      <c r="E243" s="63"/>
      <c r="F243" s="64"/>
      <c r="G243" s="63"/>
      <c r="H243" s="64"/>
      <c r="I243" s="63"/>
      <c r="J243" s="64"/>
      <c r="K243" s="63"/>
      <c r="L243" s="64"/>
      <c r="M243" s="62"/>
    </row>
    <row r="244" spans="1:51" ht="30" customHeight="1" x14ac:dyDescent="0.3">
      <c r="A244" s="107" t="e">
        <f>A245&amp;"  "&amp;B245&amp;"  "&amp; C245&amp;"     ( 호표 37 )"</f>
        <v>#REF!</v>
      </c>
      <c r="B244" s="107"/>
      <c r="C244" s="107"/>
      <c r="D244" s="107"/>
      <c r="E244" s="108"/>
      <c r="F244" s="109"/>
      <c r="G244" s="108"/>
      <c r="H244" s="109"/>
      <c r="I244" s="108"/>
      <c r="J244" s="109"/>
      <c r="K244" s="108"/>
      <c r="L244" s="109"/>
      <c r="M244" s="107"/>
      <c r="N244" s="72" t="s">
        <v>57</v>
      </c>
    </row>
    <row r="245" spans="1:51" ht="30" customHeight="1" x14ac:dyDescent="0.3">
      <c r="A245" s="47" t="s">
        <v>337</v>
      </c>
      <c r="B245" s="47" t="e">
        <f>#REF!</f>
        <v>#REF!</v>
      </c>
      <c r="C245" s="67" t="e">
        <f>#REF!</f>
        <v>#REF!</v>
      </c>
      <c r="D245" s="62">
        <v>1</v>
      </c>
      <c r="E245" s="63"/>
      <c r="F245" s="64"/>
      <c r="G245" s="63"/>
      <c r="H245" s="64"/>
      <c r="I245" s="63"/>
      <c r="J245" s="64"/>
      <c r="K245" s="63"/>
      <c r="L245" s="64"/>
      <c r="M245" s="47" t="s">
        <v>47</v>
      </c>
      <c r="N245" s="72" t="s">
        <v>57</v>
      </c>
      <c r="O245" s="72" t="s">
        <v>99</v>
      </c>
      <c r="P245" s="72" t="s">
        <v>50</v>
      </c>
      <c r="Q245" s="72" t="s">
        <v>50</v>
      </c>
      <c r="R245" s="72" t="s">
        <v>51</v>
      </c>
      <c r="V245" s="53">
        <v>1</v>
      </c>
      <c r="AV245" s="72" t="s">
        <v>47</v>
      </c>
      <c r="AW245" s="72" t="s">
        <v>100</v>
      </c>
      <c r="AX245" s="72" t="s">
        <v>47</v>
      </c>
      <c r="AY245" s="72" t="s">
        <v>47</v>
      </c>
    </row>
    <row r="246" spans="1:51" ht="30" customHeight="1" x14ac:dyDescent="0.3">
      <c r="A246" s="47" t="e">
        <f>#REF!</f>
        <v>#REF!</v>
      </c>
      <c r="B246" s="47" t="e">
        <f>#REF!</f>
        <v>#REF!</v>
      </c>
      <c r="C246" s="67" t="e">
        <f>#REF!</f>
        <v>#REF!</v>
      </c>
      <c r="D246" s="62">
        <v>2</v>
      </c>
      <c r="E246" s="63"/>
      <c r="F246" s="64"/>
      <c r="G246" s="63"/>
      <c r="H246" s="64"/>
      <c r="I246" s="63"/>
      <c r="J246" s="64"/>
      <c r="K246" s="63"/>
      <c r="L246" s="64"/>
      <c r="M246" s="47" t="s">
        <v>47</v>
      </c>
      <c r="N246" s="72" t="s">
        <v>57</v>
      </c>
      <c r="O246" s="72" t="s">
        <v>99</v>
      </c>
      <c r="P246" s="72" t="s">
        <v>50</v>
      </c>
      <c r="Q246" s="72" t="s">
        <v>50</v>
      </c>
      <c r="R246" s="72" t="s">
        <v>51</v>
      </c>
      <c r="V246" s="53">
        <v>1</v>
      </c>
      <c r="AV246" s="72" t="s">
        <v>47</v>
      </c>
      <c r="AW246" s="72" t="s">
        <v>100</v>
      </c>
      <c r="AX246" s="72" t="s">
        <v>47</v>
      </c>
      <c r="AY246" s="72" t="s">
        <v>47</v>
      </c>
    </row>
    <row r="247" spans="1:51" ht="30" customHeight="1" x14ac:dyDescent="0.3">
      <c r="A247" s="47" t="s">
        <v>215</v>
      </c>
      <c r="B247" s="47" t="s">
        <v>103</v>
      </c>
      <c r="C247" s="67" t="s">
        <v>104</v>
      </c>
      <c r="D247" s="68">
        <f>0.111+(0.036*1.5*2)</f>
        <v>0.21899999999999997</v>
      </c>
      <c r="E247" s="63"/>
      <c r="F247" s="64"/>
      <c r="G247" s="63"/>
      <c r="H247" s="64"/>
      <c r="I247" s="63"/>
      <c r="J247" s="64"/>
      <c r="K247" s="63"/>
      <c r="L247" s="64"/>
      <c r="M247" s="66">
        <v>0.7</v>
      </c>
      <c r="N247" s="72" t="s">
        <v>57</v>
      </c>
      <c r="O247" s="72" t="s">
        <v>105</v>
      </c>
      <c r="P247" s="72" t="s">
        <v>50</v>
      </c>
      <c r="Q247" s="72" t="s">
        <v>50</v>
      </c>
      <c r="R247" s="72" t="s">
        <v>51</v>
      </c>
      <c r="W247" s="53">
        <v>2</v>
      </c>
      <c r="AV247" s="72" t="s">
        <v>47</v>
      </c>
      <c r="AW247" s="72" t="s">
        <v>106</v>
      </c>
      <c r="AX247" s="72" t="s">
        <v>47</v>
      </c>
      <c r="AY247" s="72" t="s">
        <v>47</v>
      </c>
    </row>
    <row r="248" spans="1:51" ht="30" customHeight="1" x14ac:dyDescent="0.3">
      <c r="A248" s="47" t="s">
        <v>107</v>
      </c>
      <c r="B248" s="47" t="s">
        <v>108</v>
      </c>
      <c r="C248" s="67" t="s">
        <v>101</v>
      </c>
      <c r="D248" s="62">
        <v>1</v>
      </c>
      <c r="E248" s="63"/>
      <c r="F248" s="64"/>
      <c r="G248" s="63"/>
      <c r="H248" s="64"/>
      <c r="I248" s="63"/>
      <c r="J248" s="64"/>
      <c r="K248" s="63"/>
      <c r="L248" s="64"/>
      <c r="M248" s="47" t="s">
        <v>47</v>
      </c>
      <c r="N248" s="72" t="s">
        <v>57</v>
      </c>
      <c r="O248" s="72" t="s">
        <v>109</v>
      </c>
      <c r="P248" s="72" t="s">
        <v>50</v>
      </c>
      <c r="Q248" s="72" t="s">
        <v>50</v>
      </c>
      <c r="R248" s="72" t="s">
        <v>50</v>
      </c>
      <c r="S248" s="53">
        <v>1</v>
      </c>
      <c r="T248" s="53">
        <v>0</v>
      </c>
      <c r="U248" s="53">
        <v>0.03</v>
      </c>
      <c r="AV248" s="72" t="s">
        <v>47</v>
      </c>
      <c r="AW248" s="72" t="s">
        <v>110</v>
      </c>
      <c r="AX248" s="72" t="s">
        <v>47</v>
      </c>
      <c r="AY248" s="72" t="s">
        <v>47</v>
      </c>
    </row>
    <row r="249" spans="1:51" ht="30" customHeight="1" x14ac:dyDescent="0.3">
      <c r="A249" s="47" t="s">
        <v>111</v>
      </c>
      <c r="B249" s="47" t="s">
        <v>47</v>
      </c>
      <c r="C249" s="47" t="s">
        <v>47</v>
      </c>
      <c r="D249" s="62"/>
      <c r="E249" s="63"/>
      <c r="F249" s="64">
        <f>TRUNC(SUMIF(N245:N248, N244, F245:F248),0)</f>
        <v>0</v>
      </c>
      <c r="G249" s="63"/>
      <c r="H249" s="64">
        <f>TRUNC(SUMIF(N245:N248, N244, H245:H248),0)</f>
        <v>0</v>
      </c>
      <c r="I249" s="63"/>
      <c r="J249" s="64">
        <f>TRUNC(SUMIF(N245:N248, N244, J245:J248),0)</f>
        <v>0</v>
      </c>
      <c r="K249" s="63"/>
      <c r="L249" s="64">
        <f>F249+H249+J249</f>
        <v>0</v>
      </c>
      <c r="M249" s="47" t="s">
        <v>47</v>
      </c>
      <c r="N249" s="72" t="s">
        <v>81</v>
      </c>
      <c r="O249" s="72" t="s">
        <v>81</v>
      </c>
      <c r="P249" s="72" t="s">
        <v>47</v>
      </c>
      <c r="Q249" s="72" t="s">
        <v>47</v>
      </c>
      <c r="R249" s="72" t="s">
        <v>47</v>
      </c>
      <c r="AV249" s="72" t="s">
        <v>47</v>
      </c>
      <c r="AW249" s="72" t="s">
        <v>47</v>
      </c>
      <c r="AX249" s="72" t="s">
        <v>47</v>
      </c>
      <c r="AY249" s="72" t="s">
        <v>47</v>
      </c>
    </row>
    <row r="250" spans="1:51" ht="30" customHeight="1" x14ac:dyDescent="0.3">
      <c r="A250" s="62"/>
      <c r="B250" s="62"/>
      <c r="C250" s="62"/>
      <c r="D250" s="62"/>
      <c r="E250" s="63"/>
      <c r="F250" s="64"/>
      <c r="G250" s="63"/>
      <c r="H250" s="64"/>
      <c r="I250" s="63"/>
      <c r="J250" s="64"/>
      <c r="K250" s="63"/>
      <c r="L250" s="64"/>
      <c r="M250" s="62"/>
    </row>
  </sheetData>
  <mergeCells count="83">
    <mergeCell ref="N2:N3"/>
    <mergeCell ref="O2:O3"/>
    <mergeCell ref="P2:P3"/>
    <mergeCell ref="A107:M107"/>
    <mergeCell ref="A16:M16"/>
    <mergeCell ref="A52:M52"/>
    <mergeCell ref="A64:M64"/>
    <mergeCell ref="A22:M22"/>
    <mergeCell ref="A28:M28"/>
    <mergeCell ref="A58:M58"/>
    <mergeCell ref="A70:M70"/>
    <mergeCell ref="A76:M76"/>
    <mergeCell ref="A82:M82"/>
    <mergeCell ref="A88:M88"/>
    <mergeCell ref="A94:M94"/>
    <mergeCell ref="Q2:Q3"/>
    <mergeCell ref="A46:M46"/>
    <mergeCell ref="A4:M4"/>
    <mergeCell ref="A10:M10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A34:M34"/>
    <mergeCell ref="A40:M40"/>
    <mergeCell ref="R2:R3"/>
    <mergeCell ref="AD2:AD3"/>
    <mergeCell ref="AC2:AC3"/>
    <mergeCell ref="AB2:AB3"/>
    <mergeCell ref="AA2:AA3"/>
    <mergeCell ref="Z2:Z3"/>
    <mergeCell ref="S2:S3"/>
    <mergeCell ref="AE2:AE3"/>
    <mergeCell ref="T2:T3"/>
    <mergeCell ref="U2:U3"/>
    <mergeCell ref="V2:V3"/>
    <mergeCell ref="W2:W3"/>
    <mergeCell ref="X2:X3"/>
    <mergeCell ref="Y2:Y3"/>
    <mergeCell ref="AV2:AV3"/>
    <mergeCell ref="AW2:AW3"/>
    <mergeCell ref="AL2:AL3"/>
    <mergeCell ref="AM2:AM3"/>
    <mergeCell ref="AN2:AN3"/>
    <mergeCell ref="AO2:AO3"/>
    <mergeCell ref="AP2:AP3"/>
    <mergeCell ref="AQ2:AQ3"/>
    <mergeCell ref="AF2:AF3"/>
    <mergeCell ref="AU2:AU3"/>
    <mergeCell ref="AT2:AT3"/>
    <mergeCell ref="AS2:AS3"/>
    <mergeCell ref="AR2:AR3"/>
    <mergeCell ref="AK2:AK3"/>
    <mergeCell ref="AJ2:AJ3"/>
    <mergeCell ref="AI2:AI3"/>
    <mergeCell ref="AH2:AH3"/>
    <mergeCell ref="AG2:AG3"/>
    <mergeCell ref="A115:M115"/>
    <mergeCell ref="A123:M123"/>
    <mergeCell ref="A131:M131"/>
    <mergeCell ref="A139:M139"/>
    <mergeCell ref="A152:M152"/>
    <mergeCell ref="A145:M145"/>
    <mergeCell ref="A159:M159"/>
    <mergeCell ref="A166:M166"/>
    <mergeCell ref="A173:M173"/>
    <mergeCell ref="A244:M244"/>
    <mergeCell ref="A180:M180"/>
    <mergeCell ref="A187:M187"/>
    <mergeCell ref="A207:M207"/>
    <mergeCell ref="A194:M194"/>
    <mergeCell ref="A225:M225"/>
    <mergeCell ref="A213:M213"/>
    <mergeCell ref="A201:M201"/>
    <mergeCell ref="A219:M219"/>
    <mergeCell ref="A237:M237"/>
    <mergeCell ref="A231:M231"/>
  </mergeCells>
  <phoneticPr fontId="1" type="noConversion"/>
  <pageMargins left="0.78740157480314954" right="0" top="0.39370078740157477" bottom="0.39370078740157477" header="0" footer="0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10</vt:i4>
      </vt:variant>
    </vt:vector>
  </HeadingPairs>
  <TitlesOfParts>
    <vt:vector size="16" baseType="lpstr">
      <vt:lpstr>원가계산서</vt:lpstr>
      <vt:lpstr>공종별집계표</vt:lpstr>
      <vt:lpstr>공종별내역서</vt:lpstr>
      <vt:lpstr>수량산출서</vt:lpstr>
      <vt:lpstr>일위대가목록</vt:lpstr>
      <vt:lpstr>일위대가</vt:lpstr>
      <vt:lpstr>공종별내역서!Print_Area</vt:lpstr>
      <vt:lpstr>공종별집계표!Print_Area</vt:lpstr>
      <vt:lpstr>수량산출서!Print_Area</vt:lpstr>
      <vt:lpstr>일위대가!Print_Area</vt:lpstr>
      <vt:lpstr>일위대가목록!Print_Area</vt:lpstr>
      <vt:lpstr>공종별내역서!Print_Titles</vt:lpstr>
      <vt:lpstr>공종별집계표!Print_Titles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kotaiyoung@gmail.com</dc:creator>
  <cp:lastModifiedBy>user</cp:lastModifiedBy>
  <cp:lastPrinted>2026-10-19T07:09:30Z</cp:lastPrinted>
  <dcterms:created xsi:type="dcterms:W3CDTF">2026-04-15T04:39:21Z</dcterms:created>
  <dcterms:modified xsi:type="dcterms:W3CDTF">2026-10-23T00:27:58Z</dcterms:modified>
</cp:coreProperties>
</file>