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1. WORK\2026년\26.006  (봉포항 활어회센터 해체공사)\01. 내역\26.01.21\"/>
    </mc:Choice>
  </mc:AlternateContent>
  <xr:revisionPtr revIDLastSave="0" documentId="13_ncr:1_{5B3249C8-2F5B-40E0-B944-F5838D234920}" xr6:coauthVersionLast="47" xr6:coauthVersionMax="47" xr10:uidLastSave="{00000000-0000-0000-0000-000000000000}"/>
  <bookViews>
    <workbookView xWindow="-120" yWindow="-120" windowWidth="29040" windowHeight="15720" activeTab="2" xr2:uid="{BA216FC3-0152-49EE-BB37-032F3C5C4705}"/>
  </bookViews>
  <sheets>
    <sheet name="총괄표(가로)" sheetId="17" r:id="rId1"/>
    <sheet name="총괄표(세로)" sheetId="18" r:id="rId2"/>
    <sheet name="원가계산서 (건축)" sheetId="19" r:id="rId3"/>
    <sheet name="집계표" sheetId="13" r:id="rId4"/>
    <sheet name="공종별집계표" sheetId="12" r:id="rId5"/>
    <sheet name="건축공사 내역" sheetId="10" r:id="rId6"/>
    <sheet name="일위대가목록" sheetId="9" r:id="rId7"/>
    <sheet name="일위대가" sheetId="8" r:id="rId8"/>
    <sheet name="단가대비표" sheetId="5" r:id="rId9"/>
  </sheets>
  <externalReferences>
    <externalReference r:id="rId10"/>
  </externalReferences>
  <definedNames>
    <definedName name="_xlnm.Print_Area" localSheetId="5">'건축공사 내역'!$C$1:$O$96</definedName>
    <definedName name="_xlnm.Print_Area" localSheetId="4">공종별집계표!$B$1:$N$27</definedName>
    <definedName name="_xlnm.Print_Area" localSheetId="8">단가대비표!$A$1:$Q$12</definedName>
    <definedName name="_xlnm.Print_Area" localSheetId="2">'원가계산서 (건축)'!$A$1:$W$38</definedName>
    <definedName name="_xlnm.Print_Area" localSheetId="7">일위대가!$B$1:$N$7</definedName>
    <definedName name="_xlnm.Print_Area" localSheetId="6">일위대가목록!$A:$L</definedName>
    <definedName name="_xlnm.Print_Area" localSheetId="3">집계표!$A$1:$M$27</definedName>
    <definedName name="_xlnm.Print_Area" localSheetId="1">'총괄표(세로)'!$A$1:$AG$31</definedName>
    <definedName name="_xlnm.Print_Titles" localSheetId="5">'건축공사 내역'!$1:$4</definedName>
    <definedName name="_xlnm.Print_Titles" localSheetId="4">공종별집계표!$1:$4</definedName>
    <definedName name="_xlnm.Print_Titles" localSheetId="8">단가대비표!$2:$4</definedName>
    <definedName name="_xlnm.Print_Titles" localSheetId="7">일위대가!$2:$4</definedName>
    <definedName name="_xlnm.Print_Titles" localSheetId="6">일위대가목록!$2:$4</definedName>
    <definedName name="_xlnm.Print_Titles" localSheetId="3">집계표!$1:$4</definedName>
    <definedName name="경비소계">'원가계산서 (건축)'!$G$28</definedName>
    <definedName name="공급가">'원가계산서 (건축)'!$G$32</definedName>
    <definedName name="공사기간">'원가계산서 (건축)'!$AD$14</definedName>
    <definedName name="관급자재">'원가계산서 (건축)'!$G$35</definedName>
    <definedName name="노무비소계">'원가계산서 (건축)'!$G$11</definedName>
    <definedName name="노무비요율">'원가계산서 (건축)'!$G$41:$H$41</definedName>
    <definedName name="노무비요율2">'원가계산서 (건축)'!$E$42:$G$42</definedName>
    <definedName name="노무비요율3">'원가계산서 (건축)'!$E$41:$G$41</definedName>
    <definedName name="노무비요율4">'원가계산서 (건축)'!$E$40:$G$40</definedName>
    <definedName name="단수정리">'원가계산서 (건축)'!$G$41</definedName>
    <definedName name="대상액1">'원가계산서 (건축)'!$AD$13</definedName>
    <definedName name="도급">'원가계산서 (건축)'!$G$34</definedName>
    <definedName name="도급자관급">'원가계산서 (건축)'!$G$36</definedName>
    <definedName name="부가">'원가계산서 (건축)'!$G$33</definedName>
    <definedName name="순공사비">'원가계산서 (건축)'!$G$5,'원가계산서 (건축)'!$G$9,'원가계산서 (건축)'!$G$12</definedName>
    <definedName name="순공사비계">'원가계산서 (건축)'!$G$29</definedName>
    <definedName name="이_윤">'원가계산서 (건축)'!$G$31</definedName>
    <definedName name="일반관리">'원가계산서 (건축)'!$G$30</definedName>
    <definedName name="재료비소계">'원가계산서 (건축)'!$G$8</definedName>
    <definedName name="총공사비">'원가계산서 (건축)'!$G$38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8" l="1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Z7" i="19"/>
  <c r="Z4" i="8"/>
  <c r="I22" i="17"/>
  <c r="A8" i="17"/>
  <c r="J19" i="18"/>
  <c r="H26" i="19"/>
  <c r="AB43" i="19"/>
  <c r="AB42" i="19"/>
  <c r="AB41" i="19"/>
  <c r="AB40" i="19"/>
  <c r="AB39" i="19"/>
  <c r="AB38" i="19"/>
  <c r="AB37" i="19"/>
  <c r="AB36" i="19"/>
  <c r="AB35" i="19"/>
  <c r="G35" i="19"/>
  <c r="H31" i="19"/>
  <c r="H30" i="19"/>
  <c r="H25" i="19"/>
  <c r="H24" i="19"/>
  <c r="H23" i="19"/>
  <c r="H21" i="19"/>
  <c r="H20" i="19"/>
  <c r="H18" i="19"/>
  <c r="H17" i="19"/>
  <c r="H16" i="19"/>
  <c r="H15" i="19"/>
  <c r="AE14" i="19"/>
  <c r="H14" i="19"/>
  <c r="H13" i="19"/>
  <c r="H10" i="19"/>
  <c r="P24" i="18"/>
  <c r="O24" i="18"/>
  <c r="J24" i="18"/>
  <c r="I24" i="18"/>
  <c r="P23" i="18"/>
  <c r="O23" i="18"/>
  <c r="J23" i="18"/>
  <c r="I23" i="18"/>
  <c r="P22" i="18"/>
  <c r="O22" i="18"/>
  <c r="J22" i="18"/>
  <c r="I25" i="17" s="1"/>
  <c r="I18" i="17" s="1"/>
  <c r="I22" i="18"/>
  <c r="P21" i="18"/>
  <c r="O21" i="18"/>
  <c r="J21" i="18"/>
  <c r="I21" i="18"/>
  <c r="P20" i="18"/>
  <c r="O20" i="18"/>
  <c r="J20" i="18"/>
  <c r="I23" i="17" s="1"/>
  <c r="I16" i="17" s="1"/>
  <c r="I20" i="18"/>
  <c r="AH19" i="18"/>
  <c r="I27" i="17"/>
  <c r="G27" i="17"/>
  <c r="O27" i="17" s="1"/>
  <c r="O26" i="17"/>
  <c r="I26" i="17"/>
  <c r="I19" i="17" s="1"/>
  <c r="G26" i="17"/>
  <c r="N26" i="17" s="1"/>
  <c r="O25" i="17"/>
  <c r="H25" i="17"/>
  <c r="G25" i="17"/>
  <c r="N25" i="17" s="1"/>
  <c r="I24" i="17"/>
  <c r="I17" i="17" s="1"/>
  <c r="G24" i="17"/>
  <c r="N24" i="17" s="1"/>
  <c r="O23" i="17"/>
  <c r="N23" i="17"/>
  <c r="G23" i="17"/>
  <c r="H23" i="17" s="1"/>
  <c r="H16" i="17" s="1"/>
  <c r="I20" i="17"/>
  <c r="H18" i="17"/>
  <c r="O18" i="17" s="1"/>
  <c r="H12" i="17"/>
  <c r="J13" i="12"/>
  <c r="J12" i="12" s="1"/>
  <c r="K12" i="12" s="1"/>
  <c r="H13" i="12"/>
  <c r="H12" i="12" s="1"/>
  <c r="I12" i="12" s="1"/>
  <c r="F13" i="12"/>
  <c r="G13" i="12" s="1"/>
  <c r="J10" i="12"/>
  <c r="H10" i="12"/>
  <c r="F10" i="12"/>
  <c r="L10" i="12" s="1"/>
  <c r="L11" i="12"/>
  <c r="K11" i="12"/>
  <c r="I11" i="12"/>
  <c r="G11" i="12"/>
  <c r="M11" i="12" s="1"/>
  <c r="J11" i="12"/>
  <c r="H11" i="12"/>
  <c r="F11" i="12"/>
  <c r="K10" i="12"/>
  <c r="I10" i="12"/>
  <c r="G10" i="12"/>
  <c r="M10" i="12" s="1"/>
  <c r="J8" i="12"/>
  <c r="H8" i="12"/>
  <c r="F8" i="12"/>
  <c r="L8" i="12" s="1"/>
  <c r="J9" i="12"/>
  <c r="K9" i="12" s="1"/>
  <c r="H9" i="12"/>
  <c r="I9" i="12" s="1"/>
  <c r="F9" i="12"/>
  <c r="L9" i="12" s="1"/>
  <c r="K8" i="12"/>
  <c r="I8" i="12"/>
  <c r="G8" i="12"/>
  <c r="M8" i="12" s="1"/>
  <c r="N96" i="10"/>
  <c r="L96" i="10"/>
  <c r="J96" i="10"/>
  <c r="H96" i="10"/>
  <c r="N76" i="10"/>
  <c r="L76" i="10"/>
  <c r="J76" i="10"/>
  <c r="H76" i="10"/>
  <c r="M76" i="10"/>
  <c r="K76" i="10"/>
  <c r="N75" i="10"/>
  <c r="L75" i="10"/>
  <c r="J75" i="10"/>
  <c r="H75" i="10"/>
  <c r="M75" i="10"/>
  <c r="K75" i="10"/>
  <c r="N73" i="10"/>
  <c r="L73" i="10"/>
  <c r="J73" i="10"/>
  <c r="H73" i="10"/>
  <c r="N53" i="10"/>
  <c r="L53" i="10"/>
  <c r="J53" i="10"/>
  <c r="H53" i="10"/>
  <c r="M53" i="10"/>
  <c r="K53" i="10"/>
  <c r="N52" i="10"/>
  <c r="L52" i="10"/>
  <c r="J52" i="10"/>
  <c r="H52" i="10"/>
  <c r="M52" i="10"/>
  <c r="K52" i="10"/>
  <c r="N50" i="10"/>
  <c r="L50" i="10"/>
  <c r="J50" i="10"/>
  <c r="H50" i="10"/>
  <c r="N34" i="10"/>
  <c r="L34" i="10"/>
  <c r="J34" i="10"/>
  <c r="H34" i="10"/>
  <c r="M34" i="10"/>
  <c r="K34" i="10"/>
  <c r="N33" i="10"/>
  <c r="L33" i="10"/>
  <c r="J33" i="10"/>
  <c r="H33" i="10"/>
  <c r="M33" i="10"/>
  <c r="K33" i="10"/>
  <c r="N32" i="10"/>
  <c r="L32" i="10"/>
  <c r="J32" i="10"/>
  <c r="H32" i="10"/>
  <c r="M32" i="10"/>
  <c r="K32" i="10"/>
  <c r="N31" i="10"/>
  <c r="L31" i="10"/>
  <c r="J31" i="10"/>
  <c r="H31" i="10"/>
  <c r="M31" i="10"/>
  <c r="K31" i="10"/>
  <c r="N30" i="10"/>
  <c r="L30" i="10"/>
  <c r="J30" i="10"/>
  <c r="H30" i="10"/>
  <c r="M30" i="10"/>
  <c r="K30" i="10"/>
  <c r="N29" i="10"/>
  <c r="L29" i="10"/>
  <c r="J29" i="10"/>
  <c r="H29" i="10"/>
  <c r="M29" i="10"/>
  <c r="K29" i="10"/>
  <c r="N13" i="10"/>
  <c r="L13" i="10"/>
  <c r="J13" i="10"/>
  <c r="H13" i="10"/>
  <c r="M13" i="10"/>
  <c r="K13" i="10"/>
  <c r="N12" i="10"/>
  <c r="L12" i="10"/>
  <c r="J12" i="10"/>
  <c r="H12" i="10"/>
  <c r="M12" i="10"/>
  <c r="K12" i="10"/>
  <c r="N11" i="10"/>
  <c r="L11" i="10"/>
  <c r="J11" i="10"/>
  <c r="H11" i="10"/>
  <c r="M11" i="10"/>
  <c r="K11" i="10"/>
  <c r="N10" i="10"/>
  <c r="L10" i="10"/>
  <c r="J10" i="10"/>
  <c r="H10" i="10"/>
  <c r="M10" i="10"/>
  <c r="K10" i="10"/>
  <c r="N9" i="10"/>
  <c r="L9" i="10"/>
  <c r="J9" i="10"/>
  <c r="H9" i="10"/>
  <c r="M9" i="10"/>
  <c r="K9" i="10"/>
  <c r="N8" i="10"/>
  <c r="L8" i="10"/>
  <c r="J8" i="10"/>
  <c r="H8" i="10"/>
  <c r="M8" i="10"/>
  <c r="K8" i="10"/>
  <c r="N7" i="10"/>
  <c r="L7" i="10"/>
  <c r="J7" i="10"/>
  <c r="H7" i="10"/>
  <c r="M7" i="10"/>
  <c r="K7" i="10"/>
  <c r="O6" i="10"/>
  <c r="L5" i="8"/>
  <c r="G5" i="9" s="1"/>
  <c r="K6" i="10" s="1"/>
  <c r="L6" i="10" s="1"/>
  <c r="L27" i="10" s="1"/>
  <c r="J7" i="12" s="1"/>
  <c r="J6" i="12" s="1"/>
  <c r="K6" i="12" s="1"/>
  <c r="K27" i="12" s="1"/>
  <c r="I5" i="13" s="1"/>
  <c r="J5" i="13" s="1"/>
  <c r="J27" i="13" s="1"/>
  <c r="G12" i="19" s="1"/>
  <c r="J5" i="8"/>
  <c r="F5" i="9" s="1"/>
  <c r="I6" i="10" s="1"/>
  <c r="J6" i="10" s="1"/>
  <c r="J27" i="10" s="1"/>
  <c r="H7" i="12" s="1"/>
  <c r="H6" i="12" s="1"/>
  <c r="I6" i="12" s="1"/>
  <c r="I27" i="12" s="1"/>
  <c r="G5" i="13" s="1"/>
  <c r="H5" i="13" s="1"/>
  <c r="H27" i="13" s="1"/>
  <c r="G9" i="19" s="1"/>
  <c r="L6" i="8"/>
  <c r="J6" i="8"/>
  <c r="H6" i="8"/>
  <c r="H5" i="8" s="1"/>
  <c r="K6" i="8"/>
  <c r="E5" i="9" l="1"/>
  <c r="M5" i="8"/>
  <c r="G16" i="19"/>
  <c r="G15" i="19"/>
  <c r="G17" i="19" s="1"/>
  <c r="G10" i="19"/>
  <c r="G11" i="19" s="1"/>
  <c r="G14" i="19" s="1"/>
  <c r="M6" i="8"/>
  <c r="I15" i="17"/>
  <c r="O16" i="17"/>
  <c r="N16" i="17"/>
  <c r="H26" i="17"/>
  <c r="H19" i="17" s="1"/>
  <c r="H24" i="17"/>
  <c r="H17" i="17" s="1"/>
  <c r="O24" i="17"/>
  <c r="H27" i="17"/>
  <c r="H20" i="17" s="1"/>
  <c r="G18" i="19"/>
  <c r="G22" i="19"/>
  <c r="G27" i="19"/>
  <c r="N18" i="17"/>
  <c r="N27" i="17"/>
  <c r="H22" i="19"/>
  <c r="H27" i="19"/>
  <c r="K13" i="12"/>
  <c r="L13" i="12"/>
  <c r="G9" i="12"/>
  <c r="M9" i="12" s="1"/>
  <c r="F12" i="12"/>
  <c r="I7" i="12"/>
  <c r="I13" i="12"/>
  <c r="M13" i="12" s="1"/>
  <c r="K7" i="12"/>
  <c r="G13" i="19" l="1"/>
  <c r="G6" i="10"/>
  <c r="H5" i="9"/>
  <c r="N17" i="17"/>
  <c r="O17" i="17"/>
  <c r="O19" i="17"/>
  <c r="N19" i="17"/>
  <c r="N20" i="17"/>
  <c r="O20" i="17"/>
  <c r="L12" i="12"/>
  <c r="G12" i="12"/>
  <c r="M12" i="12" s="1"/>
  <c r="M6" i="10" l="1"/>
  <c r="H6" i="10"/>
  <c r="H27" i="10" l="1"/>
  <c r="F7" i="12" s="1"/>
  <c r="N6" i="10"/>
  <c r="N27" i="10" s="1"/>
  <c r="G7" i="12" l="1"/>
  <c r="M7" i="12" s="1"/>
  <c r="L7" i="12"/>
  <c r="F6" i="12"/>
  <c r="L6" i="12" l="1"/>
  <c r="G6" i="12"/>
  <c r="G27" i="12" l="1"/>
  <c r="E5" i="13" s="1"/>
  <c r="M6" i="12"/>
  <c r="M27" i="12" s="1"/>
  <c r="F5" i="13" l="1"/>
  <c r="K5" i="13"/>
  <c r="L5" i="13" l="1"/>
  <c r="L27" i="13" s="1"/>
  <c r="F27" i="13"/>
  <c r="G5" i="19" s="1"/>
  <c r="G8" i="19" l="1"/>
  <c r="AD10" i="19"/>
  <c r="AG57" i="19" l="1"/>
  <c r="AG56" i="19"/>
  <c r="AE10" i="19"/>
  <c r="AG59" i="19"/>
  <c r="AG55" i="19"/>
  <c r="AG58" i="19"/>
  <c r="G23" i="19"/>
  <c r="G21" i="19"/>
  <c r="G26" i="19"/>
  <c r="G20" i="19"/>
  <c r="G19" i="19" s="1"/>
  <c r="AD13" i="19"/>
  <c r="G24" i="19"/>
  <c r="G25" i="19"/>
  <c r="G28" i="19" l="1"/>
  <c r="G29" i="19" s="1"/>
  <c r="Q21" i="19"/>
  <c r="H19" i="19"/>
  <c r="Q20" i="19"/>
  <c r="G30" i="19" l="1"/>
  <c r="G31" i="19" s="1"/>
  <c r="G32" i="19" l="1"/>
  <c r="Z25" i="19"/>
  <c r="AD11" i="19"/>
  <c r="AE11" i="19" s="1"/>
  <c r="G33" i="19"/>
  <c r="G34" i="19" s="1"/>
  <c r="G38" i="19" l="1"/>
  <c r="X20" i="19"/>
  <c r="AD12" i="19"/>
  <c r="G22" i="17" l="1"/>
  <c r="H19" i="18"/>
  <c r="W3" i="19"/>
  <c r="P19" i="18" l="1"/>
  <c r="H26" i="18"/>
  <c r="B29" i="17"/>
  <c r="H29" i="17" s="1"/>
  <c r="O22" i="17"/>
  <c r="M26" i="18" l="1"/>
  <c r="G43" i="19"/>
  <c r="N26" i="18"/>
  <c r="I26" i="18"/>
  <c r="G45" i="19" l="1"/>
  <c r="S2" i="5"/>
  <c r="AA2" i="8"/>
</calcChain>
</file>

<file path=xl/sharedStrings.xml><?xml version="1.0" encoding="utf-8"?>
<sst xmlns="http://schemas.openxmlformats.org/spreadsheetml/2006/main" count="623" uniqueCount="237">
  <si>
    <t>Project: 봉포항 활어회센터 해체공사 (폐기물처리비)</t>
  </si>
  <si>
    <t>코드</t>
  </si>
  <si>
    <t>품      명</t>
  </si>
  <si>
    <t>규 격</t>
  </si>
  <si>
    <t>단위</t>
  </si>
  <si>
    <t>재 료 비</t>
  </si>
  <si>
    <t>노 무 비</t>
  </si>
  <si>
    <t>경    비</t>
  </si>
  <si>
    <t>합    계</t>
  </si>
  <si>
    <t>호표</t>
  </si>
  <si>
    <t>단 가 대 비 표</t>
  </si>
  <si>
    <t>구분</t>
  </si>
  <si>
    <t>가격정보</t>
  </si>
  <si>
    <t>거래가격</t>
  </si>
  <si>
    <t>유통물가</t>
  </si>
  <si>
    <t>물가자료</t>
  </si>
  <si>
    <t>조사가격</t>
  </si>
  <si>
    <t>Cost</t>
  </si>
  <si>
    <t>Page</t>
  </si>
  <si>
    <t>적용단가</t>
  </si>
  <si>
    <t>자재비</t>
  </si>
  <si>
    <t>AAD150103010</t>
  </si>
  <si>
    <t>폐콘크리트 - 25-2/4삭제</t>
  </si>
  <si>
    <t>이물질이 없는 순수한 폐콘크리트</t>
  </si>
  <si>
    <t>TON</t>
  </si>
  <si>
    <t/>
  </si>
  <si>
    <t>00</t>
  </si>
  <si>
    <t>경비</t>
  </si>
  <si>
    <t>AAD150103020</t>
  </si>
  <si>
    <t xml:space="preserve">폐아스팔트콘크리트 </t>
  </si>
  <si>
    <t>이물질이 없는 순수한 폐아스팔트콘크리트</t>
  </si>
  <si>
    <t>AAD150103030</t>
  </si>
  <si>
    <t xml:space="preserve">건설폐재류 </t>
  </si>
  <si>
    <t>가연성이 제거된 재활용이 가능한 혼합물</t>
  </si>
  <si>
    <t>AAD150104100</t>
  </si>
  <si>
    <t xml:space="preserve">혼합건설폐기물 </t>
  </si>
  <si>
    <t>불연성 건설폐기물에 가연성 5% 이하 혼합</t>
  </si>
  <si>
    <t>AAD150105200</t>
  </si>
  <si>
    <t>그 밖의 건설폐기물에 가연성 5% 이하 혼합</t>
  </si>
  <si>
    <t>AAD150105301</t>
  </si>
  <si>
    <t>혼합건설폐기물</t>
  </si>
  <si>
    <t>가연성 폐기물, 소각</t>
  </si>
  <si>
    <t>AAD151106210</t>
  </si>
  <si>
    <t xml:space="preserve">건설폐재류 운반비 </t>
  </si>
  <si>
    <t>15톤 덤프트럭, 30km</t>
  </si>
  <si>
    <t>AAD151106510</t>
  </si>
  <si>
    <t xml:space="preserve">혼합건설폐기물 운반비 </t>
  </si>
  <si>
    <t>16톤 암롤트럭, 30km</t>
  </si>
  <si>
    <t>품     명</t>
  </si>
  <si>
    <t>수량</t>
  </si>
  <si>
    <t>단가</t>
  </si>
  <si>
    <t>금액</t>
  </si>
  <si>
    <t>일위대가표</t>
  </si>
  <si>
    <t>제 1호표</t>
  </si>
  <si>
    <t>폐콘크리트</t>
  </si>
  <si>
    <t>톤</t>
  </si>
  <si>
    <t>S</t>
  </si>
  <si>
    <t>X</t>
  </si>
  <si>
    <t>일위대가 목록</t>
  </si>
  <si>
    <t>10</t>
  </si>
  <si>
    <t>내 역 서</t>
  </si>
  <si>
    <t>Project: 봉포항 활어회센터 해체공사 (폐기물처리비) - 건축공사</t>
  </si>
  <si>
    <t>공종</t>
  </si>
  <si>
    <t>품  명</t>
  </si>
  <si>
    <t>1.1. 본동 - 폐기물처리비</t>
  </si>
  <si>
    <t>0123!!!!!!!!</t>
  </si>
  <si>
    <t>U</t>
  </si>
  <si>
    <t>100123!!!!!!!!</t>
  </si>
  <si>
    <t>&lt;    계    &gt;</t>
  </si>
  <si>
    <t>2.1. 화장실 - 폐기물처리비</t>
  </si>
  <si>
    <t>0223!!!!!!!!</t>
  </si>
  <si>
    <t>100223!!!!!!!!</t>
  </si>
  <si>
    <t>3.1. 창고 - 폐기물처리비</t>
  </si>
  <si>
    <t>0323!!!!!!!!</t>
  </si>
  <si>
    <t>100323!!!!!!!!</t>
  </si>
  <si>
    <t>4.1. 해수펌프실 - 폐기물처리비</t>
  </si>
  <si>
    <t>0423!!!!!!!!</t>
  </si>
  <si>
    <t>100423!!!!!!!!</t>
  </si>
  <si>
    <t>공 종 별 집 계 표</t>
  </si>
  <si>
    <t>분  류  명</t>
  </si>
  <si>
    <t>건축공사</t>
  </si>
  <si>
    <t>1. 본동</t>
  </si>
  <si>
    <t>식</t>
  </si>
  <si>
    <t>1001!!!!!!!!!!</t>
  </si>
  <si>
    <t xml:space="preserve"> 1.1. 폐기물처리비</t>
  </si>
  <si>
    <t>2. 화장실</t>
  </si>
  <si>
    <t>1002!!!!!!!!!!</t>
  </si>
  <si>
    <t xml:space="preserve"> 2.1. 폐기물처리비</t>
  </si>
  <si>
    <t>3. 창고</t>
  </si>
  <si>
    <t>1003!!!!!!!!!!</t>
  </si>
  <si>
    <t xml:space="preserve"> 3.1. 폐기물처리비</t>
  </si>
  <si>
    <t>4. 해수펌프실</t>
  </si>
  <si>
    <t>1004!!!!!!!!!!</t>
  </si>
  <si>
    <t xml:space="preserve"> 4.1. 폐기물처리비</t>
  </si>
  <si>
    <t>집 계 표</t>
  </si>
  <si>
    <t>간접노무비</t>
  </si>
  <si>
    <t>산재보험료</t>
  </si>
  <si>
    <t>고용보험료</t>
  </si>
  <si>
    <t>기타경비</t>
  </si>
  <si>
    <t>일반관리비</t>
  </si>
  <si>
    <t>이윤</t>
  </si>
  <si>
    <t>내 역 서(BILL OF ESTIMATE)</t>
  </si>
  <si>
    <t>품셈목록</t>
    <phoneticPr fontId="5" type="noConversion"/>
  </si>
  <si>
    <t>비  고</t>
    <phoneticPr fontId="5" type="noConversion"/>
  </si>
  <si>
    <t>01. 건축공사</t>
  </si>
  <si>
    <t>설계일</t>
    <phoneticPr fontId="12" type="noConversion"/>
  </si>
  <si>
    <t>조사자</t>
    <phoneticPr fontId="12" type="noConversion"/>
  </si>
  <si>
    <t>설계자</t>
    <phoneticPr fontId="12" type="noConversion"/>
  </si>
  <si>
    <t>심사자</t>
    <phoneticPr fontId="12" type="noConversion"/>
  </si>
  <si>
    <t>담당자</t>
    <phoneticPr fontId="12" type="noConversion"/>
  </si>
  <si>
    <r>
      <t>담</t>
    </r>
    <r>
      <rPr>
        <b/>
        <sz val="10"/>
        <color indexed="9"/>
        <rFont val="굴림체"/>
        <family val="3"/>
        <charset val="129"/>
      </rPr>
      <t>담</t>
    </r>
    <r>
      <rPr>
        <b/>
        <sz val="10"/>
        <rFont val="굴림체"/>
        <family val="3"/>
        <charset val="129"/>
      </rPr>
      <t>당</t>
    </r>
    <phoneticPr fontId="12" type="noConversion"/>
  </si>
  <si>
    <r>
      <t>과</t>
    </r>
    <r>
      <rPr>
        <b/>
        <sz val="10"/>
        <color indexed="9"/>
        <rFont val="굴림체"/>
        <family val="3"/>
        <charset val="129"/>
      </rPr>
      <t>과</t>
    </r>
    <r>
      <rPr>
        <b/>
        <sz val="10"/>
        <rFont val="굴림체"/>
        <family val="3"/>
        <charset val="129"/>
      </rPr>
      <t>장</t>
    </r>
    <phoneticPr fontId="12" type="noConversion"/>
  </si>
  <si>
    <t>년도</t>
    <phoneticPr fontId="12" type="noConversion"/>
  </si>
  <si>
    <t>설계예산서</t>
    <phoneticPr fontId="12" type="noConversion"/>
  </si>
  <si>
    <t>▣</t>
    <phoneticPr fontId="12" type="noConversion"/>
  </si>
  <si>
    <t>공사명</t>
    <phoneticPr fontId="12" type="noConversion"/>
  </si>
  <si>
    <t>:</t>
    <phoneticPr fontId="12" type="noConversion"/>
  </si>
  <si>
    <t>공사개요</t>
    <phoneticPr fontId="12" type="noConversion"/>
  </si>
  <si>
    <t>1)</t>
    <phoneticPr fontId="12" type="noConversion"/>
  </si>
  <si>
    <t>1 식</t>
    <phoneticPr fontId="12" type="noConversion"/>
  </si>
  <si>
    <t>공사금액</t>
    <phoneticPr fontId="12" type="noConversion"/>
  </si>
  <si>
    <t>총공사비</t>
    <phoneticPr fontId="12" type="noConversion"/>
  </si>
  <si>
    <t>과장</t>
    <phoneticPr fontId="12" type="noConversion"/>
  </si>
  <si>
    <t>담당</t>
    <phoneticPr fontId="12" type="noConversion"/>
  </si>
  <si>
    <t>※</t>
    <phoneticPr fontId="12" type="noConversion"/>
  </si>
  <si>
    <t>○</t>
    <phoneticPr fontId="12" type="noConversion"/>
  </si>
  <si>
    <t>위치</t>
    <phoneticPr fontId="12" type="noConversion"/>
  </si>
  <si>
    <t>공사내용</t>
    <phoneticPr fontId="12" type="noConversion"/>
  </si>
  <si>
    <t>사업비</t>
    <phoneticPr fontId="12" type="noConversion"/>
  </si>
  <si>
    <t>공 사 원 가 계 산 서 ( 건  축 )</t>
    <phoneticPr fontId="12" type="noConversion"/>
  </si>
  <si>
    <t>비목</t>
    <phoneticPr fontId="12" type="noConversion"/>
  </si>
  <si>
    <t>금액</t>
    <phoneticPr fontId="12" type="noConversion"/>
  </si>
  <si>
    <t>구성비</t>
    <phoneticPr fontId="12" type="noConversion"/>
  </si>
  <si>
    <t>비고</t>
    <phoneticPr fontId="12" type="noConversion"/>
  </si>
  <si>
    <t>재료비</t>
    <phoneticPr fontId="12" type="noConversion"/>
  </si>
  <si>
    <t>구분</t>
    <phoneticPr fontId="12" type="noConversion"/>
  </si>
  <si>
    <t>기준</t>
    <phoneticPr fontId="12" type="noConversion"/>
  </si>
  <si>
    <t xml:space="preserve">순   공   사   비 </t>
    <phoneticPr fontId="12" type="noConversion"/>
  </si>
  <si>
    <t>직접재료비</t>
    <phoneticPr fontId="12" type="noConversion"/>
  </si>
  <si>
    <t>노무비</t>
    <phoneticPr fontId="12" type="noConversion"/>
  </si>
  <si>
    <t>간접재료비</t>
    <phoneticPr fontId="12" type="noConversion"/>
  </si>
  <si>
    <t>경비</t>
    <phoneticPr fontId="12" type="noConversion"/>
  </si>
  <si>
    <t>작업설, 부산물(△)</t>
    <phoneticPr fontId="12" type="noConversion"/>
  </si>
  <si>
    <t>관급자재</t>
    <phoneticPr fontId="12" type="noConversion"/>
  </si>
  <si>
    <t>[소계]</t>
    <phoneticPr fontId="12" type="noConversion"/>
  </si>
  <si>
    <t>대관업무수수료</t>
    <phoneticPr fontId="12" type="noConversion"/>
  </si>
  <si>
    <t>직접노무비</t>
    <phoneticPr fontId="12" type="noConversion"/>
  </si>
  <si>
    <t>간접노무비</t>
    <phoneticPr fontId="12" type="noConversion"/>
  </si>
  <si>
    <t>직접공사비 기준</t>
    <phoneticPr fontId="12" type="noConversion"/>
  </si>
  <si>
    <t>2026.01.01 기준</t>
    <phoneticPr fontId="12" type="noConversion"/>
  </si>
  <si>
    <t>직접공사비</t>
    <phoneticPr fontId="12" type="noConversion"/>
  </si>
  <si>
    <t>적용기준</t>
    <phoneticPr fontId="12" type="noConversion"/>
  </si>
  <si>
    <t>적용요율</t>
    <phoneticPr fontId="12" type="noConversion"/>
  </si>
  <si>
    <t>추정가격 (공급가액)</t>
    <phoneticPr fontId="12" type="noConversion"/>
  </si>
  <si>
    <t>경     비</t>
    <phoneticPr fontId="12" type="noConversion"/>
  </si>
  <si>
    <t>기계경비</t>
    <phoneticPr fontId="12" type="noConversion"/>
  </si>
  <si>
    <t>추정금액 (총공사비)</t>
    <phoneticPr fontId="12" type="noConversion"/>
  </si>
  <si>
    <t>산재보험료</t>
    <phoneticPr fontId="12" type="noConversion"/>
  </si>
  <si>
    <t>모든 건설공사에 적용</t>
    <phoneticPr fontId="12" type="noConversion"/>
  </si>
  <si>
    <t>대상액1</t>
    <phoneticPr fontId="12" type="noConversion"/>
  </si>
  <si>
    <t>고용보험료</t>
    <phoneticPr fontId="12" type="noConversion"/>
  </si>
  <si>
    <t>추정금액 기준</t>
    <phoneticPr fontId="12" type="noConversion"/>
  </si>
  <si>
    <t>건강보험(1개월이상)</t>
    <phoneticPr fontId="12" type="noConversion"/>
  </si>
  <si>
    <t>공사기간 (개월)</t>
    <phoneticPr fontId="12" type="noConversion"/>
  </si>
  <si>
    <t>국민건강보험료</t>
    <phoneticPr fontId="12" type="noConversion"/>
  </si>
  <si>
    <t>1개월 이상인 모든 공사에 적용</t>
    <phoneticPr fontId="12" type="noConversion"/>
  </si>
  <si>
    <t>연금보험(1개월이상)</t>
    <phoneticPr fontId="12" type="noConversion"/>
  </si>
  <si>
    <t>연면적</t>
    <phoneticPr fontId="12" type="noConversion"/>
  </si>
  <si>
    <t>국민연금보험료</t>
    <phoneticPr fontId="12" type="noConversion"/>
  </si>
  <si>
    <t>노인장기요양보험(1개월이상)</t>
    <phoneticPr fontId="12" type="noConversion"/>
  </si>
  <si>
    <t>노인장기요양보험료</t>
    <phoneticPr fontId="12" type="noConversion"/>
  </si>
  <si>
    <t>퇴직공제부금 (추정금액 1억이상)</t>
    <phoneticPr fontId="12" type="noConversion"/>
  </si>
  <si>
    <t>공사규모(직접공사비)</t>
    <phoneticPr fontId="12" type="noConversion"/>
  </si>
  <si>
    <t>공사기간</t>
  </si>
  <si>
    <t>기타경비</t>
    <phoneticPr fontId="12" type="noConversion"/>
  </si>
  <si>
    <t>퇴직공제부금비</t>
    <phoneticPr fontId="12" type="noConversion"/>
  </si>
  <si>
    <t>추정금액 1억 이상인 공사에 적용</t>
    <phoneticPr fontId="12" type="noConversion"/>
  </si>
  <si>
    <t>산업안전보건관리비</t>
    <phoneticPr fontId="12" type="noConversion"/>
  </si>
  <si>
    <t>10억미만</t>
    <phoneticPr fontId="12" type="noConversion"/>
  </si>
  <si>
    <t>(비교값) 소계제외</t>
    <phoneticPr fontId="29" type="noConversion"/>
  </si>
  <si>
    <t>환경보전비</t>
    <phoneticPr fontId="12" type="noConversion"/>
  </si>
  <si>
    <t>하도급지급보증서발급수수료</t>
    <phoneticPr fontId="12" type="noConversion"/>
  </si>
  <si>
    <t>10억~50억미만</t>
    <phoneticPr fontId="12" type="noConversion"/>
  </si>
  <si>
    <t>건설안전관리비</t>
    <phoneticPr fontId="12" type="noConversion"/>
  </si>
  <si>
    <t>공사이행보증수수료</t>
    <phoneticPr fontId="12" type="noConversion"/>
  </si>
  <si>
    <t>건설기계대여대금 지급보증액 발급금액</t>
    <phoneticPr fontId="12" type="noConversion"/>
  </si>
  <si>
    <t>50억~300억</t>
  </si>
  <si>
    <t>하도급지급보증수수료</t>
    <phoneticPr fontId="12" type="noConversion"/>
  </si>
  <si>
    <t>추정가격 기준</t>
    <phoneticPr fontId="12" type="noConversion"/>
  </si>
  <si>
    <t>간접비율(공급가액)</t>
    <phoneticPr fontId="12" type="noConversion"/>
  </si>
  <si>
    <t>건설기계대여대금
지급보증서발급수수료</t>
    <phoneticPr fontId="12" type="noConversion"/>
  </si>
  <si>
    <t>공사규모(추정가격)</t>
    <phoneticPr fontId="12" type="noConversion"/>
  </si>
  <si>
    <t>일반과리비</t>
  </si>
  <si>
    <t>계</t>
    <phoneticPr fontId="12" type="noConversion"/>
  </si>
  <si>
    <t>5억미만</t>
    <phoneticPr fontId="12" type="noConversion"/>
  </si>
  <si>
    <t>일반관리비</t>
    <phoneticPr fontId="12" type="noConversion"/>
  </si>
  <si>
    <t>이윤</t>
    <phoneticPr fontId="12" type="noConversion"/>
  </si>
  <si>
    <t>공급가액</t>
    <phoneticPr fontId="12" type="noConversion"/>
  </si>
  <si>
    <t>5억~30억</t>
    <phoneticPr fontId="12" type="noConversion"/>
  </si>
  <si>
    <t>부가가치세</t>
    <phoneticPr fontId="12" type="noConversion"/>
  </si>
  <si>
    <t>공급가액 * 10%</t>
    <phoneticPr fontId="12" type="noConversion"/>
  </si>
  <si>
    <t>도급액</t>
    <phoneticPr fontId="12" type="noConversion"/>
  </si>
  <si>
    <t>관급자재비</t>
    <phoneticPr fontId="12" type="noConversion"/>
  </si>
  <si>
    <t>30억~50억</t>
    <phoneticPr fontId="12" type="noConversion"/>
  </si>
  <si>
    <t xml:space="preserve"> 관급자재비(도급자설치)</t>
  </si>
  <si>
    <t>안전관리비 계상에 적용</t>
  </si>
  <si>
    <t xml:space="preserve"> 관급자재비(관급자설치)</t>
  </si>
  <si>
    <t>안전관리비 계상에서 제외</t>
  </si>
  <si>
    <t>천단위미만 절사</t>
    <phoneticPr fontId="12" type="noConversion"/>
  </si>
  <si>
    <t>50억~100억</t>
    <phoneticPr fontId="12" type="noConversion"/>
  </si>
  <si>
    <t>노무비요율</t>
    <phoneticPr fontId="12" type="noConversion"/>
  </si>
  <si>
    <t>100억~300억</t>
    <phoneticPr fontId="12" type="noConversion"/>
  </si>
  <si>
    <t>총 공사비</t>
    <phoneticPr fontId="32" type="noConversion"/>
  </si>
  <si>
    <t>목표액</t>
    <phoneticPr fontId="32" type="noConversion"/>
  </si>
  <si>
    <t>차이</t>
    <phoneticPr fontId="32" type="noConversion"/>
  </si>
  <si>
    <t>건설안전관리비 (연면적기준)</t>
    <phoneticPr fontId="12" type="noConversion"/>
  </si>
  <si>
    <t>안전점검 대가</t>
    <phoneticPr fontId="12" type="noConversion"/>
  </si>
  <si>
    <t>전체</t>
    <phoneticPr fontId="12" type="noConversion"/>
  </si>
  <si>
    <t>정기점검</t>
    <phoneticPr fontId="12" type="noConversion"/>
  </si>
  <si>
    <t>초기점검</t>
    <phoneticPr fontId="12" type="noConversion"/>
  </si>
  <si>
    <t>5천미만</t>
    <phoneticPr fontId="12" type="noConversion"/>
  </si>
  <si>
    <t>5천~1만</t>
    <phoneticPr fontId="12" type="noConversion"/>
  </si>
  <si>
    <t>1만~3만</t>
    <phoneticPr fontId="12" type="noConversion"/>
  </si>
  <si>
    <t>3만~5만</t>
    <phoneticPr fontId="12" type="noConversion"/>
  </si>
  <si>
    <t>5만~10만</t>
    <phoneticPr fontId="12" type="noConversion"/>
  </si>
  <si>
    <t>70억 미만</t>
    <phoneticPr fontId="12" type="noConversion"/>
  </si>
  <si>
    <t>[직공비 * 0.0108%] * 공기(년)</t>
    <phoneticPr fontId="12" type="noConversion"/>
  </si>
  <si>
    <t>70억~120억</t>
    <phoneticPr fontId="12" type="noConversion"/>
  </si>
  <si>
    <t>[79만원+(직공비-75억원)x0.0070%]x공기(년)</t>
  </si>
  <si>
    <t>120억~250억</t>
    <phoneticPr fontId="12" type="noConversion"/>
  </si>
  <si>
    <t>[116만원+(직공비-130억원)x0.0059%]x공기(년)</t>
  </si>
  <si>
    <t>250억~500억</t>
    <phoneticPr fontId="12" type="noConversion"/>
  </si>
  <si>
    <t>[186만원+(직공비-250억원)x0.0048%]x공기(년)</t>
  </si>
  <si>
    <t>500억이상</t>
    <phoneticPr fontId="12" type="noConversion"/>
  </si>
  <si>
    <t>[306만원+(직공비-500억원)x0.0040%]x공기(년)</t>
  </si>
  <si>
    <t>2026 년도</t>
  </si>
  <si>
    <t>봉포항 활어회센터 해체공사 (폐기물처리비)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</si>
</sst>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.0_ "/>
    <numFmt numFmtId="180" formatCode="yyyy&quot;년&quot;\ m&quot;월&quot;;@"/>
    <numFmt numFmtId="181" formatCode="_-* #,##0.00_-;\-* #,##0.0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굴림체"/>
      <family val="3"/>
      <charset val="129"/>
    </font>
    <font>
      <b/>
      <sz val="10"/>
      <color indexed="9"/>
      <name val="굴림체"/>
      <family val="3"/>
      <charset val="129"/>
    </font>
    <font>
      <b/>
      <sz val="16"/>
      <name val="굴림체"/>
      <family val="3"/>
      <charset val="129"/>
    </font>
    <font>
      <b/>
      <sz val="22"/>
      <name val="굴림체"/>
      <family val="3"/>
      <charset val="129"/>
    </font>
    <font>
      <b/>
      <sz val="9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color theme="0"/>
      <name val="굴림체"/>
      <family val="3"/>
      <charset val="129"/>
    </font>
    <font>
      <b/>
      <sz val="6"/>
      <color theme="0"/>
      <name val="굴림체"/>
      <family val="3"/>
      <charset val="129"/>
    </font>
    <font>
      <b/>
      <sz val="14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color theme="0"/>
      <name val="굴림체"/>
      <family val="3"/>
      <charset val="129"/>
    </font>
    <font>
      <b/>
      <sz val="24"/>
      <name val="굴림체"/>
      <family val="3"/>
      <charset val="129"/>
    </font>
    <font>
      <sz val="16"/>
      <name val="굴림체"/>
      <family val="3"/>
      <charset val="129"/>
    </font>
    <font>
      <sz val="9"/>
      <color theme="0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color theme="0" tint="-0.499984740745262"/>
      <name val="굴림체"/>
      <family val="3"/>
      <charset val="129"/>
    </font>
    <font>
      <sz val="8"/>
      <name val="맑은 고딕"/>
      <family val="3"/>
      <charset val="129"/>
    </font>
    <font>
      <sz val="9"/>
      <color theme="0" tint="-0.34998626667073579"/>
      <name val="굴림체"/>
      <family val="3"/>
      <charset val="129"/>
    </font>
    <font>
      <sz val="9"/>
      <color theme="1" tint="0.499984740745262"/>
      <name val="굴림체"/>
      <family val="3"/>
      <charset val="129"/>
    </font>
    <font>
      <sz val="8"/>
      <name val="돋움"/>
      <family val="3"/>
      <charset val="129"/>
    </font>
    <font>
      <sz val="9"/>
      <color theme="1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</cellStyleXfs>
  <cellXfs count="35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0" fontId="2" fillId="0" borderId="0" xfId="0" quotePrefix="1" applyFont="1" applyAlignment="1">
      <alignment horizontal="center" vertical="center"/>
    </xf>
    <xf numFmtId="0" fontId="4" fillId="0" borderId="0" xfId="0" quotePrefix="1" applyFont="1">
      <alignment vertical="center"/>
    </xf>
    <xf numFmtId="0" fontId="3" fillId="0" borderId="0" xfId="0" applyFont="1">
      <alignment vertical="center"/>
    </xf>
    <xf numFmtId="0" fontId="4" fillId="2" borderId="2" xfId="0" quotePrefix="1" applyFont="1" applyFill="1" applyBorder="1" applyAlignment="1">
      <alignment horizontal="center" vertical="center"/>
    </xf>
    <xf numFmtId="176" fontId="4" fillId="2" borderId="2" xfId="0" quotePrefix="1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quotePrefix="1" applyFont="1">
      <alignment vertical="center"/>
    </xf>
    <xf numFmtId="0" fontId="7" fillId="2" borderId="2" xfId="0" quotePrefix="1" applyFont="1" applyFill="1" applyBorder="1" applyAlignment="1">
      <alignment horizontal="center" vertical="center"/>
    </xf>
    <xf numFmtId="0" fontId="6" fillId="0" borderId="2" xfId="0" applyFont="1" applyBorder="1">
      <alignment vertical="center"/>
    </xf>
    <xf numFmtId="177" fontId="6" fillId="0" borderId="2" xfId="0" applyNumberFormat="1" applyFont="1" applyBorder="1">
      <alignment vertical="center"/>
    </xf>
    <xf numFmtId="0" fontId="1" fillId="0" borderId="2" xfId="0" quotePrefix="1" applyFont="1" applyBorder="1">
      <alignment vertical="center"/>
    </xf>
    <xf numFmtId="0" fontId="1" fillId="0" borderId="2" xfId="0" applyFont="1" applyBorder="1">
      <alignment vertical="center"/>
    </xf>
    <xf numFmtId="177" fontId="4" fillId="2" borderId="2" xfId="0" quotePrefix="1" applyNumberFormat="1" applyFont="1" applyFill="1" applyBorder="1" applyAlignment="1">
      <alignment horizontal="center" vertical="center"/>
    </xf>
    <xf numFmtId="177" fontId="1" fillId="0" borderId="2" xfId="0" applyNumberFormat="1" applyFont="1" applyBorder="1">
      <alignment vertical="center"/>
    </xf>
    <xf numFmtId="177" fontId="1" fillId="0" borderId="2" xfId="0" quotePrefix="1" applyNumberFormat="1" applyFont="1" applyBorder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6" fillId="3" borderId="3" xfId="0" quotePrefix="1" applyFont="1" applyFill="1" applyBorder="1">
      <alignment vertical="center"/>
    </xf>
    <xf numFmtId="0" fontId="6" fillId="3" borderId="4" xfId="0" quotePrefix="1" applyFont="1" applyFill="1" applyBorder="1">
      <alignment vertical="center"/>
    </xf>
    <xf numFmtId="0" fontId="6" fillId="3" borderId="4" xfId="0" applyFont="1" applyFill="1" applyBorder="1">
      <alignment vertical="center"/>
    </xf>
    <xf numFmtId="0" fontId="6" fillId="3" borderId="5" xfId="0" quotePrefix="1" applyFont="1" applyFill="1" applyBorder="1">
      <alignment vertical="center"/>
    </xf>
    <xf numFmtId="176" fontId="6" fillId="3" borderId="4" xfId="0" applyNumberFormat="1" applyFont="1" applyFill="1" applyBorder="1">
      <alignment vertical="center"/>
    </xf>
    <xf numFmtId="176" fontId="6" fillId="3" borderId="4" xfId="0" applyNumberFormat="1" applyFont="1" applyFill="1" applyBorder="1" applyAlignment="1">
      <alignment horizontal="right" vertical="center"/>
    </xf>
    <xf numFmtId="0" fontId="6" fillId="0" borderId="2" xfId="0" quotePrefix="1" applyFont="1" applyBorder="1" applyAlignment="1">
      <alignment horizontal="left" vertical="center" indent="1"/>
    </xf>
    <xf numFmtId="0" fontId="6" fillId="0" borderId="2" xfId="0" quotePrefix="1" applyFont="1" applyBorder="1">
      <alignment vertical="center"/>
    </xf>
    <xf numFmtId="177" fontId="6" fillId="0" borderId="2" xfId="0" applyNumberFormat="1" applyFont="1" applyBorder="1" applyAlignment="1">
      <alignment horizontal="right" vertical="center"/>
    </xf>
    <xf numFmtId="176" fontId="1" fillId="0" borderId="2" xfId="0" applyNumberFormat="1" applyFont="1" applyBorder="1">
      <alignment vertical="center"/>
    </xf>
    <xf numFmtId="0" fontId="8" fillId="0" borderId="0" xfId="0" quotePrefix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1" fillId="0" borderId="2" xfId="0" applyNumberFormat="1" applyFont="1" applyBorder="1" applyAlignment="1">
      <alignment horizontal="right" vertical="center"/>
    </xf>
    <xf numFmtId="0" fontId="1" fillId="0" borderId="2" xfId="0" quotePrefix="1" applyFont="1" applyBorder="1" applyAlignment="1">
      <alignment horizontal="center" vertical="center"/>
    </xf>
    <xf numFmtId="0" fontId="8" fillId="0" borderId="0" xfId="0" quotePrefix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2" xfId="0" quotePrefix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6" fontId="4" fillId="2" borderId="2" xfId="0" quotePrefix="1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0" fontId="1" fillId="0" borderId="2" xfId="0" quotePrefix="1" applyFont="1" applyBorder="1">
      <alignment vertical="center"/>
    </xf>
    <xf numFmtId="0" fontId="0" fillId="0" borderId="2" xfId="0" applyBorder="1">
      <alignment vertical="center"/>
    </xf>
    <xf numFmtId="0" fontId="2" fillId="0" borderId="0" xfId="0" quotePrefix="1" applyFont="1" applyAlignment="1">
      <alignment horizontal="center" vertical="center"/>
    </xf>
    <xf numFmtId="0" fontId="7" fillId="2" borderId="2" xfId="0" quotePrefix="1" applyFont="1" applyFill="1" applyBorder="1" applyAlignment="1">
      <alignment horizontal="center" vertical="center"/>
    </xf>
    <xf numFmtId="177" fontId="4" fillId="2" borderId="2" xfId="0" quotePrefix="1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0" fontId="4" fillId="0" borderId="8" xfId="0" quotePrefix="1" applyFont="1" applyBorder="1">
      <alignment vertical="center"/>
    </xf>
    <xf numFmtId="0" fontId="4" fillId="0" borderId="0" xfId="0" applyFont="1" applyAlignment="1">
      <alignment vertical="center" wrapText="1"/>
    </xf>
    <xf numFmtId="176" fontId="4" fillId="2" borderId="2" xfId="0" quotePrefix="1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2" xfId="0" quotePrefix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vertical="center" wrapText="1"/>
    </xf>
    <xf numFmtId="0" fontId="4" fillId="4" borderId="2" xfId="0" quotePrefix="1" applyFont="1" applyFill="1" applyBorder="1">
      <alignment vertical="center"/>
    </xf>
    <xf numFmtId="0" fontId="4" fillId="4" borderId="2" xfId="0" applyFont="1" applyFill="1" applyBorder="1">
      <alignment vertical="center"/>
    </xf>
    <xf numFmtId="176" fontId="4" fillId="4" borderId="2" xfId="0" applyNumberFormat="1" applyFont="1" applyFill="1" applyBorder="1">
      <alignment vertical="center"/>
    </xf>
    <xf numFmtId="0" fontId="11" fillId="0" borderId="1" xfId="2" applyFont="1" applyBorder="1" applyAlignment="1">
      <alignment vertical="center" textRotation="255"/>
    </xf>
    <xf numFmtId="180" fontId="11" fillId="0" borderId="9" xfId="2" applyNumberFormat="1" applyFont="1" applyBorder="1" applyAlignment="1">
      <alignment horizontal="center" vertical="center"/>
    </xf>
    <xf numFmtId="180" fontId="11" fillId="0" borderId="10" xfId="2" applyNumberFormat="1" applyFont="1" applyBorder="1" applyAlignment="1">
      <alignment horizontal="center" vertical="center"/>
    </xf>
    <xf numFmtId="180" fontId="11" fillId="0" borderId="11" xfId="2" applyNumberFormat="1" applyFont="1" applyBorder="1" applyAlignment="1">
      <alignment horizontal="center" vertical="center"/>
    </xf>
    <xf numFmtId="0" fontId="11" fillId="0" borderId="9" xfId="2" applyFont="1" applyBorder="1">
      <alignment vertical="center"/>
    </xf>
    <xf numFmtId="0" fontId="11" fillId="0" borderId="10" xfId="2" applyFont="1" applyBorder="1">
      <alignment vertical="center"/>
    </xf>
    <xf numFmtId="0" fontId="11" fillId="0" borderId="11" xfId="2" applyFont="1" applyBorder="1">
      <alignment vertical="center"/>
    </xf>
    <xf numFmtId="0" fontId="10" fillId="0" borderId="0" xfId="2">
      <alignment vertical="center"/>
    </xf>
    <xf numFmtId="0" fontId="11" fillId="0" borderId="7" xfId="2" applyFont="1" applyBorder="1" applyAlignment="1">
      <alignment vertical="center" textRotation="255"/>
    </xf>
    <xf numFmtId="180" fontId="11" fillId="0" borderId="12" xfId="2" applyNumberFormat="1" applyFont="1" applyBorder="1" applyAlignment="1">
      <alignment horizontal="center" vertical="center"/>
    </xf>
    <xf numFmtId="180" fontId="11" fillId="0" borderId="0" xfId="2" applyNumberFormat="1" applyFont="1" applyAlignment="1">
      <alignment horizontal="center" vertical="center"/>
    </xf>
    <xf numFmtId="180" fontId="11" fillId="0" borderId="13" xfId="2" applyNumberFormat="1" applyFont="1" applyBorder="1" applyAlignment="1">
      <alignment horizontal="center" vertical="center"/>
    </xf>
    <xf numFmtId="0" fontId="11" fillId="0" borderId="12" xfId="2" applyFont="1" applyBorder="1">
      <alignment vertical="center"/>
    </xf>
    <xf numFmtId="0" fontId="11" fillId="0" borderId="0" xfId="2" applyFont="1">
      <alignment vertical="center"/>
    </xf>
    <xf numFmtId="0" fontId="11" fillId="0" borderId="13" xfId="2" applyFont="1" applyBorder="1">
      <alignment vertical="center"/>
    </xf>
    <xf numFmtId="0" fontId="11" fillId="0" borderId="6" xfId="2" applyFont="1" applyBorder="1" applyAlignment="1">
      <alignment vertical="center" textRotation="255"/>
    </xf>
    <xf numFmtId="180" fontId="11" fillId="0" borderId="14" xfId="2" applyNumberFormat="1" applyFont="1" applyBorder="1" applyAlignment="1">
      <alignment horizontal="center" vertical="center"/>
    </xf>
    <xf numFmtId="180" fontId="11" fillId="0" borderId="8" xfId="2" applyNumberFormat="1" applyFont="1" applyBorder="1" applyAlignment="1">
      <alignment horizontal="center" vertical="center"/>
    </xf>
    <xf numFmtId="180" fontId="11" fillId="0" borderId="15" xfId="2" applyNumberFormat="1" applyFont="1" applyBorder="1" applyAlignment="1">
      <alignment horizontal="center" vertical="center"/>
    </xf>
    <xf numFmtId="0" fontId="11" fillId="0" borderId="14" xfId="2" applyFont="1" applyBorder="1">
      <alignment vertical="center"/>
    </xf>
    <xf numFmtId="0" fontId="11" fillId="0" borderId="8" xfId="2" applyFont="1" applyBorder="1">
      <alignment vertical="center"/>
    </xf>
    <xf numFmtId="0" fontId="11" fillId="0" borderId="15" xfId="2" applyFont="1" applyBorder="1">
      <alignment vertical="center"/>
    </xf>
    <xf numFmtId="0" fontId="10" fillId="0" borderId="12" xfId="2" applyBorder="1">
      <alignment vertical="center"/>
    </xf>
    <xf numFmtId="0" fontId="10" fillId="0" borderId="13" xfId="2" applyBorder="1">
      <alignment vertical="center"/>
    </xf>
    <xf numFmtId="0" fontId="14" fillId="0" borderId="0" xfId="2" applyFont="1">
      <alignment vertical="center"/>
    </xf>
    <xf numFmtId="0" fontId="14" fillId="0" borderId="0" xfId="2" applyFont="1">
      <alignment vertical="center"/>
    </xf>
    <xf numFmtId="0" fontId="15" fillId="0" borderId="12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5" fillId="0" borderId="13" xfId="2" applyFont="1" applyBorder="1" applyAlignment="1">
      <alignment horizontal="center" vertical="center"/>
    </xf>
    <xf numFmtId="0" fontId="16" fillId="0" borderId="12" xfId="2" applyFont="1" applyBorder="1">
      <alignment vertical="center"/>
    </xf>
    <xf numFmtId="0" fontId="16" fillId="0" borderId="0" xfId="2" applyFont="1">
      <alignment vertical="center"/>
    </xf>
    <xf numFmtId="0" fontId="17" fillId="0" borderId="0" xfId="2" applyFont="1" applyAlignment="1">
      <alignment horizontal="center" vertical="center"/>
    </xf>
    <xf numFmtId="0" fontId="17" fillId="0" borderId="0" xfId="2" applyFont="1" applyAlignment="1">
      <alignment horizontal="distributed" vertical="center"/>
    </xf>
    <xf numFmtId="0" fontId="17" fillId="0" borderId="0" xfId="2" applyFont="1">
      <alignment vertical="center"/>
    </xf>
    <xf numFmtId="0" fontId="16" fillId="0" borderId="13" xfId="2" applyFont="1" applyBorder="1">
      <alignment vertical="center"/>
    </xf>
    <xf numFmtId="0" fontId="16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horizontal="distributed" vertical="center"/>
    </xf>
    <xf numFmtId="0" fontId="11" fillId="0" borderId="0" xfId="2" applyFont="1">
      <alignment vertical="center"/>
    </xf>
    <xf numFmtId="41" fontId="18" fillId="0" borderId="0" xfId="2" applyNumberFormat="1" applyFont="1">
      <alignment vertical="center"/>
    </xf>
    <xf numFmtId="0" fontId="18" fillId="0" borderId="0" xfId="2" applyFont="1">
      <alignment vertical="center"/>
    </xf>
    <xf numFmtId="0" fontId="17" fillId="0" borderId="0" xfId="2" applyFont="1" applyAlignment="1">
      <alignment horizontal="distributed" vertical="center"/>
    </xf>
    <xf numFmtId="0" fontId="11" fillId="0" borderId="0" xfId="2" applyFont="1" applyAlignment="1">
      <alignment horizontal="right" vertical="center"/>
    </xf>
    <xf numFmtId="0" fontId="16" fillId="0" borderId="14" xfId="2" applyFont="1" applyBorder="1">
      <alignment vertical="center"/>
    </xf>
    <xf numFmtId="0" fontId="16" fillId="0" borderId="8" xfId="2" applyFont="1" applyBorder="1">
      <alignment vertical="center"/>
    </xf>
    <xf numFmtId="0" fontId="16" fillId="0" borderId="8" xfId="2" applyFont="1" applyBorder="1" applyAlignment="1">
      <alignment horizontal="right" vertical="center"/>
    </xf>
    <xf numFmtId="0" fontId="16" fillId="0" borderId="15" xfId="2" applyFont="1" applyBorder="1">
      <alignment vertical="center"/>
    </xf>
    <xf numFmtId="0" fontId="11" fillId="0" borderId="3" xfId="2" applyFont="1" applyBorder="1" applyAlignment="1">
      <alignment vertical="center" textRotation="255"/>
    </xf>
    <xf numFmtId="0" fontId="11" fillId="0" borderId="4" xfId="2" applyFont="1" applyBorder="1" applyAlignment="1">
      <alignment horizontal="distributed" vertical="center"/>
    </xf>
    <xf numFmtId="0" fontId="11" fillId="0" borderId="5" xfId="2" applyFont="1" applyBorder="1" applyAlignment="1">
      <alignment vertical="center" textRotation="255"/>
    </xf>
    <xf numFmtId="0" fontId="11" fillId="0" borderId="10" xfId="2" applyFont="1" applyBorder="1" applyAlignment="1">
      <alignment vertical="center" textRotation="255"/>
    </xf>
    <xf numFmtId="180" fontId="11" fillId="0" borderId="10" xfId="2" applyNumberFormat="1" applyFont="1" applyBorder="1" applyAlignment="1">
      <alignment horizontal="center" vertical="center"/>
    </xf>
    <xf numFmtId="0" fontId="11" fillId="0" borderId="10" xfId="2" applyFont="1" applyBorder="1">
      <alignment vertical="center"/>
    </xf>
    <xf numFmtId="0" fontId="11" fillId="0" borderId="11" xfId="2" applyFont="1" applyBorder="1">
      <alignment vertical="center"/>
    </xf>
    <xf numFmtId="14" fontId="19" fillId="0" borderId="9" xfId="2" applyNumberFormat="1" applyFont="1" applyBorder="1">
      <alignment vertical="center"/>
    </xf>
    <xf numFmtId="0" fontId="11" fillId="0" borderId="11" xfId="2" applyFont="1" applyBorder="1" applyAlignment="1">
      <alignment vertical="center" textRotation="255"/>
    </xf>
    <xf numFmtId="0" fontId="11" fillId="0" borderId="0" xfId="2" applyFont="1" applyAlignment="1">
      <alignment vertical="center" textRotation="255"/>
    </xf>
    <xf numFmtId="180" fontId="11" fillId="0" borderId="0" xfId="2" applyNumberFormat="1" applyFont="1" applyAlignment="1">
      <alignment horizontal="center" vertical="center"/>
    </xf>
    <xf numFmtId="0" fontId="11" fillId="0" borderId="13" xfId="2" applyFont="1" applyBorder="1">
      <alignment vertical="center"/>
    </xf>
    <xf numFmtId="0" fontId="11" fillId="0" borderId="12" xfId="2" applyFont="1" applyBorder="1" applyAlignment="1">
      <alignment vertical="center" textRotation="255"/>
    </xf>
    <xf numFmtId="0" fontId="11" fillId="0" borderId="13" xfId="2" applyFont="1" applyBorder="1" applyAlignment="1">
      <alignment vertical="center" textRotation="255"/>
    </xf>
    <xf numFmtId="0" fontId="20" fillId="0" borderId="0" xfId="2" applyFont="1">
      <alignment vertical="center"/>
    </xf>
    <xf numFmtId="0" fontId="20" fillId="0" borderId="0" xfId="2" applyFont="1" applyAlignment="1">
      <alignment horizontal="left" vertical="center" textRotation="255"/>
    </xf>
    <xf numFmtId="0" fontId="20" fillId="0" borderId="0" xfId="2" applyFont="1" applyAlignment="1">
      <alignment horizontal="right" vertical="center"/>
    </xf>
    <xf numFmtId="180" fontId="14" fillId="0" borderId="0" xfId="2" applyNumberFormat="1" applyFont="1" applyAlignment="1">
      <alignment horizontal="left" vertical="center"/>
    </xf>
    <xf numFmtId="0" fontId="10" fillId="0" borderId="14" xfId="2" applyBorder="1">
      <alignment vertical="center"/>
    </xf>
    <xf numFmtId="0" fontId="10" fillId="0" borderId="8" xfId="2" applyBorder="1">
      <alignment vertical="center"/>
    </xf>
    <xf numFmtId="0" fontId="10" fillId="0" borderId="15" xfId="2" applyBorder="1">
      <alignment vertical="center"/>
    </xf>
    <xf numFmtId="0" fontId="15" fillId="0" borderId="12" xfId="2" applyFont="1" applyBorder="1" applyAlignment="1">
      <alignment horizontal="center" shrinkToFit="1"/>
    </xf>
    <xf numFmtId="0" fontId="15" fillId="0" borderId="13" xfId="2" applyFont="1" applyBorder="1" applyAlignment="1">
      <alignment horizontal="center" shrinkToFit="1"/>
    </xf>
    <xf numFmtId="0" fontId="11" fillId="0" borderId="9" xfId="2" applyFont="1" applyBorder="1" applyAlignment="1">
      <alignment vertical="center" textRotation="255"/>
    </xf>
    <xf numFmtId="0" fontId="21" fillId="0" borderId="12" xfId="2" applyFont="1" applyBorder="1" applyAlignment="1">
      <alignment horizontal="center" vertical="top"/>
    </xf>
    <xf numFmtId="0" fontId="21" fillId="0" borderId="0" xfId="2" applyFont="1" applyAlignment="1">
      <alignment horizontal="center" vertical="top"/>
    </xf>
    <xf numFmtId="0" fontId="21" fillId="0" borderId="13" xfId="2" applyFont="1" applyBorder="1" applyAlignment="1">
      <alignment horizontal="center" vertical="top"/>
    </xf>
    <xf numFmtId="0" fontId="15" fillId="0" borderId="0" xfId="2" applyFont="1" applyAlignment="1">
      <alignment horizontal="center" vertical="center"/>
    </xf>
    <xf numFmtId="0" fontId="15" fillId="0" borderId="13" xfId="2" applyFont="1" applyBorder="1" applyAlignment="1">
      <alignment horizontal="center" vertical="center"/>
    </xf>
    <xf numFmtId="0" fontId="17" fillId="0" borderId="0" xfId="2" applyFont="1" applyAlignment="1">
      <alignment horizontal="left" vertical="center"/>
    </xf>
    <xf numFmtId="0" fontId="11" fillId="0" borderId="0" xfId="2" applyFont="1" applyAlignment="1">
      <alignment horizontal="distributed" vertical="center"/>
    </xf>
    <xf numFmtId="41" fontId="22" fillId="0" borderId="0" xfId="2" applyNumberFormat="1" applyFont="1">
      <alignment vertical="center"/>
    </xf>
    <xf numFmtId="0" fontId="22" fillId="0" borderId="0" xfId="2" applyFont="1">
      <alignment vertical="center"/>
    </xf>
    <xf numFmtId="0" fontId="11" fillId="0" borderId="0" xfId="2" applyFont="1" applyAlignment="1">
      <alignment horizontal="right" vertical="center"/>
    </xf>
    <xf numFmtId="0" fontId="23" fillId="0" borderId="0" xfId="2" applyFont="1" applyAlignment="1">
      <alignment horizontal="distributed" vertical="center" justifyLastLine="1"/>
    </xf>
    <xf numFmtId="0" fontId="11" fillId="0" borderId="8" xfId="2" applyFont="1" applyBorder="1">
      <alignment vertical="center"/>
    </xf>
    <xf numFmtId="0" fontId="11" fillId="0" borderId="8" xfId="2" applyFont="1" applyBorder="1" applyAlignment="1">
      <alignment horizontal="right" vertical="center"/>
    </xf>
    <xf numFmtId="0" fontId="11" fillId="0" borderId="15" xfId="2" applyFont="1" applyBorder="1">
      <alignment vertical="center"/>
    </xf>
    <xf numFmtId="0" fontId="24" fillId="0" borderId="0" xfId="2" applyFont="1" applyAlignment="1">
      <alignment horizontal="center" vertical="center"/>
    </xf>
    <xf numFmtId="0" fontId="25" fillId="0" borderId="0" xfId="2" applyFont="1">
      <alignment vertical="center"/>
    </xf>
    <xf numFmtId="41" fontId="10" fillId="0" borderId="21" xfId="3" applyFont="1" applyBorder="1" applyAlignment="1">
      <alignment vertical="center"/>
    </xf>
    <xf numFmtId="41" fontId="10" fillId="0" borderId="0" xfId="3" applyFont="1" applyBorder="1" applyAlignment="1">
      <alignment vertical="center"/>
    </xf>
    <xf numFmtId="41" fontId="10" fillId="0" borderId="26" xfId="3" applyFont="1" applyBorder="1" applyAlignment="1">
      <alignment horizontal="left" vertical="center" justifyLastLine="1"/>
    </xf>
    <xf numFmtId="41" fontId="10" fillId="0" borderId="22" xfId="3" applyFont="1" applyBorder="1" applyAlignment="1">
      <alignment horizontal="left" vertical="center" justifyLastLine="1"/>
    </xf>
    <xf numFmtId="41" fontId="10" fillId="0" borderId="25" xfId="3" applyFont="1" applyBorder="1" applyAlignment="1">
      <alignment horizontal="left" vertical="center" justifyLastLine="1"/>
    </xf>
    <xf numFmtId="181" fontId="10" fillId="0" borderId="25" xfId="3" applyNumberFormat="1" applyFont="1" applyFill="1" applyBorder="1" applyAlignment="1">
      <alignment horizontal="left" vertical="center" justifyLastLine="1"/>
    </xf>
    <xf numFmtId="181" fontId="10" fillId="0" borderId="23" xfId="3" applyNumberFormat="1" applyFont="1" applyFill="1" applyBorder="1" applyAlignment="1">
      <alignment horizontal="left" vertical="center" justifyLastLine="1"/>
    </xf>
    <xf numFmtId="181" fontId="10" fillId="0" borderId="22" xfId="3" applyNumberFormat="1" applyFont="1" applyBorder="1" applyAlignment="1">
      <alignment horizontal="left" vertical="center" justifyLastLine="1"/>
    </xf>
    <xf numFmtId="41" fontId="10" fillId="0" borderId="23" xfId="3" applyFont="1" applyBorder="1" applyAlignment="1">
      <alignment horizontal="left" vertical="center" justifyLastLine="1"/>
    </xf>
    <xf numFmtId="41" fontId="10" fillId="0" borderId="28" xfId="3" applyFont="1" applyBorder="1" applyAlignment="1">
      <alignment vertical="center"/>
    </xf>
    <xf numFmtId="41" fontId="10" fillId="0" borderId="0" xfId="3" applyFont="1" applyBorder="1" applyAlignment="1">
      <alignment horizontal="left" vertical="center" justifyLastLine="1"/>
    </xf>
    <xf numFmtId="181" fontId="10" fillId="0" borderId="0" xfId="3" applyNumberFormat="1" applyFont="1" applyFill="1" applyBorder="1" applyAlignment="1">
      <alignment horizontal="left" vertical="center" justifyLastLine="1"/>
    </xf>
    <xf numFmtId="181" fontId="10" fillId="0" borderId="29" xfId="3" applyNumberFormat="1" applyFont="1" applyFill="1" applyBorder="1" applyAlignment="1">
      <alignment horizontal="left" vertical="center" justifyLastLine="1"/>
    </xf>
    <xf numFmtId="181" fontId="10" fillId="0" borderId="26" xfId="3" applyNumberFormat="1" applyFont="1" applyBorder="1" applyAlignment="1">
      <alignment horizontal="left" vertical="center" justifyLastLine="1"/>
    </xf>
    <xf numFmtId="41" fontId="10" fillId="0" borderId="29" xfId="3" applyFont="1" applyBorder="1" applyAlignment="1">
      <alignment horizontal="left" vertical="center" justifyLastLine="1"/>
    </xf>
    <xf numFmtId="41" fontId="10" fillId="0" borderId="31" xfId="3" applyFont="1" applyBorder="1" applyAlignment="1">
      <alignment horizontal="left" vertical="center" justifyLastLine="1"/>
    </xf>
    <xf numFmtId="41" fontId="10" fillId="0" borderId="32" xfId="3" applyFont="1" applyBorder="1" applyAlignment="1">
      <alignment horizontal="left" vertical="center" justifyLastLine="1"/>
    </xf>
    <xf numFmtId="41" fontId="10" fillId="0" borderId="33" xfId="3" applyFont="1" applyBorder="1" applyAlignment="1">
      <alignment horizontal="left" vertical="center" justifyLastLine="1"/>
    </xf>
    <xf numFmtId="181" fontId="10" fillId="0" borderId="33" xfId="3" applyNumberFormat="1" applyFont="1" applyFill="1" applyBorder="1" applyAlignment="1">
      <alignment horizontal="left" vertical="center" justifyLastLine="1"/>
    </xf>
    <xf numFmtId="181" fontId="10" fillId="0" borderId="19" xfId="3" applyNumberFormat="1" applyFont="1" applyFill="1" applyBorder="1" applyAlignment="1">
      <alignment horizontal="left" vertical="center" justifyLastLine="1"/>
    </xf>
    <xf numFmtId="181" fontId="10" fillId="0" borderId="32" xfId="3" applyNumberFormat="1" applyFont="1" applyBorder="1" applyAlignment="1">
      <alignment horizontal="left" vertical="center" justifyLastLine="1"/>
    </xf>
    <xf numFmtId="41" fontId="10" fillId="0" borderId="19" xfId="3" applyFont="1" applyBorder="1" applyAlignment="1">
      <alignment horizontal="left" vertical="center" justifyLastLine="1"/>
    </xf>
    <xf numFmtId="41" fontId="10" fillId="0" borderId="35" xfId="3" applyFont="1" applyBorder="1" applyAlignment="1">
      <alignment vertical="center"/>
    </xf>
    <xf numFmtId="0" fontId="16" fillId="0" borderId="20" xfId="2" applyFont="1" applyBorder="1" applyAlignment="1">
      <alignment horizontal="center" vertical="center"/>
    </xf>
    <xf numFmtId="0" fontId="16" fillId="0" borderId="21" xfId="2" applyFont="1" applyBorder="1" applyAlignment="1">
      <alignment horizontal="center" vertical="center"/>
    </xf>
    <xf numFmtId="41" fontId="10" fillId="0" borderId="20" xfId="3" applyFont="1" applyBorder="1" applyAlignment="1">
      <alignment horizontal="left" vertical="center"/>
    </xf>
    <xf numFmtId="41" fontId="25" fillId="0" borderId="0" xfId="3" applyFont="1" applyBorder="1" applyAlignment="1">
      <alignment vertical="center"/>
    </xf>
    <xf numFmtId="41" fontId="10" fillId="0" borderId="27" xfId="3" applyFont="1" applyFill="1" applyBorder="1" applyAlignment="1">
      <alignment horizontal="left" vertical="center" wrapText="1"/>
    </xf>
    <xf numFmtId="41" fontId="10" fillId="0" borderId="28" xfId="3" applyFont="1" applyFill="1" applyBorder="1" applyAlignment="1">
      <alignment vertical="center"/>
    </xf>
    <xf numFmtId="41" fontId="10" fillId="0" borderId="27" xfId="3" applyFont="1" applyFill="1" applyBorder="1" applyAlignment="1">
      <alignment horizontal="left" vertical="center"/>
    </xf>
    <xf numFmtId="41" fontId="10" fillId="0" borderId="36" xfId="3" applyFont="1" applyFill="1" applyBorder="1" applyAlignment="1">
      <alignment horizontal="left" vertical="center"/>
    </xf>
    <xf numFmtId="41" fontId="10" fillId="0" borderId="37" xfId="3" applyFont="1" applyFill="1" applyBorder="1" applyAlignment="1">
      <alignment vertical="center"/>
    </xf>
    <xf numFmtId="41" fontId="10" fillId="5" borderId="20" xfId="3" applyFont="1" applyFill="1" applyBorder="1" applyAlignment="1">
      <alignment horizontal="left" vertical="center"/>
    </xf>
    <xf numFmtId="41" fontId="10" fillId="5" borderId="21" xfId="3" applyFont="1" applyFill="1" applyBorder="1" applyAlignment="1">
      <alignment horizontal="left" vertical="center"/>
    </xf>
    <xf numFmtId="181" fontId="25" fillId="0" borderId="0" xfId="3" applyNumberFormat="1" applyFont="1" applyBorder="1" applyAlignment="1">
      <alignment vertical="center"/>
    </xf>
    <xf numFmtId="181" fontId="10" fillId="5" borderId="34" xfId="3" applyNumberFormat="1" applyFont="1" applyFill="1" applyBorder="1" applyAlignment="1">
      <alignment vertical="center"/>
    </xf>
    <xf numFmtId="41" fontId="10" fillId="5" borderId="35" xfId="3" applyFont="1" applyFill="1" applyBorder="1" applyAlignment="1">
      <alignment vertical="center"/>
    </xf>
    <xf numFmtId="0" fontId="16" fillId="7" borderId="38" xfId="2" applyFont="1" applyFill="1" applyBorder="1" applyAlignment="1">
      <alignment horizontal="center" vertical="center"/>
    </xf>
    <xf numFmtId="0" fontId="16" fillId="7" borderId="39" xfId="2" applyFont="1" applyFill="1" applyBorder="1" applyAlignment="1">
      <alignment horizontal="center" vertical="center"/>
    </xf>
    <xf numFmtId="0" fontId="16" fillId="7" borderId="40" xfId="2" applyFont="1" applyFill="1" applyBorder="1" applyAlignment="1">
      <alignment horizontal="center" vertical="center"/>
    </xf>
    <xf numFmtId="41" fontId="10" fillId="0" borderId="43" xfId="3" applyFont="1" applyBorder="1" applyAlignment="1">
      <alignment horizontal="left" vertical="center" justifyLastLine="1"/>
    </xf>
    <xf numFmtId="41" fontId="10" fillId="0" borderId="10" xfId="3" applyFont="1" applyBorder="1" applyAlignment="1">
      <alignment horizontal="left" vertical="center" justifyLastLine="1"/>
    </xf>
    <xf numFmtId="181" fontId="10" fillId="0" borderId="10" xfId="3" applyNumberFormat="1" applyFont="1" applyFill="1" applyBorder="1" applyAlignment="1">
      <alignment horizontal="left" vertical="center" justifyLastLine="1"/>
    </xf>
    <xf numFmtId="181" fontId="10" fillId="0" borderId="42" xfId="3" applyNumberFormat="1" applyFont="1" applyFill="1" applyBorder="1" applyAlignment="1">
      <alignment horizontal="left" vertical="center" justifyLastLine="1"/>
    </xf>
    <xf numFmtId="181" fontId="10" fillId="0" borderId="43" xfId="3" applyNumberFormat="1" applyFont="1" applyBorder="1" applyAlignment="1">
      <alignment horizontal="left" vertical="center" justifyLastLine="1"/>
    </xf>
    <xf numFmtId="41" fontId="26" fillId="0" borderId="10" xfId="3" applyFont="1" applyBorder="1" applyAlignment="1">
      <alignment horizontal="left" vertical="center" justifyLastLine="1"/>
    </xf>
    <xf numFmtId="41" fontId="10" fillId="0" borderId="42" xfId="3" applyFont="1" applyBorder="1" applyAlignment="1">
      <alignment horizontal="left" vertical="center" justifyLastLine="1"/>
    </xf>
    <xf numFmtId="0" fontId="27" fillId="0" borderId="0" xfId="2" applyFont="1">
      <alignment vertical="center"/>
    </xf>
    <xf numFmtId="0" fontId="28" fillId="0" borderId="0" xfId="2" applyFont="1" applyAlignment="1">
      <alignment horizontal="right" vertical="center"/>
    </xf>
    <xf numFmtId="0" fontId="28" fillId="0" borderId="29" xfId="2" applyFont="1" applyBorder="1">
      <alignment vertical="center"/>
    </xf>
    <xf numFmtId="41" fontId="28" fillId="0" borderId="26" xfId="3" applyFont="1" applyBorder="1" applyAlignment="1">
      <alignment horizontal="left" vertical="center" justifyLastLine="1"/>
    </xf>
    <xf numFmtId="41" fontId="28" fillId="0" borderId="0" xfId="3" applyFont="1" applyBorder="1" applyAlignment="1">
      <alignment horizontal="left" vertical="center" justifyLastLine="1"/>
    </xf>
    <xf numFmtId="181" fontId="28" fillId="0" borderId="0" xfId="3" applyNumberFormat="1" applyFont="1" applyFill="1" applyBorder="1" applyAlignment="1">
      <alignment horizontal="left" vertical="center" justifyLastLine="1"/>
    </xf>
    <xf numFmtId="181" fontId="28" fillId="0" borderId="29" xfId="3" applyNumberFormat="1" applyFont="1" applyFill="1" applyBorder="1" applyAlignment="1">
      <alignment horizontal="left" vertical="center" justifyLastLine="1"/>
    </xf>
    <xf numFmtId="181" fontId="28" fillId="0" borderId="26" xfId="3" applyNumberFormat="1" applyFont="1" applyBorder="1" applyAlignment="1">
      <alignment horizontal="left" vertical="center" justifyLastLine="1"/>
    </xf>
    <xf numFmtId="41" fontId="30" fillId="0" borderId="0" xfId="3" applyFont="1" applyBorder="1" applyAlignment="1">
      <alignment horizontal="left" vertical="center" justifyLastLine="1"/>
    </xf>
    <xf numFmtId="41" fontId="30" fillId="0" borderId="29" xfId="3" applyFont="1" applyBorder="1" applyAlignment="1">
      <alignment horizontal="left" vertical="center" justifyLastLine="1"/>
    </xf>
    <xf numFmtId="0" fontId="31" fillId="0" borderId="0" xfId="2" applyFont="1">
      <alignment vertical="center"/>
    </xf>
    <xf numFmtId="0" fontId="28" fillId="0" borderId="8" xfId="2" applyFont="1" applyBorder="1" applyAlignment="1">
      <alignment horizontal="right" vertical="center"/>
    </xf>
    <xf numFmtId="0" fontId="28" fillId="0" borderId="45" xfId="2" applyFont="1" applyBorder="1">
      <alignment vertical="center"/>
    </xf>
    <xf numFmtId="41" fontId="28" fillId="0" borderId="46" xfId="3" applyFont="1" applyBorder="1" applyAlignment="1">
      <alignment horizontal="left" vertical="center" justifyLastLine="1"/>
    </xf>
    <xf numFmtId="41" fontId="28" fillId="0" borderId="8" xfId="3" applyFont="1" applyBorder="1" applyAlignment="1">
      <alignment horizontal="left" vertical="center" justifyLastLine="1"/>
    </xf>
    <xf numFmtId="181" fontId="28" fillId="0" borderId="8" xfId="3" applyNumberFormat="1" applyFont="1" applyFill="1" applyBorder="1" applyAlignment="1">
      <alignment horizontal="left" vertical="center" justifyLastLine="1"/>
    </xf>
    <xf numFmtId="181" fontId="28" fillId="0" borderId="45" xfId="3" applyNumberFormat="1" applyFont="1" applyFill="1" applyBorder="1" applyAlignment="1">
      <alignment horizontal="left" vertical="center" justifyLastLine="1"/>
    </xf>
    <xf numFmtId="181" fontId="28" fillId="0" borderId="46" xfId="3" applyNumberFormat="1" applyFont="1" applyBorder="1" applyAlignment="1">
      <alignment horizontal="left" vertical="center" justifyLastLine="1"/>
    </xf>
    <xf numFmtId="41" fontId="30" fillId="0" borderId="8" xfId="3" applyFont="1" applyBorder="1" applyAlignment="1">
      <alignment horizontal="left" vertical="center" justifyLastLine="1"/>
    </xf>
    <xf numFmtId="41" fontId="30" fillId="0" borderId="45" xfId="3" applyFont="1" applyBorder="1" applyAlignment="1">
      <alignment horizontal="left" vertical="center" justifyLastLine="1"/>
    </xf>
    <xf numFmtId="10" fontId="10" fillId="0" borderId="0" xfId="4" applyNumberFormat="1" applyFont="1" applyBorder="1" applyAlignment="1">
      <alignment horizontal="center" vertical="center"/>
    </xf>
    <xf numFmtId="10" fontId="10" fillId="0" borderId="50" xfId="4" applyNumberFormat="1" applyFont="1" applyBorder="1" applyAlignment="1">
      <alignment horizontal="center" vertical="center"/>
    </xf>
    <xf numFmtId="10" fontId="10" fillId="0" borderId="0" xfId="4" applyNumberFormat="1" applyFont="1" applyBorder="1" applyAlignment="1">
      <alignment vertical="center"/>
    </xf>
    <xf numFmtId="41" fontId="10" fillId="0" borderId="26" xfId="3" applyFont="1" applyFill="1" applyBorder="1" applyAlignment="1">
      <alignment horizontal="left" vertical="center" justifyLastLine="1"/>
    </xf>
    <xf numFmtId="41" fontId="10" fillId="0" borderId="54" xfId="3" applyFont="1" applyBorder="1" applyAlignment="1">
      <alignment horizontal="left" vertical="center" justifyLastLine="1"/>
    </xf>
    <xf numFmtId="41" fontId="10" fillId="0" borderId="51" xfId="3" applyFont="1" applyBorder="1" applyAlignment="1">
      <alignment horizontal="left" vertical="center" justifyLastLine="1"/>
    </xf>
    <xf numFmtId="41" fontId="10" fillId="0" borderId="52" xfId="3" applyFont="1" applyBorder="1" applyAlignment="1">
      <alignment horizontal="left" vertical="center" justifyLastLine="1"/>
    </xf>
    <xf numFmtId="181" fontId="10" fillId="0" borderId="52" xfId="3" applyNumberFormat="1" applyFont="1" applyFill="1" applyBorder="1" applyAlignment="1">
      <alignment horizontal="left" vertical="center" justifyLastLine="1"/>
    </xf>
    <xf numFmtId="181" fontId="10" fillId="0" borderId="53" xfId="3" applyNumberFormat="1" applyFont="1" applyFill="1" applyBorder="1" applyAlignment="1">
      <alignment horizontal="left" vertical="center" justifyLastLine="1"/>
    </xf>
    <xf numFmtId="181" fontId="10" fillId="0" borderId="51" xfId="3" applyNumberFormat="1" applyFont="1" applyBorder="1" applyAlignment="1">
      <alignment horizontal="left" vertical="center" justifyLastLine="1"/>
    </xf>
    <xf numFmtId="41" fontId="10" fillId="0" borderId="53" xfId="3" applyFont="1" applyBorder="1" applyAlignment="1">
      <alignment horizontal="left" vertical="center" justifyLastLine="1"/>
    </xf>
    <xf numFmtId="0" fontId="25" fillId="0" borderId="53" xfId="2" applyFont="1" applyBorder="1">
      <alignment vertical="center"/>
    </xf>
    <xf numFmtId="41" fontId="10" fillId="0" borderId="54" xfId="3" applyFont="1" applyBorder="1" applyAlignment="1">
      <alignment horizontal="left" vertical="center" justifyLastLine="1"/>
    </xf>
    <xf numFmtId="41" fontId="10" fillId="2" borderId="2" xfId="3" applyFont="1" applyFill="1" applyBorder="1" applyAlignment="1">
      <alignment vertical="center"/>
    </xf>
    <xf numFmtId="0" fontId="16" fillId="0" borderId="0" xfId="2" applyFont="1" applyAlignment="1">
      <alignment horizontal="left" vertical="center"/>
    </xf>
    <xf numFmtId="41" fontId="10" fillId="0" borderId="0" xfId="3" applyFont="1" applyAlignment="1">
      <alignment vertical="center"/>
    </xf>
    <xf numFmtId="0" fontId="16" fillId="7" borderId="49" xfId="2" applyFont="1" applyFill="1" applyBorder="1" applyAlignment="1">
      <alignment horizontal="center" vertical="center"/>
    </xf>
    <xf numFmtId="0" fontId="16" fillId="7" borderId="58" xfId="2" applyFont="1" applyFill="1" applyBorder="1" applyAlignment="1">
      <alignment horizontal="center" vertical="center"/>
    </xf>
    <xf numFmtId="0" fontId="16" fillId="7" borderId="50" xfId="2" applyFont="1" applyFill="1" applyBorder="1" applyAlignment="1">
      <alignment horizontal="center" vertical="center"/>
    </xf>
    <xf numFmtId="41" fontId="10" fillId="0" borderId="47" xfId="3" applyFont="1" applyBorder="1" applyAlignment="1">
      <alignment horizontal="center" vertical="center"/>
    </xf>
    <xf numFmtId="41" fontId="10" fillId="0" borderId="27" xfId="3" applyFont="1" applyBorder="1" applyAlignment="1">
      <alignment horizontal="center" vertical="center"/>
    </xf>
    <xf numFmtId="41" fontId="10" fillId="0" borderId="34" xfId="3" applyFont="1" applyBorder="1" applyAlignment="1">
      <alignment horizontal="center" vertical="center"/>
    </xf>
    <xf numFmtId="41" fontId="10" fillId="0" borderId="0" xfId="3" applyFont="1" applyBorder="1" applyAlignment="1">
      <alignment horizontal="center" vertical="center"/>
    </xf>
    <xf numFmtId="41" fontId="16" fillId="0" borderId="0" xfId="3" applyFont="1" applyAlignment="1">
      <alignment horizontal="left" vertical="center"/>
    </xf>
    <xf numFmtId="0" fontId="16" fillId="7" borderId="20" xfId="2" applyFont="1" applyFill="1" applyBorder="1" applyAlignment="1">
      <alignment horizontal="center" vertical="center"/>
    </xf>
    <xf numFmtId="0" fontId="16" fillId="7" borderId="41" xfId="2" applyFont="1" applyFill="1" applyBorder="1" applyAlignment="1">
      <alignment horizontal="center" vertical="center"/>
    </xf>
    <xf numFmtId="0" fontId="16" fillId="7" borderId="21" xfId="2" applyFont="1" applyFill="1" applyBorder="1" applyAlignment="1">
      <alignment horizontal="center" vertical="center"/>
    </xf>
    <xf numFmtId="41" fontId="10" fillId="0" borderId="2" xfId="3" applyFont="1" applyBorder="1" applyAlignment="1">
      <alignment vertical="center"/>
    </xf>
    <xf numFmtId="41" fontId="10" fillId="0" borderId="28" xfId="3" applyFont="1" applyBorder="1" applyAlignment="1">
      <alignment vertical="center"/>
    </xf>
    <xf numFmtId="41" fontId="10" fillId="0" borderId="44" xfId="3" applyFont="1" applyBorder="1" applyAlignment="1">
      <alignment vertical="center"/>
    </xf>
    <xf numFmtId="41" fontId="10" fillId="0" borderId="35" xfId="3" applyFont="1" applyBorder="1" applyAlignment="1">
      <alignment vertical="center"/>
    </xf>
    <xf numFmtId="0" fontId="10" fillId="0" borderId="0" xfId="2" applyFont="1">
      <alignment vertical="center"/>
    </xf>
    <xf numFmtId="0" fontId="10" fillId="0" borderId="0" xfId="2" applyFont="1" applyAlignment="1">
      <alignment horizontal="center" vertical="center"/>
    </xf>
    <xf numFmtId="0" fontId="10" fillId="0" borderId="8" xfId="2" applyFont="1" applyBorder="1">
      <alignment vertical="center"/>
    </xf>
    <xf numFmtId="0" fontId="10" fillId="0" borderId="8" xfId="2" applyFont="1" applyBorder="1" applyAlignment="1">
      <alignment horizontal="right" vertical="center"/>
    </xf>
    <xf numFmtId="0" fontId="10" fillId="0" borderId="16" xfId="2" applyFont="1" applyBorder="1" applyAlignment="1">
      <alignment horizontal="distributed" vertical="center" justifyLastLine="1"/>
    </xf>
    <xf numFmtId="0" fontId="10" fillId="0" borderId="17" xfId="2" applyFont="1" applyBorder="1" applyAlignment="1">
      <alignment horizontal="distributed" vertical="center" justifyLastLine="1"/>
    </xf>
    <xf numFmtId="0" fontId="10" fillId="0" borderId="18" xfId="2" applyFont="1" applyBorder="1" applyAlignment="1">
      <alignment horizontal="distributed" vertical="center" justifyLastLine="1"/>
    </xf>
    <xf numFmtId="0" fontId="10" fillId="0" borderId="19" xfId="2" applyFont="1" applyBorder="1" applyAlignment="1">
      <alignment horizontal="distributed" vertical="center" justifyLastLine="1"/>
    </xf>
    <xf numFmtId="0" fontId="10" fillId="0" borderId="20" xfId="2" applyFont="1" applyBorder="1">
      <alignment vertical="center"/>
    </xf>
    <xf numFmtId="0" fontId="10" fillId="0" borderId="20" xfId="2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0" fontId="10" fillId="0" borderId="22" xfId="2" applyFont="1" applyBorder="1" applyAlignment="1">
      <alignment vertical="center" textRotation="255"/>
    </xf>
    <xf numFmtId="0" fontId="10" fillId="0" borderId="23" xfId="2" applyFont="1" applyBorder="1" applyAlignment="1">
      <alignment vertical="center" textRotation="255"/>
    </xf>
    <xf numFmtId="0" fontId="10" fillId="0" borderId="24" xfId="2" applyFont="1" applyBorder="1" applyAlignment="1">
      <alignment vertical="center" textRotation="255"/>
    </xf>
    <xf numFmtId="0" fontId="10" fillId="0" borderId="22" xfId="2" applyFont="1" applyBorder="1">
      <alignment vertical="center"/>
    </xf>
    <xf numFmtId="0" fontId="10" fillId="0" borderId="25" xfId="2" applyFont="1" applyBorder="1" applyAlignment="1">
      <alignment horizontal="distributed" vertical="center"/>
    </xf>
    <xf numFmtId="0" fontId="10" fillId="0" borderId="23" xfId="2" applyFont="1" applyBorder="1">
      <alignment vertical="center"/>
    </xf>
    <xf numFmtId="0" fontId="10" fillId="0" borderId="27" xfId="2" applyFont="1" applyBorder="1">
      <alignment vertical="center"/>
    </xf>
    <xf numFmtId="0" fontId="10" fillId="5" borderId="28" xfId="2" applyFont="1" applyFill="1" applyBorder="1">
      <alignment vertical="center"/>
    </xf>
    <xf numFmtId="0" fontId="10" fillId="0" borderId="26" xfId="2" applyFont="1" applyBorder="1" applyAlignment="1">
      <alignment vertical="center" textRotation="255"/>
    </xf>
    <xf numFmtId="0" fontId="10" fillId="0" borderId="29" xfId="2" applyFont="1" applyBorder="1" applyAlignment="1">
      <alignment vertical="center" textRotation="255"/>
    </xf>
    <xf numFmtId="0" fontId="10" fillId="0" borderId="30" xfId="2" applyFont="1" applyBorder="1" applyAlignment="1">
      <alignment vertical="center" textRotation="255"/>
    </xf>
    <xf numFmtId="0" fontId="10" fillId="0" borderId="26" xfId="2" applyFont="1" applyBorder="1">
      <alignment vertical="center"/>
    </xf>
    <xf numFmtId="0" fontId="10" fillId="0" borderId="0" xfId="2" applyFont="1" applyAlignment="1">
      <alignment horizontal="distributed" vertical="center"/>
    </xf>
    <xf numFmtId="0" fontId="10" fillId="0" borderId="29" xfId="2" applyFont="1" applyBorder="1">
      <alignment vertical="center"/>
    </xf>
    <xf numFmtId="0" fontId="10" fillId="0" borderId="31" xfId="2" applyFont="1" applyBorder="1" applyAlignment="1">
      <alignment vertical="center" textRotation="255"/>
    </xf>
    <xf numFmtId="0" fontId="10" fillId="0" borderId="32" xfId="2" applyFont="1" applyBorder="1">
      <alignment vertical="center"/>
    </xf>
    <xf numFmtId="0" fontId="10" fillId="0" borderId="33" xfId="2" applyFont="1" applyBorder="1" applyAlignment="1">
      <alignment horizontal="distributed" vertical="center"/>
    </xf>
    <xf numFmtId="0" fontId="10" fillId="0" borderId="19" xfId="2" applyFont="1" applyBorder="1">
      <alignment vertical="center"/>
    </xf>
    <xf numFmtId="0" fontId="10" fillId="0" borderId="34" xfId="2" applyFont="1" applyBorder="1">
      <alignment vertical="center"/>
    </xf>
    <xf numFmtId="0" fontId="10" fillId="5" borderId="35" xfId="2" applyFont="1" applyFill="1" applyBorder="1">
      <alignment vertical="center"/>
    </xf>
    <xf numFmtId="0" fontId="10" fillId="0" borderId="0" xfId="2" quotePrefix="1" applyFont="1">
      <alignment vertical="center"/>
    </xf>
    <xf numFmtId="41" fontId="10" fillId="0" borderId="0" xfId="2" applyNumberFormat="1" applyFont="1">
      <alignment vertical="center"/>
    </xf>
    <xf numFmtId="41" fontId="10" fillId="0" borderId="21" xfId="2" applyNumberFormat="1" applyFont="1" applyBorder="1">
      <alignment vertical="center"/>
    </xf>
    <xf numFmtId="0" fontId="10" fillId="0" borderId="27" xfId="2" applyFont="1" applyBorder="1" applyAlignment="1">
      <alignment horizontal="center" vertical="center"/>
    </xf>
    <xf numFmtId="0" fontId="10" fillId="0" borderId="28" xfId="2" applyFont="1" applyBorder="1" applyAlignment="1">
      <alignment horizontal="center" vertical="center"/>
    </xf>
    <xf numFmtId="0" fontId="10" fillId="0" borderId="28" xfId="2" applyFont="1" applyBorder="1">
      <alignment vertical="center"/>
    </xf>
    <xf numFmtId="41" fontId="10" fillId="0" borderId="28" xfId="2" applyNumberFormat="1" applyFont="1" applyBorder="1">
      <alignment vertical="center"/>
    </xf>
    <xf numFmtId="0" fontId="10" fillId="0" borderId="0" xfId="2" applyFont="1" applyAlignment="1">
      <alignment horizontal="distributed" vertical="center" wrapText="1"/>
    </xf>
    <xf numFmtId="0" fontId="10" fillId="6" borderId="27" xfId="2" applyFont="1" applyFill="1" applyBorder="1">
      <alignment vertical="center"/>
    </xf>
    <xf numFmtId="0" fontId="10" fillId="6" borderId="28" xfId="2" applyFont="1" applyFill="1" applyBorder="1">
      <alignment vertical="center"/>
    </xf>
    <xf numFmtId="0" fontId="10" fillId="0" borderId="27" xfId="2" applyFont="1" applyBorder="1" applyAlignment="1">
      <alignment vertical="center" wrapText="1"/>
    </xf>
    <xf numFmtId="0" fontId="10" fillId="0" borderId="41" xfId="2" applyFont="1" applyBorder="1" applyAlignment="1">
      <alignment horizontal="center" vertical="center"/>
    </xf>
    <xf numFmtId="0" fontId="10" fillId="0" borderId="9" xfId="2" applyFont="1" applyBorder="1">
      <alignment vertical="center"/>
    </xf>
    <xf numFmtId="0" fontId="10" fillId="0" borderId="10" xfId="2" applyFont="1" applyBorder="1" applyAlignment="1">
      <alignment horizontal="distributed" vertical="center"/>
    </xf>
    <xf numFmtId="0" fontId="10" fillId="0" borderId="42" xfId="2" applyFont="1" applyBorder="1">
      <alignment vertical="center"/>
    </xf>
    <xf numFmtId="0" fontId="10" fillId="0" borderId="2" xfId="2" applyFont="1" applyBorder="1" applyAlignment="1">
      <alignment horizontal="center" vertical="center"/>
    </xf>
    <xf numFmtId="0" fontId="10" fillId="0" borderId="12" xfId="2" applyFont="1" applyBorder="1">
      <alignment vertical="center"/>
    </xf>
    <xf numFmtId="0" fontId="10" fillId="8" borderId="27" xfId="2" applyFont="1" applyFill="1" applyBorder="1">
      <alignment vertical="center"/>
    </xf>
    <xf numFmtId="0" fontId="10" fillId="8" borderId="28" xfId="2" applyFont="1" applyFill="1" applyBorder="1">
      <alignment vertical="center"/>
    </xf>
    <xf numFmtId="0" fontId="10" fillId="0" borderId="34" xfId="2" applyFont="1" applyBorder="1" applyAlignment="1">
      <alignment horizontal="center" vertical="center"/>
    </xf>
    <xf numFmtId="0" fontId="10" fillId="0" borderId="44" xfId="2" applyFont="1" applyBorder="1" applyAlignment="1">
      <alignment horizontal="center" vertical="center"/>
    </xf>
    <xf numFmtId="0" fontId="10" fillId="0" borderId="35" xfId="2" applyFont="1" applyBorder="1" applyAlignment="1">
      <alignment horizontal="center" vertical="center"/>
    </xf>
    <xf numFmtId="0" fontId="10" fillId="0" borderId="14" xfId="2" applyFont="1" applyBorder="1">
      <alignment vertical="center"/>
    </xf>
    <xf numFmtId="0" fontId="10" fillId="0" borderId="47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48" xfId="2" applyFont="1" applyBorder="1" applyAlignment="1">
      <alignment horizontal="center" vertical="center"/>
    </xf>
    <xf numFmtId="0" fontId="10" fillId="0" borderId="34" xfId="2" applyFont="1" applyBorder="1" applyAlignment="1">
      <alignment vertical="center" wrapText="1"/>
    </xf>
    <xf numFmtId="0" fontId="10" fillId="0" borderId="35" xfId="2" applyFont="1" applyBorder="1">
      <alignment vertical="center"/>
    </xf>
    <xf numFmtId="0" fontId="10" fillId="0" borderId="36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37" xfId="2" applyFont="1" applyBorder="1" applyAlignment="1">
      <alignment horizontal="center" vertical="center"/>
    </xf>
    <xf numFmtId="0" fontId="10" fillId="0" borderId="32" xfId="2" applyFont="1" applyBorder="1" applyAlignment="1">
      <alignment vertical="center" textRotation="255"/>
    </xf>
    <xf numFmtId="0" fontId="10" fillId="0" borderId="19" xfId="2" applyFont="1" applyBorder="1" applyAlignment="1">
      <alignment vertical="center" textRotation="255"/>
    </xf>
    <xf numFmtId="0" fontId="10" fillId="0" borderId="51" xfId="2" applyFont="1" applyBorder="1" applyAlignment="1">
      <alignment horizontal="center" vertical="center"/>
    </xf>
    <xf numFmtId="0" fontId="10" fillId="0" borderId="52" xfId="2" applyFont="1" applyBorder="1" applyAlignment="1">
      <alignment horizontal="center" vertical="center"/>
    </xf>
    <xf numFmtId="0" fontId="10" fillId="0" borderId="53" xfId="2" applyFont="1" applyBorder="1" applyAlignment="1">
      <alignment horizontal="center" vertical="center"/>
    </xf>
    <xf numFmtId="0" fontId="10" fillId="0" borderId="23" xfId="2" applyFont="1" applyBorder="1" applyAlignment="1">
      <alignment horizontal="distributed" vertical="center"/>
    </xf>
    <xf numFmtId="0" fontId="10" fillId="0" borderId="24" xfId="2" applyFont="1" applyBorder="1" applyAlignment="1">
      <alignment horizontal="distributed" vertical="center"/>
    </xf>
    <xf numFmtId="0" fontId="10" fillId="0" borderId="22" xfId="2" applyFont="1" applyBorder="1" applyAlignment="1">
      <alignment horizontal="distributed" vertical="center"/>
    </xf>
    <xf numFmtId="0" fontId="10" fillId="0" borderId="51" xfId="2" applyFont="1" applyBorder="1">
      <alignment vertical="center"/>
    </xf>
    <xf numFmtId="0" fontId="10" fillId="0" borderId="53" xfId="2" applyFont="1" applyBorder="1" applyAlignment="1">
      <alignment horizontal="distributed" vertical="center"/>
    </xf>
    <xf numFmtId="0" fontId="10" fillId="0" borderId="54" xfId="2" applyFont="1" applyBorder="1" applyAlignment="1">
      <alignment horizontal="distributed" vertical="center"/>
    </xf>
    <xf numFmtId="0" fontId="10" fillId="0" borderId="51" xfId="2" applyFont="1" applyBorder="1" applyAlignment="1">
      <alignment horizontal="distributed" vertical="center"/>
    </xf>
    <xf numFmtId="0" fontId="10" fillId="0" borderId="53" xfId="2" applyFont="1" applyBorder="1">
      <alignment vertical="center"/>
    </xf>
    <xf numFmtId="0" fontId="10" fillId="0" borderId="52" xfId="2" applyFont="1" applyBorder="1" applyAlignment="1">
      <alignment horizontal="distributed" vertical="center"/>
    </xf>
    <xf numFmtId="0" fontId="10" fillId="0" borderId="25" xfId="2" applyFont="1" applyBorder="1" applyAlignment="1">
      <alignment horizontal="distributed" vertical="center"/>
    </xf>
    <xf numFmtId="0" fontId="10" fillId="0" borderId="54" xfId="2" applyFont="1" applyBorder="1" applyAlignment="1">
      <alignment horizontal="left" vertical="center" justifyLastLine="1"/>
    </xf>
    <xf numFmtId="0" fontId="10" fillId="0" borderId="29" xfId="2" applyFont="1" applyBorder="1" applyAlignment="1">
      <alignment horizontal="distributed" vertical="center"/>
    </xf>
    <xf numFmtId="0" fontId="10" fillId="0" borderId="19" xfId="2" applyFont="1" applyBorder="1" applyAlignment="1">
      <alignment horizontal="distributed" vertical="center"/>
    </xf>
    <xf numFmtId="0" fontId="10" fillId="0" borderId="33" xfId="2" applyFont="1" applyBorder="1" applyAlignment="1">
      <alignment horizontal="distributed" vertical="center"/>
    </xf>
    <xf numFmtId="0" fontId="10" fillId="0" borderId="0" xfId="2" applyFont="1" applyAlignment="1">
      <alignment horizontal="left" vertical="center"/>
    </xf>
    <xf numFmtId="0" fontId="10" fillId="9" borderId="55" xfId="2" applyFont="1" applyFill="1" applyBorder="1" applyAlignment="1">
      <alignment horizontal="right" vertical="center"/>
    </xf>
    <xf numFmtId="0" fontId="10" fillId="9" borderId="56" xfId="2" applyFont="1" applyFill="1" applyBorder="1">
      <alignment vertical="center"/>
    </xf>
    <xf numFmtId="0" fontId="10" fillId="0" borderId="0" xfId="2" applyFont="1" applyAlignment="1">
      <alignment horizontal="right" vertical="center"/>
    </xf>
    <xf numFmtId="0" fontId="10" fillId="0" borderId="6" xfId="2" applyFont="1" applyBorder="1">
      <alignment vertical="center"/>
    </xf>
    <xf numFmtId="0" fontId="10" fillId="0" borderId="48" xfId="2" applyFont="1" applyBorder="1">
      <alignment vertical="center"/>
    </xf>
    <xf numFmtId="0" fontId="10" fillId="0" borderId="2" xfId="2" applyFont="1" applyBorder="1">
      <alignment vertical="center"/>
    </xf>
    <xf numFmtId="0" fontId="10" fillId="0" borderId="44" xfId="2" applyFont="1" applyBorder="1">
      <alignment vertical="center"/>
    </xf>
    <xf numFmtId="0" fontId="33" fillId="0" borderId="0" xfId="2" applyFont="1">
      <alignment vertical="center"/>
    </xf>
    <xf numFmtId="0" fontId="10" fillId="0" borderId="49" xfId="2" applyFont="1" applyBorder="1">
      <alignment vertical="center"/>
    </xf>
    <xf numFmtId="41" fontId="33" fillId="0" borderId="54" xfId="3" applyFont="1" applyBorder="1" applyAlignment="1">
      <alignment horizontal="left" vertical="center" justifyLastLine="1"/>
    </xf>
    <xf numFmtId="41" fontId="33" fillId="0" borderId="0" xfId="3" applyFont="1" applyAlignment="1">
      <alignment vertical="center"/>
    </xf>
    <xf numFmtId="0" fontId="15" fillId="0" borderId="0" xfId="2" applyFont="1" applyBorder="1" applyAlignment="1">
      <alignment horizontal="center" shrinkToFit="1"/>
    </xf>
    <xf numFmtId="0" fontId="15" fillId="0" borderId="0" xfId="2" applyFont="1" applyBorder="1" applyAlignment="1">
      <alignment horizontal="center" vertical="center"/>
    </xf>
    <xf numFmtId="0" fontId="7" fillId="0" borderId="8" xfId="0" quotePrefix="1" applyFont="1" applyBorder="1">
      <alignment vertical="center"/>
    </xf>
    <xf numFmtId="10" fontId="10" fillId="9" borderId="57" xfId="1" applyNumberFormat="1" applyFont="1" applyFill="1" applyBorder="1" applyAlignment="1">
      <alignment vertical="center"/>
    </xf>
    <xf numFmtId="9" fontId="3" fillId="2" borderId="2" xfId="1" applyFont="1" applyFill="1" applyBorder="1" applyAlignment="1">
      <alignment horizontal="center" vertical="center"/>
    </xf>
    <xf numFmtId="41" fontId="6" fillId="0" borderId="0" xfId="0" applyNumberFormat="1" applyFont="1">
      <alignment vertical="center"/>
    </xf>
    <xf numFmtId="41" fontId="1" fillId="0" borderId="0" xfId="0" applyNumberFormat="1" applyFont="1">
      <alignment vertical="center"/>
    </xf>
    <xf numFmtId="10" fontId="1" fillId="0" borderId="2" xfId="1" applyNumberFormat="1" applyFont="1" applyBorder="1" applyAlignment="1">
      <alignment horizontal="center" vertical="center"/>
    </xf>
    <xf numFmtId="10" fontId="1" fillId="0" borderId="0" xfId="1" applyNumberFormat="1" applyFont="1" applyAlignment="1">
      <alignment horizontal="center" vertical="center"/>
    </xf>
  </cellXfs>
  <cellStyles count="5">
    <cellStyle name="백분율" xfId="1" builtinId="5"/>
    <cellStyle name="백분율 2" xfId="4" xr:uid="{E8398ACC-389F-4AF9-A621-3AEC88EC7C4B}"/>
    <cellStyle name="쉼표 [0] 2" xfId="3" xr:uid="{FE7222BD-453F-48A4-9F59-7E12718AD9B9}"/>
    <cellStyle name="표준" xfId="0" builtinId="0"/>
    <cellStyle name="표준 2" xfId="2" xr:uid="{99B9D830-177D-4C88-82C3-EA0CEC3B2A82}"/>
  </cellStyles>
  <dxfs count="5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indexed="9"/>
      </font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fgColor indexed="64"/>
          <bgColor rgb="FFFFC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isio\AppData\Roaming\Microsoft\AddIns\N&#52509;&#44292;&#54364;.xls" TargetMode="External"/><Relationship Id="rId1" Type="http://schemas.openxmlformats.org/officeDocument/2006/relationships/externalLinkPath" Target="file:///C:\Users\visio\AppData\Roaming\Microsoft\AddIns\N&#52509;&#442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설계예산서"/>
      <sheetName val="총괄표 (2)"/>
      <sheetName val="총괄표1"/>
      <sheetName val="총괄표2"/>
      <sheetName val="총괄표3"/>
      <sheetName val="총괄표"/>
      <sheetName val="총괄표 (3)"/>
      <sheetName val="원가계산서 (총괄)"/>
      <sheetName val="원가계산서 (건축)"/>
      <sheetName val="원가계산서 (건축) (3)"/>
      <sheetName val="집계표"/>
      <sheetName val="건축공사 내역"/>
      <sheetName val="총괄"/>
      <sheetName val="원가"/>
      <sheetName val="원가계산서 (건축) (2)"/>
      <sheetName val="원가계산서 (전기)"/>
      <sheetName val="원가계산서 (통신)"/>
      <sheetName val="원가계산서 (소방)"/>
      <sheetName val="품셈목록"/>
    </sheetNames>
    <sheetDataSet>
      <sheetData sheetId="0" refreshError="1"/>
      <sheetData sheetId="1" refreshError="1"/>
      <sheetData sheetId="2">
        <row r="8">
          <cell r="L8" t="str">
            <v>&lt;공사명입력&gt;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CDC4D-782C-4305-A2E1-3A33A031982A}">
  <sheetPr codeName="Sheet12"/>
  <dimension ref="A1:AI31"/>
  <sheetViews>
    <sheetView zoomScaleNormal="100" workbookViewId="0">
      <selection activeCell="A8" sqref="A8:AI9"/>
    </sheetView>
  </sheetViews>
  <sheetFormatPr defaultColWidth="3.75" defaultRowHeight="18" customHeight="1" x14ac:dyDescent="0.3"/>
  <cols>
    <col min="1" max="16384" width="3.75" style="70"/>
  </cols>
  <sheetData>
    <row r="1" spans="1:35" ht="18" customHeight="1" x14ac:dyDescent="0.3">
      <c r="A1" s="63" t="s">
        <v>105</v>
      </c>
      <c r="B1" s="64">
        <v>46043</v>
      </c>
      <c r="C1" s="65"/>
      <c r="D1" s="65"/>
      <c r="E1" s="66"/>
      <c r="F1" s="63" t="s">
        <v>106</v>
      </c>
      <c r="G1" s="67"/>
      <c r="H1" s="68"/>
      <c r="I1" s="68"/>
      <c r="J1" s="69"/>
      <c r="K1" s="63" t="s">
        <v>107</v>
      </c>
      <c r="L1" s="67"/>
      <c r="M1" s="68"/>
      <c r="N1" s="68"/>
      <c r="O1" s="69"/>
      <c r="P1" s="63" t="s">
        <v>108</v>
      </c>
      <c r="Q1" s="67"/>
      <c r="R1" s="68"/>
      <c r="S1" s="68"/>
      <c r="T1" s="69"/>
      <c r="U1" s="63" t="s">
        <v>109</v>
      </c>
      <c r="V1" s="67"/>
      <c r="W1" s="68"/>
      <c r="X1" s="68"/>
      <c r="Y1" s="69"/>
      <c r="Z1" s="63" t="s">
        <v>110</v>
      </c>
      <c r="AA1" s="67"/>
      <c r="AB1" s="68"/>
      <c r="AC1" s="68"/>
      <c r="AD1" s="69"/>
      <c r="AE1" s="63" t="s">
        <v>111</v>
      </c>
      <c r="AF1" s="67"/>
      <c r="AG1" s="68"/>
      <c r="AH1" s="68"/>
      <c r="AI1" s="69"/>
    </row>
    <row r="2" spans="1:35" ht="18" customHeight="1" x14ac:dyDescent="0.3">
      <c r="A2" s="71"/>
      <c r="B2" s="72"/>
      <c r="C2" s="73"/>
      <c r="D2" s="73"/>
      <c r="E2" s="74"/>
      <c r="F2" s="71"/>
      <c r="G2" s="75"/>
      <c r="H2" s="76"/>
      <c r="I2" s="76"/>
      <c r="J2" s="77"/>
      <c r="K2" s="71"/>
      <c r="L2" s="75"/>
      <c r="M2" s="76"/>
      <c r="N2" s="76"/>
      <c r="O2" s="77"/>
      <c r="P2" s="71"/>
      <c r="Q2" s="75"/>
      <c r="R2" s="76"/>
      <c r="S2" s="76"/>
      <c r="T2" s="77"/>
      <c r="U2" s="71"/>
      <c r="V2" s="75"/>
      <c r="W2" s="76"/>
      <c r="X2" s="76"/>
      <c r="Y2" s="77"/>
      <c r="Z2" s="71"/>
      <c r="AA2" s="75"/>
      <c r="AB2" s="76"/>
      <c r="AC2" s="76"/>
      <c r="AD2" s="77"/>
      <c r="AE2" s="71"/>
      <c r="AF2" s="75"/>
      <c r="AG2" s="76"/>
      <c r="AH2" s="76"/>
      <c r="AI2" s="77"/>
    </row>
    <row r="3" spans="1:35" ht="18" customHeight="1" x14ac:dyDescent="0.3">
      <c r="A3" s="71"/>
      <c r="B3" s="72"/>
      <c r="C3" s="73"/>
      <c r="D3" s="73"/>
      <c r="E3" s="74"/>
      <c r="F3" s="71"/>
      <c r="G3" s="75"/>
      <c r="H3" s="76"/>
      <c r="I3" s="76"/>
      <c r="J3" s="77"/>
      <c r="K3" s="71"/>
      <c r="L3" s="75"/>
      <c r="M3" s="76"/>
      <c r="N3" s="76"/>
      <c r="O3" s="77"/>
      <c r="P3" s="71"/>
      <c r="Q3" s="75"/>
      <c r="R3" s="76"/>
      <c r="S3" s="76"/>
      <c r="T3" s="77"/>
      <c r="U3" s="71"/>
      <c r="V3" s="75"/>
      <c r="W3" s="76"/>
      <c r="X3" s="76"/>
      <c r="Y3" s="77"/>
      <c r="Z3" s="71"/>
      <c r="AA3" s="75"/>
      <c r="AB3" s="76"/>
      <c r="AC3" s="76"/>
      <c r="AD3" s="77"/>
      <c r="AE3" s="71"/>
      <c r="AF3" s="75"/>
      <c r="AG3" s="76"/>
      <c r="AH3" s="76"/>
      <c r="AI3" s="77"/>
    </row>
    <row r="4" spans="1:35" ht="18" customHeight="1" x14ac:dyDescent="0.3">
      <c r="A4" s="78"/>
      <c r="B4" s="79"/>
      <c r="C4" s="80"/>
      <c r="D4" s="80"/>
      <c r="E4" s="81"/>
      <c r="F4" s="78"/>
      <c r="G4" s="82"/>
      <c r="H4" s="83"/>
      <c r="I4" s="83"/>
      <c r="J4" s="84"/>
      <c r="K4" s="78"/>
      <c r="L4" s="82"/>
      <c r="M4" s="83"/>
      <c r="N4" s="83"/>
      <c r="O4" s="84"/>
      <c r="P4" s="78"/>
      <c r="Q4" s="82"/>
      <c r="R4" s="83"/>
      <c r="S4" s="83"/>
      <c r="T4" s="84"/>
      <c r="U4" s="78"/>
      <c r="V4" s="82"/>
      <c r="W4" s="83"/>
      <c r="X4" s="83"/>
      <c r="Y4" s="84"/>
      <c r="Z4" s="78"/>
      <c r="AA4" s="82"/>
      <c r="AB4" s="83"/>
      <c r="AC4" s="83"/>
      <c r="AD4" s="84"/>
      <c r="AE4" s="78"/>
      <c r="AF4" s="82"/>
      <c r="AG4" s="83"/>
      <c r="AH4" s="83"/>
      <c r="AI4" s="84"/>
    </row>
    <row r="5" spans="1:35" ht="18" customHeight="1" x14ac:dyDescent="0.3">
      <c r="A5" s="85"/>
      <c r="AI5" s="86"/>
    </row>
    <row r="6" spans="1:35" ht="18" customHeight="1" x14ac:dyDescent="0.3">
      <c r="A6" s="85"/>
      <c r="B6" s="87">
        <v>2026</v>
      </c>
      <c r="C6" s="87"/>
      <c r="D6" s="87"/>
      <c r="E6" s="88" t="s">
        <v>112</v>
      </c>
      <c r="AI6" s="86"/>
    </row>
    <row r="7" spans="1:35" ht="18" customHeight="1" x14ac:dyDescent="0.3">
      <c r="A7" s="85"/>
      <c r="AI7" s="86"/>
    </row>
    <row r="8" spans="1:35" ht="18" customHeight="1" x14ac:dyDescent="0.3">
      <c r="A8" s="89" t="str">
        <f>'총괄표(세로)'!E6</f>
        <v>봉포항 활어회센터 해체공사 (폐기물처리비)</v>
      </c>
      <c r="B8" s="342"/>
      <c r="C8" s="342"/>
      <c r="D8" s="342"/>
      <c r="E8" s="342"/>
      <c r="F8" s="342"/>
      <c r="G8" s="342"/>
      <c r="H8" s="342"/>
      <c r="I8" s="342"/>
      <c r="J8" s="342"/>
      <c r="K8" s="342"/>
      <c r="L8" s="342"/>
      <c r="M8" s="342"/>
      <c r="N8" s="342"/>
      <c r="O8" s="342"/>
      <c r="P8" s="342"/>
      <c r="Q8" s="342"/>
      <c r="R8" s="342"/>
      <c r="S8" s="342"/>
      <c r="T8" s="342"/>
      <c r="U8" s="342"/>
      <c r="V8" s="342"/>
      <c r="W8" s="342"/>
      <c r="X8" s="342"/>
      <c r="Y8" s="342"/>
      <c r="Z8" s="342"/>
      <c r="AA8" s="342"/>
      <c r="AB8" s="342"/>
      <c r="AC8" s="342"/>
      <c r="AD8" s="342"/>
      <c r="AE8" s="342"/>
      <c r="AF8" s="342"/>
      <c r="AG8" s="342"/>
      <c r="AH8" s="342"/>
      <c r="AI8" s="91"/>
    </row>
    <row r="9" spans="1:35" ht="18" customHeight="1" x14ac:dyDescent="0.3">
      <c r="A9" s="89"/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2"/>
      <c r="N9" s="342"/>
      <c r="O9" s="342"/>
      <c r="P9" s="342"/>
      <c r="Q9" s="342"/>
      <c r="R9" s="342"/>
      <c r="S9" s="342"/>
      <c r="T9" s="342"/>
      <c r="U9" s="342"/>
      <c r="V9" s="342"/>
      <c r="W9" s="342"/>
      <c r="X9" s="342"/>
      <c r="Y9" s="342"/>
      <c r="Z9" s="342"/>
      <c r="AA9" s="342"/>
      <c r="AB9" s="342"/>
      <c r="AC9" s="342"/>
      <c r="AD9" s="342"/>
      <c r="AE9" s="342"/>
      <c r="AF9" s="342"/>
      <c r="AG9" s="342"/>
      <c r="AH9" s="342"/>
      <c r="AI9" s="91"/>
    </row>
    <row r="10" spans="1:35" ht="27" customHeight="1" x14ac:dyDescent="0.3">
      <c r="A10" s="89" t="s">
        <v>113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1"/>
    </row>
    <row r="11" spans="1:35" ht="18" customHeight="1" x14ac:dyDescent="0.3">
      <c r="A11" s="85"/>
      <c r="AI11" s="86"/>
    </row>
    <row r="12" spans="1:35" s="93" customFormat="1" ht="18" customHeight="1" x14ac:dyDescent="0.3">
      <c r="A12" s="92"/>
      <c r="C12" s="94" t="s">
        <v>114</v>
      </c>
      <c r="D12" s="95" t="s">
        <v>115</v>
      </c>
      <c r="E12" s="95"/>
      <c r="F12" s="95"/>
      <c r="G12" s="94" t="s">
        <v>116</v>
      </c>
      <c r="H12" s="96" t="str">
        <f>A8</f>
        <v>봉포항 활어회센터 해체공사 (폐기물처리비)</v>
      </c>
      <c r="AI12" s="97"/>
    </row>
    <row r="13" spans="1:35" s="93" customFormat="1" ht="18" customHeight="1" x14ac:dyDescent="0.3">
      <c r="A13" s="92"/>
      <c r="C13" s="98"/>
      <c r="AI13" s="97"/>
    </row>
    <row r="14" spans="1:35" s="93" customFormat="1" ht="18" customHeight="1" x14ac:dyDescent="0.3">
      <c r="A14" s="92"/>
      <c r="C14" s="94" t="s">
        <v>114</v>
      </c>
      <c r="D14" s="95" t="s">
        <v>117</v>
      </c>
      <c r="E14" s="95"/>
      <c r="F14" s="95"/>
      <c r="G14" s="94" t="s">
        <v>116</v>
      </c>
      <c r="AI14" s="97"/>
    </row>
    <row r="15" spans="1:35" s="93" customFormat="1" ht="18" customHeight="1" x14ac:dyDescent="0.3">
      <c r="A15" s="92"/>
      <c r="H15" s="99" t="s">
        <v>118</v>
      </c>
      <c r="I15" s="100" t="str">
        <f>IF(I22="","",I22)</f>
        <v>건축공사</v>
      </c>
      <c r="J15" s="100"/>
      <c r="K15" s="100"/>
      <c r="L15" s="100"/>
      <c r="M15" s="100"/>
      <c r="N15" s="99" t="s">
        <v>116</v>
      </c>
      <c r="O15" s="101" t="s">
        <v>119</v>
      </c>
      <c r="P15" s="101"/>
      <c r="AI15" s="97"/>
    </row>
    <row r="16" spans="1:35" s="93" customFormat="1" ht="18" customHeight="1" x14ac:dyDescent="0.3">
      <c r="A16" s="92"/>
      <c r="H16" s="99" t="str">
        <f>IF(H23="","",H23)</f>
        <v/>
      </c>
      <c r="I16" s="100" t="str">
        <f>IF(I23="","",I23)</f>
        <v/>
      </c>
      <c r="J16" s="100"/>
      <c r="K16" s="100"/>
      <c r="L16" s="100"/>
      <c r="M16" s="100"/>
      <c r="N16" s="99" t="str">
        <f>IF(H16="","",":")</f>
        <v/>
      </c>
      <c r="O16" s="101" t="str">
        <f>IF(H16="","","1 식")</f>
        <v/>
      </c>
      <c r="P16" s="101"/>
      <c r="AI16" s="97"/>
    </row>
    <row r="17" spans="1:35" s="93" customFormat="1" ht="18" customHeight="1" x14ac:dyDescent="0.3">
      <c r="A17" s="92"/>
      <c r="H17" s="99" t="str">
        <f t="shared" ref="H17:I20" si="0">H24</f>
        <v/>
      </c>
      <c r="I17" s="100" t="str">
        <f t="shared" si="0"/>
        <v/>
      </c>
      <c r="J17" s="100"/>
      <c r="K17" s="100"/>
      <c r="L17" s="100"/>
      <c r="M17" s="100"/>
      <c r="N17" s="99" t="str">
        <f>IF(H17="","",":")</f>
        <v/>
      </c>
      <c r="O17" s="101" t="str">
        <f>IF(H17="","","1 식")</f>
        <v/>
      </c>
      <c r="P17" s="101"/>
      <c r="AI17" s="97"/>
    </row>
    <row r="18" spans="1:35" s="93" customFormat="1" ht="18" customHeight="1" x14ac:dyDescent="0.3">
      <c r="A18" s="92"/>
      <c r="H18" s="99" t="str">
        <f t="shared" si="0"/>
        <v/>
      </c>
      <c r="I18" s="100" t="str">
        <f t="shared" si="0"/>
        <v/>
      </c>
      <c r="J18" s="100"/>
      <c r="K18" s="100"/>
      <c r="L18" s="100"/>
      <c r="M18" s="100"/>
      <c r="N18" s="99" t="str">
        <f>IF(H18="","",":")</f>
        <v/>
      </c>
      <c r="O18" s="101" t="str">
        <f>IF(H18="","","1 식")</f>
        <v/>
      </c>
      <c r="P18" s="101"/>
      <c r="AI18" s="97"/>
    </row>
    <row r="19" spans="1:35" s="93" customFormat="1" ht="18" customHeight="1" x14ac:dyDescent="0.3">
      <c r="A19" s="92"/>
      <c r="H19" s="99" t="str">
        <f t="shared" si="0"/>
        <v/>
      </c>
      <c r="I19" s="100" t="str">
        <f t="shared" si="0"/>
        <v/>
      </c>
      <c r="J19" s="100"/>
      <c r="K19" s="100"/>
      <c r="L19" s="100"/>
      <c r="M19" s="100"/>
      <c r="N19" s="99" t="str">
        <f>IF(H19="","",":")</f>
        <v/>
      </c>
      <c r="O19" s="101" t="str">
        <f>IF(H19="","","1 식")</f>
        <v/>
      </c>
      <c r="P19" s="101"/>
      <c r="AI19" s="97"/>
    </row>
    <row r="20" spans="1:35" s="93" customFormat="1" ht="18" customHeight="1" x14ac:dyDescent="0.3">
      <c r="A20" s="92"/>
      <c r="H20" s="99" t="str">
        <f t="shared" si="0"/>
        <v/>
      </c>
      <c r="I20" s="100" t="str">
        <f t="shared" si="0"/>
        <v/>
      </c>
      <c r="J20" s="100"/>
      <c r="K20" s="100"/>
      <c r="L20" s="100"/>
      <c r="M20" s="100"/>
      <c r="N20" s="99" t="str">
        <f>IF(H20="","",":")</f>
        <v/>
      </c>
      <c r="O20" s="101" t="str">
        <f>IF(H20="","","1 식")</f>
        <v/>
      </c>
      <c r="P20" s="101"/>
      <c r="AI20" s="97"/>
    </row>
    <row r="21" spans="1:35" s="93" customFormat="1" ht="18" customHeight="1" x14ac:dyDescent="0.3">
      <c r="A21" s="92"/>
      <c r="C21" s="94" t="s">
        <v>114</v>
      </c>
      <c r="D21" s="95" t="s">
        <v>120</v>
      </c>
      <c r="E21" s="95"/>
      <c r="F21" s="95"/>
      <c r="G21" s="94" t="s">
        <v>116</v>
      </c>
      <c r="H21" s="99"/>
      <c r="I21" s="101"/>
      <c r="J21" s="101"/>
      <c r="K21" s="101"/>
      <c r="L21" s="101"/>
      <c r="M21" s="101"/>
      <c r="N21" s="101"/>
      <c r="O21" s="101"/>
      <c r="P21" s="101"/>
      <c r="AI21" s="97"/>
    </row>
    <row r="22" spans="1:35" s="93" customFormat="1" ht="18" customHeight="1" x14ac:dyDescent="0.3">
      <c r="A22" s="92"/>
      <c r="G22" s="102">
        <f>[0]!총공사비</f>
        <v>223974000</v>
      </c>
      <c r="H22" s="99" t="s">
        <v>118</v>
      </c>
      <c r="I22" s="100" t="str">
        <f>IF(집계표!A6="02. 기계설비공사","건축·기계설비공사","건축공사")</f>
        <v>건축공사</v>
      </c>
      <c r="J22" s="100"/>
      <c r="K22" s="100"/>
      <c r="L22" s="100"/>
      <c r="M22" s="100"/>
      <c r="N22" s="99" t="s">
        <v>116</v>
      </c>
      <c r="O22" s="101" t="str">
        <f>IF(G22=0,"","일금"&amp;NUMBERSTRING(G22,1)&amp;"원정. (￦"&amp;TEXT(G22,"#,##0")&amp;"- )")</f>
        <v>일금이억이천삼백구십칠만사천원정. (￦223,974,000- )</v>
      </c>
      <c r="P22" s="101"/>
      <c r="AI22" s="97"/>
    </row>
    <row r="23" spans="1:35" s="93" customFormat="1" ht="18" customHeight="1" x14ac:dyDescent="0.3">
      <c r="A23" s="92"/>
      <c r="G23" s="103" t="str">
        <f>IF('총괄표(세로)'!H20="","",'총괄표(세로)'!H20)</f>
        <v/>
      </c>
      <c r="H23" s="99" t="str">
        <f>IF(G23="","","2)")</f>
        <v/>
      </c>
      <c r="I23" s="100" t="str">
        <f>'총괄표(세로)'!J20</f>
        <v/>
      </c>
      <c r="J23" s="100"/>
      <c r="K23" s="100"/>
      <c r="L23" s="100"/>
      <c r="M23" s="100"/>
      <c r="N23" s="99" t="str">
        <f>IF(G23="","",":")</f>
        <v/>
      </c>
      <c r="O23" s="101" t="str">
        <f>IF(G23="","","일금"&amp;NUMBERSTRING(G23,1)&amp;"원정. (￦"&amp;TEXT(G23,"#,##0")&amp;"- )")</f>
        <v/>
      </c>
      <c r="P23" s="101"/>
      <c r="AI23" s="97"/>
    </row>
    <row r="24" spans="1:35" s="93" customFormat="1" ht="18" customHeight="1" x14ac:dyDescent="0.3">
      <c r="A24" s="92"/>
      <c r="G24" s="103" t="str">
        <f>IF('총괄표(세로)'!H21="","",'총괄표(세로)'!H21)</f>
        <v/>
      </c>
      <c r="H24" s="99" t="str">
        <f>IF(G24="","","3)")</f>
        <v/>
      </c>
      <c r="I24" s="100" t="str">
        <f>'총괄표(세로)'!J21</f>
        <v/>
      </c>
      <c r="J24" s="100"/>
      <c r="K24" s="100"/>
      <c r="L24" s="100"/>
      <c r="M24" s="100"/>
      <c r="N24" s="99" t="str">
        <f>IF(G24="","",":")</f>
        <v/>
      </c>
      <c r="O24" s="101" t="str">
        <f>IF(G24="","","일금"&amp;NUMBERSTRING(G24,1)&amp;"원정. (￦"&amp;TEXT(G24,"#,##0")&amp;"- )")</f>
        <v/>
      </c>
      <c r="P24" s="101"/>
      <c r="AI24" s="97"/>
    </row>
    <row r="25" spans="1:35" s="93" customFormat="1" ht="18" customHeight="1" x14ac:dyDescent="0.3">
      <c r="A25" s="92"/>
      <c r="G25" s="103" t="str">
        <f>IF('총괄표(세로)'!H22="","",'총괄표(세로)'!H22)</f>
        <v/>
      </c>
      <c r="H25" s="99" t="str">
        <f>IF(G25="","","4)")</f>
        <v/>
      </c>
      <c r="I25" s="100" t="str">
        <f>'총괄표(세로)'!J22</f>
        <v/>
      </c>
      <c r="J25" s="100"/>
      <c r="K25" s="100"/>
      <c r="L25" s="100"/>
      <c r="M25" s="100"/>
      <c r="N25" s="99" t="str">
        <f>IF(G25="","",":")</f>
        <v/>
      </c>
      <c r="O25" s="101" t="str">
        <f>IF(G25="","","일금"&amp;NUMBERSTRING(G25,1)&amp;"원정. (￦"&amp;TEXT(G25,"#,##0")&amp;"- )")</f>
        <v/>
      </c>
      <c r="P25" s="101"/>
      <c r="AI25" s="97"/>
    </row>
    <row r="26" spans="1:35" s="93" customFormat="1" ht="18" customHeight="1" x14ac:dyDescent="0.3">
      <c r="A26" s="92"/>
      <c r="G26" s="103" t="str">
        <f>IF('총괄표(세로)'!H23="","",'총괄표(세로)'!H23)</f>
        <v/>
      </c>
      <c r="H26" s="99" t="str">
        <f>IF(G26="","","5)")</f>
        <v/>
      </c>
      <c r="I26" s="100" t="str">
        <f>'총괄표(세로)'!J23</f>
        <v/>
      </c>
      <c r="J26" s="100"/>
      <c r="K26" s="100"/>
      <c r="L26" s="100"/>
      <c r="M26" s="100"/>
      <c r="N26" s="99" t="str">
        <f>IF(G26="","",":")</f>
        <v/>
      </c>
      <c r="O26" s="101" t="str">
        <f>IF(G26="","","일금"&amp;NUMBERSTRING(G26,1)&amp;"원정. (￦"&amp;TEXT(G26,"#,##0")&amp;"- )")</f>
        <v/>
      </c>
      <c r="P26" s="101"/>
      <c r="AI26" s="97"/>
    </row>
    <row r="27" spans="1:35" s="93" customFormat="1" ht="18" customHeight="1" x14ac:dyDescent="0.3">
      <c r="A27" s="92"/>
      <c r="G27" s="103" t="str">
        <f>IF('총괄표(세로)'!H24="","",'총괄표(세로)'!H24)</f>
        <v/>
      </c>
      <c r="H27" s="99" t="str">
        <f>IF(G27="","","6)")</f>
        <v/>
      </c>
      <c r="I27" s="100" t="str">
        <f>'총괄표(세로)'!J24</f>
        <v/>
      </c>
      <c r="J27" s="100"/>
      <c r="K27" s="100"/>
      <c r="L27" s="100"/>
      <c r="M27" s="100"/>
      <c r="N27" s="99" t="str">
        <f>IF(G27="","",":")</f>
        <v/>
      </c>
      <c r="O27" s="101" t="str">
        <f>IF(G27="","","일금"&amp;NUMBERSTRING(G27,1)&amp;"원정. (￦"&amp;TEXT(G27,"#,##0")&amp;"- )")</f>
        <v/>
      </c>
      <c r="P27" s="101"/>
      <c r="AI27" s="97"/>
    </row>
    <row r="28" spans="1:35" s="93" customFormat="1" ht="18" customHeight="1" x14ac:dyDescent="0.3">
      <c r="A28" s="92"/>
      <c r="C28" s="94"/>
      <c r="D28" s="104"/>
      <c r="E28" s="104"/>
      <c r="F28" s="104"/>
      <c r="G28" s="94"/>
      <c r="H28" s="105"/>
      <c r="I28" s="101"/>
      <c r="J28" s="101"/>
      <c r="K28" s="101"/>
      <c r="L28" s="101"/>
      <c r="M28" s="101"/>
      <c r="N28" s="101"/>
      <c r="O28" s="101"/>
      <c r="AI28" s="97"/>
    </row>
    <row r="29" spans="1:35" s="93" customFormat="1" ht="18" customHeight="1" x14ac:dyDescent="0.3">
      <c r="A29" s="92"/>
      <c r="B29" s="103">
        <f>SUM(G22:G27)</f>
        <v>223974000</v>
      </c>
      <c r="C29" s="94" t="s">
        <v>114</v>
      </c>
      <c r="D29" s="95" t="s">
        <v>121</v>
      </c>
      <c r="E29" s="95"/>
      <c r="F29" s="95"/>
      <c r="G29" s="94" t="s">
        <v>116</v>
      </c>
      <c r="H29" s="101" t="str">
        <f>IF(B29=0,"","일금"&amp;NUMBERSTRING(B29,1)&amp;"원정 (￦"&amp;TEXT(B29,"#,##0")&amp;"-)")</f>
        <v>일금이억이천삼백구십칠만사천원정 (￦223,974,000-)</v>
      </c>
      <c r="I29" s="101"/>
      <c r="J29" s="101"/>
      <c r="K29" s="101"/>
      <c r="L29" s="101"/>
      <c r="M29" s="101"/>
      <c r="N29" s="101"/>
      <c r="O29" s="101"/>
      <c r="AI29" s="97"/>
    </row>
    <row r="30" spans="1:35" s="93" customFormat="1" ht="18" customHeight="1" x14ac:dyDescent="0.3">
      <c r="A30" s="106"/>
      <c r="B30" s="107"/>
      <c r="C30" s="107"/>
      <c r="D30" s="107"/>
      <c r="E30" s="107"/>
      <c r="F30" s="107"/>
      <c r="G30" s="107"/>
      <c r="H30" s="108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07"/>
      <c r="AI30" s="109"/>
    </row>
    <row r="31" spans="1:35" s="93" customFormat="1" ht="18" customHeight="1" x14ac:dyDescent="0.3"/>
  </sheetData>
  <mergeCells count="33">
    <mergeCell ref="I26:M26"/>
    <mergeCell ref="I27:M27"/>
    <mergeCell ref="D29:F29"/>
    <mergeCell ref="I20:M20"/>
    <mergeCell ref="D21:F21"/>
    <mergeCell ref="I22:M22"/>
    <mergeCell ref="I23:M23"/>
    <mergeCell ref="I24:M24"/>
    <mergeCell ref="I25:M25"/>
    <mergeCell ref="D14:F14"/>
    <mergeCell ref="I15:M15"/>
    <mergeCell ref="I16:M16"/>
    <mergeCell ref="I17:M17"/>
    <mergeCell ref="I18:M18"/>
    <mergeCell ref="I19:M19"/>
    <mergeCell ref="AE1:AE4"/>
    <mergeCell ref="AF1:AI4"/>
    <mergeCell ref="B6:D6"/>
    <mergeCell ref="A8:AI9"/>
    <mergeCell ref="A10:AI10"/>
    <mergeCell ref="D12:F12"/>
    <mergeCell ref="P1:P4"/>
    <mergeCell ref="Q1:T4"/>
    <mergeCell ref="U1:U4"/>
    <mergeCell ref="V1:Y4"/>
    <mergeCell ref="Z1:Z4"/>
    <mergeCell ref="AA1:AD4"/>
    <mergeCell ref="A1:A4"/>
    <mergeCell ref="B1:E4"/>
    <mergeCell ref="F1:F4"/>
    <mergeCell ref="G1:J4"/>
    <mergeCell ref="K1:K4"/>
    <mergeCell ref="L1:O4"/>
  </mergeCells>
  <phoneticPr fontId="5" type="noConversion"/>
  <pageMargins left="0.78" right="0.3" top="0.51181102362204722" bottom="0.47244094488188981" header="0.31496062992125984" footer="0.31496062992125984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9C154-A97F-4D79-8AED-7C089B0F643C}">
  <sheetPr codeName="Sheet14"/>
  <dimension ref="A1:AH31"/>
  <sheetViews>
    <sheetView zoomScaleNormal="100" workbookViewId="0">
      <selection activeCell="A2" sqref="A2"/>
    </sheetView>
  </sheetViews>
  <sheetFormatPr defaultColWidth="3.875" defaultRowHeight="17.45" customHeight="1" x14ac:dyDescent="0.3"/>
  <cols>
    <col min="1" max="16384" width="3.875" style="70"/>
  </cols>
  <sheetData>
    <row r="1" spans="1:33" ht="17.45" customHeight="1" x14ac:dyDescent="0.3">
      <c r="A1" s="110"/>
      <c r="B1" s="111" t="s">
        <v>122</v>
      </c>
      <c r="C1" s="111"/>
      <c r="D1" s="112"/>
      <c r="E1" s="113"/>
      <c r="F1" s="113"/>
      <c r="G1" s="113"/>
      <c r="H1" s="114"/>
      <c r="I1" s="114"/>
      <c r="J1" s="114"/>
      <c r="K1" s="114"/>
      <c r="L1" s="113"/>
      <c r="M1" s="115"/>
      <c r="N1" s="115"/>
      <c r="O1" s="115"/>
      <c r="P1" s="115"/>
      <c r="Q1" s="113"/>
      <c r="R1" s="115"/>
      <c r="S1" s="115"/>
      <c r="T1" s="115"/>
      <c r="U1" s="115"/>
      <c r="V1" s="113"/>
      <c r="W1" s="115"/>
      <c r="X1" s="115"/>
      <c r="Y1" s="115"/>
      <c r="Z1" s="115"/>
      <c r="AA1" s="113"/>
      <c r="AB1" s="115"/>
      <c r="AC1" s="115"/>
      <c r="AD1" s="115"/>
      <c r="AE1" s="113"/>
      <c r="AF1" s="115"/>
      <c r="AG1" s="116"/>
    </row>
    <row r="2" spans="1:33" ht="17.45" customHeight="1" x14ac:dyDescent="0.3">
      <c r="A2" s="117"/>
      <c r="B2" s="113"/>
      <c r="C2" s="113"/>
      <c r="D2" s="118"/>
      <c r="E2" s="119"/>
      <c r="H2" s="88"/>
      <c r="I2" s="88"/>
      <c r="J2" s="120"/>
      <c r="K2" s="120"/>
      <c r="L2" s="119"/>
      <c r="M2" s="101"/>
      <c r="N2" s="101"/>
      <c r="O2" s="101"/>
      <c r="P2" s="101"/>
      <c r="Q2" s="119"/>
      <c r="R2" s="101"/>
      <c r="S2" s="101"/>
      <c r="T2" s="101"/>
      <c r="U2" s="101"/>
      <c r="V2" s="119"/>
      <c r="W2" s="101"/>
      <c r="X2" s="101"/>
      <c r="Y2" s="101"/>
      <c r="Z2" s="101"/>
      <c r="AA2" s="119"/>
      <c r="AB2" s="101"/>
      <c r="AC2" s="101"/>
      <c r="AD2" s="101"/>
      <c r="AE2" s="119"/>
      <c r="AF2" s="101"/>
      <c r="AG2" s="121"/>
    </row>
    <row r="3" spans="1:33" ht="17.45" customHeight="1" x14ac:dyDescent="0.3">
      <c r="A3" s="122"/>
      <c r="B3" s="119"/>
      <c r="C3" s="119"/>
      <c r="D3" s="123"/>
      <c r="E3" s="119"/>
      <c r="F3" s="124"/>
      <c r="G3" s="124"/>
      <c r="H3" s="124"/>
      <c r="I3" s="124"/>
      <c r="J3" s="124"/>
      <c r="K3" s="120"/>
      <c r="L3" s="119"/>
      <c r="M3" s="101"/>
      <c r="N3" s="101"/>
      <c r="O3" s="101"/>
      <c r="P3" s="101"/>
      <c r="Q3" s="119"/>
      <c r="R3" s="101"/>
      <c r="S3" s="101"/>
      <c r="T3" s="101"/>
      <c r="U3" s="101"/>
      <c r="V3" s="119"/>
      <c r="W3" s="101"/>
      <c r="X3" s="101"/>
      <c r="Y3" s="125"/>
      <c r="Z3" s="125"/>
      <c r="AA3" s="125"/>
      <c r="AB3" s="125"/>
      <c r="AC3" s="125"/>
      <c r="AD3" s="125"/>
      <c r="AE3" s="125"/>
      <c r="AF3" s="126" t="s">
        <v>235</v>
      </c>
      <c r="AG3" s="121"/>
    </row>
    <row r="4" spans="1:33" ht="17.45" customHeight="1" x14ac:dyDescent="0.3">
      <c r="A4" s="122"/>
      <c r="B4" s="119"/>
      <c r="C4" s="119"/>
      <c r="D4" s="123"/>
      <c r="E4" s="119"/>
      <c r="F4" s="88"/>
      <c r="G4" s="88"/>
      <c r="H4" s="127"/>
      <c r="I4" s="120"/>
      <c r="J4" s="120"/>
      <c r="K4" s="120"/>
      <c r="L4" s="119"/>
      <c r="M4" s="101"/>
      <c r="N4" s="101"/>
      <c r="O4" s="101"/>
      <c r="P4" s="101"/>
      <c r="Q4" s="119"/>
      <c r="R4" s="101"/>
      <c r="S4" s="101"/>
      <c r="T4" s="101"/>
      <c r="U4" s="101"/>
      <c r="V4" s="119"/>
      <c r="W4" s="101"/>
      <c r="X4" s="101"/>
      <c r="Y4" s="101"/>
      <c r="Z4" s="101"/>
      <c r="AA4" s="119"/>
      <c r="AB4" s="101"/>
      <c r="AC4" s="101"/>
      <c r="AD4" s="101"/>
      <c r="AE4" s="119"/>
      <c r="AF4" s="101"/>
      <c r="AG4" s="121"/>
    </row>
    <row r="5" spans="1:33" ht="17.45" customHeight="1" x14ac:dyDescent="0.3">
      <c r="A5" s="128"/>
      <c r="B5" s="129"/>
      <c r="C5" s="129"/>
      <c r="D5" s="130"/>
      <c r="E5" s="119"/>
      <c r="F5" s="119"/>
      <c r="G5" s="119"/>
      <c r="H5" s="120"/>
      <c r="I5" s="120"/>
      <c r="J5" s="120"/>
      <c r="K5" s="120"/>
      <c r="L5" s="119"/>
      <c r="AG5" s="121"/>
    </row>
    <row r="6" spans="1:33" ht="17.45" customHeight="1" x14ac:dyDescent="0.3">
      <c r="A6" s="110"/>
      <c r="B6" s="111" t="s">
        <v>123</v>
      </c>
      <c r="C6" s="111"/>
      <c r="D6" s="112"/>
      <c r="E6" s="131" t="s">
        <v>236</v>
      </c>
      <c r="F6" s="341"/>
      <c r="G6" s="341"/>
      <c r="H6" s="341"/>
      <c r="I6" s="341"/>
      <c r="J6" s="341"/>
      <c r="K6" s="341"/>
      <c r="L6" s="341"/>
      <c r="M6" s="341"/>
      <c r="N6" s="341"/>
      <c r="O6" s="341"/>
      <c r="P6" s="341"/>
      <c r="Q6" s="341"/>
      <c r="R6" s="341"/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132"/>
    </row>
    <row r="7" spans="1:33" ht="17.45" customHeight="1" x14ac:dyDescent="0.3">
      <c r="A7" s="133"/>
      <c r="B7" s="113"/>
      <c r="C7" s="113"/>
      <c r="D7" s="118"/>
      <c r="E7" s="131"/>
      <c r="F7" s="341"/>
      <c r="G7" s="341"/>
      <c r="H7" s="341"/>
      <c r="I7" s="341"/>
      <c r="J7" s="341"/>
      <c r="K7" s="341"/>
      <c r="L7" s="341"/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132"/>
    </row>
    <row r="8" spans="1:33" ht="17.45" customHeight="1" x14ac:dyDescent="0.3">
      <c r="A8" s="122"/>
      <c r="B8" s="119"/>
      <c r="C8" s="119"/>
      <c r="D8" s="123"/>
      <c r="E8" s="134" t="s">
        <v>113</v>
      </c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6"/>
    </row>
    <row r="9" spans="1:33" ht="17.45" customHeight="1" x14ac:dyDescent="0.3">
      <c r="A9" s="122"/>
      <c r="B9" s="119"/>
      <c r="C9" s="119"/>
      <c r="D9" s="123"/>
      <c r="E9" s="134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6"/>
    </row>
    <row r="10" spans="1:33" ht="17.45" customHeight="1" x14ac:dyDescent="0.3">
      <c r="A10" s="128"/>
      <c r="B10" s="129"/>
      <c r="C10" s="129"/>
      <c r="D10" s="130"/>
      <c r="E10" s="137"/>
      <c r="F10" s="137"/>
      <c r="G10" s="137"/>
      <c r="H10" s="137"/>
      <c r="I10" s="137"/>
      <c r="J10" s="137"/>
      <c r="K10" s="137"/>
      <c r="L10" s="137"/>
      <c r="M10" s="137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8"/>
    </row>
    <row r="11" spans="1:33" ht="17.45" customHeight="1" x14ac:dyDescent="0.3">
      <c r="A11" s="110"/>
      <c r="B11" s="111" t="s">
        <v>109</v>
      </c>
      <c r="C11" s="111"/>
      <c r="D11" s="112"/>
      <c r="AG11" s="86"/>
    </row>
    <row r="12" spans="1:33" s="93" customFormat="1" ht="17.45" customHeight="1" x14ac:dyDescent="0.3">
      <c r="A12" s="133"/>
      <c r="B12" s="113"/>
      <c r="C12" s="113"/>
      <c r="D12" s="118"/>
      <c r="I12" s="94"/>
      <c r="J12" s="94" t="s">
        <v>124</v>
      </c>
      <c r="K12" s="95" t="s">
        <v>117</v>
      </c>
      <c r="L12" s="95"/>
      <c r="M12" s="95"/>
      <c r="N12" s="95"/>
      <c r="O12" s="139"/>
      <c r="P12" s="139"/>
      <c r="Q12" s="139"/>
      <c r="R12" s="139"/>
      <c r="S12" s="139"/>
      <c r="AG12" s="97"/>
    </row>
    <row r="13" spans="1:33" s="93" customFormat="1" ht="17.45" customHeight="1" x14ac:dyDescent="0.3">
      <c r="A13" s="122"/>
      <c r="B13" s="119"/>
      <c r="C13" s="119"/>
      <c r="D13" s="123"/>
      <c r="E13" s="101"/>
      <c r="F13" s="101"/>
      <c r="G13" s="101"/>
      <c r="H13" s="101"/>
      <c r="I13" s="99" t="s">
        <v>125</v>
      </c>
      <c r="J13" s="100" t="s">
        <v>115</v>
      </c>
      <c r="K13" s="100"/>
      <c r="L13" s="100"/>
      <c r="M13" s="99" t="s">
        <v>116</v>
      </c>
      <c r="N13" s="101" t="s">
        <v>236</v>
      </c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21"/>
    </row>
    <row r="14" spans="1:33" s="93" customFormat="1" ht="17.45" customHeight="1" x14ac:dyDescent="0.3">
      <c r="A14" s="122"/>
      <c r="B14" s="119"/>
      <c r="C14" s="119"/>
      <c r="D14" s="123"/>
      <c r="E14" s="101"/>
      <c r="F14" s="101"/>
      <c r="G14" s="101"/>
      <c r="H14" s="101"/>
      <c r="I14" s="99" t="s">
        <v>125</v>
      </c>
      <c r="J14" s="100" t="s">
        <v>126</v>
      </c>
      <c r="K14" s="100"/>
      <c r="L14" s="100"/>
      <c r="M14" s="99" t="s">
        <v>116</v>
      </c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21"/>
    </row>
    <row r="15" spans="1:33" s="93" customFormat="1" ht="17.45" customHeight="1" x14ac:dyDescent="0.3">
      <c r="A15" s="106"/>
      <c r="B15" s="107"/>
      <c r="C15" s="107"/>
      <c r="D15" s="109"/>
      <c r="E15" s="101"/>
      <c r="F15" s="101"/>
      <c r="G15" s="101"/>
      <c r="H15" s="101"/>
      <c r="I15" s="99" t="s">
        <v>125</v>
      </c>
      <c r="J15" s="100" t="s">
        <v>127</v>
      </c>
      <c r="K15" s="100"/>
      <c r="L15" s="100"/>
      <c r="M15" s="99" t="s">
        <v>116</v>
      </c>
      <c r="N15" s="101"/>
      <c r="O15" s="140"/>
      <c r="P15" s="140"/>
      <c r="Q15" s="140"/>
      <c r="R15" s="140"/>
      <c r="S15" s="140"/>
      <c r="T15" s="99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21"/>
    </row>
    <row r="16" spans="1:33" s="93" customFormat="1" ht="17.45" customHeight="1" x14ac:dyDescent="0.3">
      <c r="A16" s="110"/>
      <c r="B16" s="111" t="s">
        <v>108</v>
      </c>
      <c r="C16" s="111"/>
      <c r="D16" s="112"/>
      <c r="E16" s="101"/>
      <c r="F16" s="101"/>
      <c r="G16" s="101"/>
      <c r="H16" s="101"/>
      <c r="I16" s="101"/>
      <c r="J16" s="101"/>
      <c r="K16" s="101"/>
      <c r="L16" s="101"/>
      <c r="M16" s="101"/>
      <c r="N16" s="99"/>
      <c r="O16" s="140"/>
      <c r="P16" s="140"/>
      <c r="Q16" s="140"/>
      <c r="R16" s="140"/>
      <c r="S16" s="140"/>
      <c r="T16" s="99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21"/>
    </row>
    <row r="17" spans="1:34" s="93" customFormat="1" ht="17.45" customHeight="1" x14ac:dyDescent="0.3">
      <c r="A17" s="133"/>
      <c r="B17" s="113"/>
      <c r="C17" s="113"/>
      <c r="D17" s="118"/>
      <c r="E17" s="101"/>
      <c r="F17" s="101"/>
      <c r="G17" s="101"/>
      <c r="H17" s="101"/>
      <c r="I17" s="101"/>
      <c r="J17" s="101"/>
      <c r="K17" s="101"/>
      <c r="L17" s="101"/>
      <c r="M17" s="101"/>
      <c r="N17" s="99"/>
      <c r="O17" s="140"/>
      <c r="P17" s="140"/>
      <c r="Q17" s="140"/>
      <c r="R17" s="140"/>
      <c r="S17" s="140"/>
      <c r="T17" s="99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21"/>
    </row>
    <row r="18" spans="1:34" s="93" customFormat="1" ht="17.45" customHeight="1" x14ac:dyDescent="0.3">
      <c r="A18" s="122"/>
      <c r="B18" s="119"/>
      <c r="C18" s="119"/>
      <c r="D18" s="123"/>
      <c r="J18" s="94" t="s">
        <v>124</v>
      </c>
      <c r="K18" s="95" t="s">
        <v>128</v>
      </c>
      <c r="L18" s="95"/>
      <c r="M18" s="95"/>
      <c r="N18" s="95"/>
      <c r="O18" s="139"/>
      <c r="P18" s="139"/>
      <c r="Q18" s="139"/>
      <c r="R18" s="139"/>
      <c r="S18" s="139"/>
      <c r="T18" s="101"/>
      <c r="U18" s="101"/>
      <c r="AG18" s="97"/>
    </row>
    <row r="19" spans="1:34" s="93" customFormat="1" ht="17.45" customHeight="1" x14ac:dyDescent="0.3">
      <c r="A19" s="122"/>
      <c r="B19" s="119"/>
      <c r="C19" s="119"/>
      <c r="D19" s="123"/>
      <c r="E19" s="101"/>
      <c r="F19" s="101"/>
      <c r="G19" s="101"/>
      <c r="H19" s="141">
        <f>[0]!총공사비</f>
        <v>223974000</v>
      </c>
      <c r="I19" s="99" t="s">
        <v>125</v>
      </c>
      <c r="J19" s="100" t="str">
        <f>IF(집계표!A6="02. 기계설비공사","건축·기계설비공사","건축공사")</f>
        <v>건축공사</v>
      </c>
      <c r="K19" s="100"/>
      <c r="L19" s="100"/>
      <c r="M19" s="100"/>
      <c r="N19" s="100"/>
      <c r="O19" s="99" t="s">
        <v>116</v>
      </c>
      <c r="P19" s="101" t="str">
        <f t="shared" ref="P19:P24" si="0">IF(H19=0,"","일금 "&amp;NUMBERSTRING(H19,1)&amp;"원정 (￦"&amp;TEXT(H19,"#,##0")&amp;"- )")</f>
        <v>일금 이억이천삼백구십칠만사천원정 (￦223,974,000- )</v>
      </c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21"/>
      <c r="AH19" s="103" t="str">
        <f>MID([1]집계표!A5,4,3)&amp;"·"&amp;MID([1]집계표!A6,4,5)&amp;"공사"</f>
        <v>·공사</v>
      </c>
    </row>
    <row r="20" spans="1:34" s="93" customFormat="1" ht="17.45" customHeight="1" x14ac:dyDescent="0.3">
      <c r="A20" s="106"/>
      <c r="B20" s="107"/>
      <c r="C20" s="107"/>
      <c r="D20" s="109"/>
      <c r="E20" s="101"/>
      <c r="F20" s="101"/>
      <c r="G20" s="101"/>
      <c r="H20" s="142"/>
      <c r="I20" s="99" t="str">
        <f>IF(H20="","","○")</f>
        <v/>
      </c>
      <c r="J20" s="100" t="str">
        <f>IF(H20="","","전기공사")</f>
        <v/>
      </c>
      <c r="K20" s="100"/>
      <c r="L20" s="100"/>
      <c r="M20" s="100"/>
      <c r="N20" s="100"/>
      <c r="O20" s="99" t="str">
        <f>IF(H20="","",":")</f>
        <v/>
      </c>
      <c r="P20" s="101" t="str">
        <f t="shared" si="0"/>
        <v/>
      </c>
      <c r="Q20" s="140"/>
      <c r="R20" s="140"/>
      <c r="S20" s="140"/>
      <c r="T20" s="99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21"/>
    </row>
    <row r="21" spans="1:34" s="93" customFormat="1" ht="17.45" customHeight="1" x14ac:dyDescent="0.3">
      <c r="A21" s="110"/>
      <c r="B21" s="111" t="s">
        <v>106</v>
      </c>
      <c r="C21" s="111"/>
      <c r="D21" s="112"/>
      <c r="E21" s="101"/>
      <c r="F21" s="101"/>
      <c r="G21" s="101"/>
      <c r="H21" s="142"/>
      <c r="I21" s="99" t="str">
        <f>IF(H21="","","○")</f>
        <v/>
      </c>
      <c r="J21" s="100" t="str">
        <f>IF(H21="","","통신공사")</f>
        <v/>
      </c>
      <c r="K21" s="100"/>
      <c r="L21" s="100"/>
      <c r="M21" s="100"/>
      <c r="N21" s="100"/>
      <c r="O21" s="99" t="str">
        <f>IF(H21="","",":")</f>
        <v/>
      </c>
      <c r="P21" s="101" t="str">
        <f t="shared" si="0"/>
        <v/>
      </c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21"/>
    </row>
    <row r="22" spans="1:34" s="93" customFormat="1" ht="17.45" customHeight="1" x14ac:dyDescent="0.3">
      <c r="A22" s="133"/>
      <c r="B22" s="113"/>
      <c r="C22" s="113"/>
      <c r="D22" s="118"/>
      <c r="E22" s="101"/>
      <c r="F22" s="101"/>
      <c r="G22" s="101"/>
      <c r="H22" s="142"/>
      <c r="I22" s="99" t="str">
        <f>IF(H22="","","○")</f>
        <v/>
      </c>
      <c r="J22" s="100" t="str">
        <f>IF(H22="","","소방공사")</f>
        <v/>
      </c>
      <c r="K22" s="100"/>
      <c r="L22" s="100"/>
      <c r="M22" s="100"/>
      <c r="N22" s="100"/>
      <c r="O22" s="99" t="str">
        <f>IF(H22="","",":")</f>
        <v/>
      </c>
      <c r="P22" s="101" t="str">
        <f t="shared" si="0"/>
        <v/>
      </c>
      <c r="Q22" s="140"/>
      <c r="R22" s="140"/>
      <c r="S22" s="140"/>
      <c r="T22" s="99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21"/>
    </row>
    <row r="23" spans="1:34" s="93" customFormat="1" ht="17.45" customHeight="1" x14ac:dyDescent="0.3">
      <c r="A23" s="122"/>
      <c r="B23" s="119"/>
      <c r="C23" s="119"/>
      <c r="D23" s="123"/>
      <c r="E23" s="101"/>
      <c r="F23" s="101"/>
      <c r="G23" s="101"/>
      <c r="H23" s="142"/>
      <c r="I23" s="99" t="str">
        <f>IF(H23="","","○")</f>
        <v/>
      </c>
      <c r="J23" s="100" t="str">
        <f>IF(H23="","","토목공사")</f>
        <v/>
      </c>
      <c r="K23" s="100"/>
      <c r="L23" s="100"/>
      <c r="M23" s="100"/>
      <c r="N23" s="100"/>
      <c r="O23" s="99" t="str">
        <f>IF(H23="","",":")</f>
        <v/>
      </c>
      <c r="P23" s="101" t="str">
        <f t="shared" si="0"/>
        <v/>
      </c>
      <c r="Q23" s="140"/>
      <c r="R23" s="140"/>
      <c r="S23" s="140"/>
      <c r="T23" s="99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21"/>
    </row>
    <row r="24" spans="1:34" s="93" customFormat="1" ht="17.45" customHeight="1" x14ac:dyDescent="0.3">
      <c r="A24" s="122"/>
      <c r="B24" s="119"/>
      <c r="C24" s="119"/>
      <c r="D24" s="123"/>
      <c r="E24" s="101"/>
      <c r="F24" s="101"/>
      <c r="G24" s="101"/>
      <c r="H24" s="142"/>
      <c r="I24" s="99" t="str">
        <f>IF(H24="","","○")</f>
        <v/>
      </c>
      <c r="J24" s="100" t="str">
        <f>IF(H24="","","00공사")</f>
        <v/>
      </c>
      <c r="K24" s="100"/>
      <c r="L24" s="100"/>
      <c r="M24" s="100"/>
      <c r="N24" s="100"/>
      <c r="O24" s="99" t="str">
        <f>IF(H24="","",":")</f>
        <v/>
      </c>
      <c r="P24" s="101" t="str">
        <f t="shared" si="0"/>
        <v/>
      </c>
      <c r="Q24" s="140"/>
      <c r="R24" s="140"/>
      <c r="S24" s="140"/>
      <c r="T24" s="99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21"/>
    </row>
    <row r="25" spans="1:34" s="93" customFormat="1" ht="17.45" customHeight="1" x14ac:dyDescent="0.3">
      <c r="A25" s="106"/>
      <c r="B25" s="107"/>
      <c r="C25" s="107"/>
      <c r="D25" s="109"/>
      <c r="E25" s="101"/>
      <c r="F25" s="101"/>
      <c r="G25" s="101"/>
      <c r="H25" s="101"/>
      <c r="I25" s="101"/>
      <c r="J25" s="101"/>
      <c r="K25" s="101"/>
      <c r="L25" s="101"/>
      <c r="M25" s="142"/>
      <c r="N25" s="99"/>
      <c r="O25" s="140"/>
      <c r="P25" s="140"/>
      <c r="Q25" s="140"/>
      <c r="R25" s="140"/>
      <c r="S25" s="140"/>
      <c r="T25" s="99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21"/>
    </row>
    <row r="26" spans="1:34" s="93" customFormat="1" ht="17.45" customHeight="1" x14ac:dyDescent="0.3">
      <c r="A26" s="110"/>
      <c r="B26" s="111" t="s">
        <v>107</v>
      </c>
      <c r="C26" s="111"/>
      <c r="D26" s="112"/>
      <c r="E26" s="101"/>
      <c r="F26" s="101"/>
      <c r="G26" s="101"/>
      <c r="H26" s="142">
        <f>SUM(H19:H25)</f>
        <v>223974000</v>
      </c>
      <c r="I26" s="99" t="str">
        <f>IF(H26="","","○")</f>
        <v>○</v>
      </c>
      <c r="J26" s="100" t="s">
        <v>121</v>
      </c>
      <c r="K26" s="100"/>
      <c r="L26" s="100"/>
      <c r="M26" s="99" t="str">
        <f>IF(H26="","",":")</f>
        <v>:</v>
      </c>
      <c r="N26" s="101" t="str">
        <f>IF(H26=0,"","일금 "&amp;NUMBERSTRING(H26,1)&amp;"원정 (￦"&amp;TEXT(H26,"#,##0")&amp;"- )")</f>
        <v>일금 이억이천삼백구십칠만사천원정 (￦223,974,000- )</v>
      </c>
      <c r="O26" s="140"/>
      <c r="P26" s="140"/>
      <c r="Q26" s="140"/>
      <c r="R26" s="140"/>
      <c r="S26" s="140"/>
      <c r="T26" s="99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21"/>
    </row>
    <row r="27" spans="1:34" s="93" customFormat="1" ht="17.45" customHeight="1" x14ac:dyDescent="0.3">
      <c r="A27" s="133"/>
      <c r="B27" s="113"/>
      <c r="C27" s="113"/>
      <c r="D27" s="118"/>
      <c r="E27" s="101"/>
      <c r="F27" s="101"/>
      <c r="G27" s="101"/>
      <c r="H27" s="101"/>
      <c r="I27" s="101"/>
      <c r="J27" s="101"/>
      <c r="K27" s="101"/>
      <c r="L27" s="101"/>
      <c r="M27" s="142"/>
      <c r="N27" s="99"/>
      <c r="O27" s="140"/>
      <c r="P27" s="140"/>
      <c r="Q27" s="140"/>
      <c r="R27" s="140"/>
      <c r="S27" s="140"/>
      <c r="T27" s="99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01"/>
      <c r="AF27" s="101"/>
      <c r="AG27" s="121"/>
    </row>
    <row r="28" spans="1:34" s="93" customFormat="1" ht="17.45" customHeight="1" x14ac:dyDescent="0.3">
      <c r="A28" s="122"/>
      <c r="B28" s="119"/>
      <c r="C28" s="119"/>
      <c r="D28" s="123"/>
      <c r="E28" s="101"/>
      <c r="F28" s="101"/>
      <c r="G28" s="101"/>
      <c r="H28" s="101"/>
      <c r="I28" s="99"/>
      <c r="J28" s="140"/>
      <c r="K28" s="140"/>
      <c r="L28" s="140"/>
      <c r="M28" s="99"/>
      <c r="N28" s="105"/>
      <c r="O28" s="143"/>
      <c r="P28" s="143"/>
      <c r="Q28" s="143"/>
      <c r="R28" s="143"/>
      <c r="S28" s="143"/>
      <c r="T28" s="143"/>
      <c r="U28" s="143"/>
      <c r="V28" s="143"/>
      <c r="W28" s="143"/>
      <c r="X28" s="105"/>
      <c r="Y28" s="101"/>
      <c r="Z28" s="101"/>
      <c r="AA28" s="101"/>
      <c r="AB28" s="101"/>
      <c r="AC28" s="101"/>
      <c r="AD28" s="101"/>
      <c r="AE28" s="101"/>
      <c r="AF28" s="101"/>
      <c r="AG28" s="121"/>
    </row>
    <row r="29" spans="1:34" s="93" customFormat="1" ht="17.45" customHeight="1" x14ac:dyDescent="0.3">
      <c r="A29" s="122"/>
      <c r="B29" s="119"/>
      <c r="C29" s="119"/>
      <c r="D29" s="123"/>
      <c r="E29" s="101"/>
      <c r="F29" s="101"/>
      <c r="G29" s="101"/>
      <c r="H29" s="142"/>
      <c r="I29" s="99"/>
      <c r="J29" s="140"/>
      <c r="K29" s="140"/>
      <c r="L29" s="140"/>
      <c r="M29" s="99"/>
      <c r="N29" s="105"/>
      <c r="O29" s="143"/>
      <c r="P29" s="143"/>
      <c r="Q29" s="143"/>
      <c r="R29" s="143"/>
      <c r="S29" s="143"/>
      <c r="T29" s="143"/>
      <c r="U29" s="143"/>
      <c r="V29" s="143"/>
      <c r="W29" s="143"/>
      <c r="X29" s="105"/>
      <c r="Y29" s="101"/>
      <c r="Z29" s="101"/>
      <c r="AA29" s="101"/>
      <c r="AB29" s="101"/>
      <c r="AC29" s="101"/>
      <c r="AD29" s="101"/>
      <c r="AE29" s="101"/>
      <c r="AF29" s="101"/>
      <c r="AG29" s="121"/>
    </row>
    <row r="30" spans="1:34" s="93" customFormat="1" ht="17.45" customHeight="1" x14ac:dyDescent="0.3">
      <c r="A30" s="122"/>
      <c r="B30" s="119"/>
      <c r="C30" s="119"/>
      <c r="D30" s="123"/>
      <c r="E30" s="101"/>
      <c r="F30" s="101"/>
      <c r="G30" s="101"/>
      <c r="H30" s="142"/>
      <c r="I30" s="99"/>
      <c r="J30" s="140"/>
      <c r="K30" s="140"/>
      <c r="L30" s="140"/>
      <c r="M30" s="99"/>
      <c r="N30" s="105"/>
      <c r="O30" s="105"/>
      <c r="P30" s="144"/>
      <c r="Q30" s="144"/>
      <c r="R30" s="144"/>
      <c r="S30" s="144"/>
      <c r="T30" s="144"/>
      <c r="U30" s="144"/>
      <c r="V30" s="144"/>
      <c r="W30" s="105"/>
      <c r="X30" s="105"/>
      <c r="Y30" s="101"/>
      <c r="Z30" s="101"/>
      <c r="AA30" s="101"/>
      <c r="AB30" s="101"/>
      <c r="AC30" s="101"/>
      <c r="AD30" s="101"/>
      <c r="AE30" s="101"/>
      <c r="AF30" s="101"/>
      <c r="AG30" s="121"/>
    </row>
    <row r="31" spans="1:34" s="93" customFormat="1" ht="17.45" customHeight="1" x14ac:dyDescent="0.3">
      <c r="A31" s="106"/>
      <c r="B31" s="107"/>
      <c r="C31" s="107"/>
      <c r="D31" s="109"/>
      <c r="E31" s="145"/>
      <c r="F31" s="145"/>
      <c r="G31" s="145"/>
      <c r="H31" s="145"/>
      <c r="I31" s="145"/>
      <c r="J31" s="145"/>
      <c r="K31" s="145"/>
      <c r="L31" s="145"/>
      <c r="M31" s="145"/>
      <c r="N31" s="146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7"/>
    </row>
  </sheetData>
  <mergeCells count="21">
    <mergeCell ref="B26:C26"/>
    <mergeCell ref="J26:L26"/>
    <mergeCell ref="O28:W29"/>
    <mergeCell ref="J20:N20"/>
    <mergeCell ref="B21:C21"/>
    <mergeCell ref="J21:N21"/>
    <mergeCell ref="J22:N22"/>
    <mergeCell ref="J23:N23"/>
    <mergeCell ref="J24:N24"/>
    <mergeCell ref="J13:L13"/>
    <mergeCell ref="J14:L14"/>
    <mergeCell ref="J15:L15"/>
    <mergeCell ref="B16:C16"/>
    <mergeCell ref="K18:N18"/>
    <mergeCell ref="J19:N19"/>
    <mergeCell ref="B1:C1"/>
    <mergeCell ref="B6:C6"/>
    <mergeCell ref="E6:AG7"/>
    <mergeCell ref="E8:AG9"/>
    <mergeCell ref="B11:C11"/>
    <mergeCell ref="K12:N12"/>
  </mergeCells>
  <phoneticPr fontId="5" type="noConversion"/>
  <pageMargins left="0.78" right="0.3" top="0.57999999999999996" bottom="0.47244094488188981" header="0.31496062992125984" footer="0.31496062992125984"/>
  <pageSetup paperSize="9" scale="9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C80AF-75C9-4069-9EA5-6BF37F4DC646}">
  <sheetPr codeName="Sheet3"/>
  <dimension ref="A1:AP59"/>
  <sheetViews>
    <sheetView tabSelected="1" zoomScaleNormal="100" workbookViewId="0">
      <selection activeCell="G21" sqref="G21"/>
    </sheetView>
  </sheetViews>
  <sheetFormatPr defaultRowHeight="13.5" customHeight="1" x14ac:dyDescent="0.3"/>
  <cols>
    <col min="1" max="1" width="1" style="248" customWidth="1"/>
    <col min="2" max="2" width="4.625" style="248" customWidth="1"/>
    <col min="3" max="3" width="5.5" style="248" customWidth="1"/>
    <col min="4" max="4" width="1" style="248" customWidth="1"/>
    <col min="5" max="5" width="18.5" style="248" customWidth="1"/>
    <col min="6" max="6" width="1" style="248" customWidth="1"/>
    <col min="7" max="7" width="18.25" style="248" customWidth="1"/>
    <col min="8" max="23" width="4.625" style="248" customWidth="1"/>
    <col min="24" max="24" width="3.5" style="248" customWidth="1"/>
    <col min="25" max="25" width="31.5" style="248" bestFit="1" customWidth="1"/>
    <col min="26" max="26" width="15.125" style="248" bestFit="1" customWidth="1"/>
    <col min="27" max="27" width="3.375" style="248" customWidth="1"/>
    <col min="28" max="28" width="3.75" style="248" hidden="1" customWidth="1"/>
    <col min="29" max="29" width="17" style="248" customWidth="1"/>
    <col min="30" max="32" width="13.25" style="248" customWidth="1"/>
    <col min="33" max="33" width="13.5" style="248" hidden="1" customWidth="1"/>
    <col min="34" max="34" width="8.25" style="248" customWidth="1"/>
    <col min="35" max="35" width="14.375" style="249" bestFit="1" customWidth="1"/>
    <col min="36" max="36" width="3.125" style="248" customWidth="1"/>
    <col min="37" max="37" width="10" style="249" bestFit="1" customWidth="1"/>
    <col min="38" max="38" width="3.125" style="248" customWidth="1"/>
    <col min="39" max="39" width="14.375" style="249" bestFit="1" customWidth="1"/>
    <col min="40" max="40" width="3.125" style="248" customWidth="1"/>
    <col min="41" max="256" width="9" style="248"/>
    <col min="257" max="257" width="1" style="248" customWidth="1"/>
    <col min="258" max="258" width="4.625" style="248" customWidth="1"/>
    <col min="259" max="259" width="5.5" style="248" customWidth="1"/>
    <col min="260" max="260" width="1" style="248" customWidth="1"/>
    <col min="261" max="261" width="18.5" style="248" customWidth="1"/>
    <col min="262" max="262" width="1" style="248" customWidth="1"/>
    <col min="263" max="263" width="18.25" style="248" customWidth="1"/>
    <col min="264" max="279" width="4.625" style="248" customWidth="1"/>
    <col min="280" max="280" width="3.5" style="248" customWidth="1"/>
    <col min="281" max="281" width="31.5" style="248" bestFit="1" customWidth="1"/>
    <col min="282" max="282" width="15.125" style="248" bestFit="1" customWidth="1"/>
    <col min="283" max="283" width="3.375" style="248" customWidth="1"/>
    <col min="284" max="284" width="0" style="248" hidden="1" customWidth="1"/>
    <col min="285" max="285" width="17" style="248" customWidth="1"/>
    <col min="286" max="288" width="13.25" style="248" customWidth="1"/>
    <col min="289" max="289" width="0" style="248" hidden="1" customWidth="1"/>
    <col min="290" max="290" width="8.25" style="248" customWidth="1"/>
    <col min="291" max="291" width="14.375" style="248" bestFit="1" customWidth="1"/>
    <col min="292" max="292" width="3.125" style="248" customWidth="1"/>
    <col min="293" max="293" width="10" style="248" bestFit="1" customWidth="1"/>
    <col min="294" max="294" width="3.125" style="248" customWidth="1"/>
    <col min="295" max="295" width="14.375" style="248" bestFit="1" customWidth="1"/>
    <col min="296" max="296" width="3.125" style="248" customWidth="1"/>
    <col min="297" max="512" width="9" style="248"/>
    <col min="513" max="513" width="1" style="248" customWidth="1"/>
    <col min="514" max="514" width="4.625" style="248" customWidth="1"/>
    <col min="515" max="515" width="5.5" style="248" customWidth="1"/>
    <col min="516" max="516" width="1" style="248" customWidth="1"/>
    <col min="517" max="517" width="18.5" style="248" customWidth="1"/>
    <col min="518" max="518" width="1" style="248" customWidth="1"/>
    <col min="519" max="519" width="18.25" style="248" customWidth="1"/>
    <col min="520" max="535" width="4.625" style="248" customWidth="1"/>
    <col min="536" max="536" width="3.5" style="248" customWidth="1"/>
    <col min="537" max="537" width="31.5" style="248" bestFit="1" customWidth="1"/>
    <col min="538" max="538" width="15.125" style="248" bestFit="1" customWidth="1"/>
    <col min="539" max="539" width="3.375" style="248" customWidth="1"/>
    <col min="540" max="540" width="0" style="248" hidden="1" customWidth="1"/>
    <col min="541" max="541" width="17" style="248" customWidth="1"/>
    <col min="542" max="544" width="13.25" style="248" customWidth="1"/>
    <col min="545" max="545" width="0" style="248" hidden="1" customWidth="1"/>
    <col min="546" max="546" width="8.25" style="248" customWidth="1"/>
    <col min="547" max="547" width="14.375" style="248" bestFit="1" customWidth="1"/>
    <col min="548" max="548" width="3.125" style="248" customWidth="1"/>
    <col min="549" max="549" width="10" style="248" bestFit="1" customWidth="1"/>
    <col min="550" max="550" width="3.125" style="248" customWidth="1"/>
    <col min="551" max="551" width="14.375" style="248" bestFit="1" customWidth="1"/>
    <col min="552" max="552" width="3.125" style="248" customWidth="1"/>
    <col min="553" max="768" width="9" style="248"/>
    <col min="769" max="769" width="1" style="248" customWidth="1"/>
    <col min="770" max="770" width="4.625" style="248" customWidth="1"/>
    <col min="771" max="771" width="5.5" style="248" customWidth="1"/>
    <col min="772" max="772" width="1" style="248" customWidth="1"/>
    <col min="773" max="773" width="18.5" style="248" customWidth="1"/>
    <col min="774" max="774" width="1" style="248" customWidth="1"/>
    <col min="775" max="775" width="18.25" style="248" customWidth="1"/>
    <col min="776" max="791" width="4.625" style="248" customWidth="1"/>
    <col min="792" max="792" width="3.5" style="248" customWidth="1"/>
    <col min="793" max="793" width="31.5" style="248" bestFit="1" customWidth="1"/>
    <col min="794" max="794" width="15.125" style="248" bestFit="1" customWidth="1"/>
    <col min="795" max="795" width="3.375" style="248" customWidth="1"/>
    <col min="796" max="796" width="0" style="248" hidden="1" customWidth="1"/>
    <col min="797" max="797" width="17" style="248" customWidth="1"/>
    <col min="798" max="800" width="13.25" style="248" customWidth="1"/>
    <col min="801" max="801" width="0" style="248" hidden="1" customWidth="1"/>
    <col min="802" max="802" width="8.25" style="248" customWidth="1"/>
    <col min="803" max="803" width="14.375" style="248" bestFit="1" customWidth="1"/>
    <col min="804" max="804" width="3.125" style="248" customWidth="1"/>
    <col min="805" max="805" width="10" style="248" bestFit="1" customWidth="1"/>
    <col min="806" max="806" width="3.125" style="248" customWidth="1"/>
    <col min="807" max="807" width="14.375" style="248" bestFit="1" customWidth="1"/>
    <col min="808" max="808" width="3.125" style="248" customWidth="1"/>
    <col min="809" max="1024" width="9" style="248"/>
    <col min="1025" max="1025" width="1" style="248" customWidth="1"/>
    <col min="1026" max="1026" width="4.625" style="248" customWidth="1"/>
    <col min="1027" max="1027" width="5.5" style="248" customWidth="1"/>
    <col min="1028" max="1028" width="1" style="248" customWidth="1"/>
    <col min="1029" max="1029" width="18.5" style="248" customWidth="1"/>
    <col min="1030" max="1030" width="1" style="248" customWidth="1"/>
    <col min="1031" max="1031" width="18.25" style="248" customWidth="1"/>
    <col min="1032" max="1047" width="4.625" style="248" customWidth="1"/>
    <col min="1048" max="1048" width="3.5" style="248" customWidth="1"/>
    <col min="1049" max="1049" width="31.5" style="248" bestFit="1" customWidth="1"/>
    <col min="1050" max="1050" width="15.125" style="248" bestFit="1" customWidth="1"/>
    <col min="1051" max="1051" width="3.375" style="248" customWidth="1"/>
    <col min="1052" max="1052" width="0" style="248" hidden="1" customWidth="1"/>
    <col min="1053" max="1053" width="17" style="248" customWidth="1"/>
    <col min="1054" max="1056" width="13.25" style="248" customWidth="1"/>
    <col min="1057" max="1057" width="0" style="248" hidden="1" customWidth="1"/>
    <col min="1058" max="1058" width="8.25" style="248" customWidth="1"/>
    <col min="1059" max="1059" width="14.375" style="248" bestFit="1" customWidth="1"/>
    <col min="1060" max="1060" width="3.125" style="248" customWidth="1"/>
    <col min="1061" max="1061" width="10" style="248" bestFit="1" customWidth="1"/>
    <col min="1062" max="1062" width="3.125" style="248" customWidth="1"/>
    <col min="1063" max="1063" width="14.375" style="248" bestFit="1" customWidth="1"/>
    <col min="1064" max="1064" width="3.125" style="248" customWidth="1"/>
    <col min="1065" max="1280" width="9" style="248"/>
    <col min="1281" max="1281" width="1" style="248" customWidth="1"/>
    <col min="1282" max="1282" width="4.625" style="248" customWidth="1"/>
    <col min="1283" max="1283" width="5.5" style="248" customWidth="1"/>
    <col min="1284" max="1284" width="1" style="248" customWidth="1"/>
    <col min="1285" max="1285" width="18.5" style="248" customWidth="1"/>
    <col min="1286" max="1286" width="1" style="248" customWidth="1"/>
    <col min="1287" max="1287" width="18.25" style="248" customWidth="1"/>
    <col min="1288" max="1303" width="4.625" style="248" customWidth="1"/>
    <col min="1304" max="1304" width="3.5" style="248" customWidth="1"/>
    <col min="1305" max="1305" width="31.5" style="248" bestFit="1" customWidth="1"/>
    <col min="1306" max="1306" width="15.125" style="248" bestFit="1" customWidth="1"/>
    <col min="1307" max="1307" width="3.375" style="248" customWidth="1"/>
    <col min="1308" max="1308" width="0" style="248" hidden="1" customWidth="1"/>
    <col min="1309" max="1309" width="17" style="248" customWidth="1"/>
    <col min="1310" max="1312" width="13.25" style="248" customWidth="1"/>
    <col min="1313" max="1313" width="0" style="248" hidden="1" customWidth="1"/>
    <col min="1314" max="1314" width="8.25" style="248" customWidth="1"/>
    <col min="1315" max="1315" width="14.375" style="248" bestFit="1" customWidth="1"/>
    <col min="1316" max="1316" width="3.125" style="248" customWidth="1"/>
    <col min="1317" max="1317" width="10" style="248" bestFit="1" customWidth="1"/>
    <col min="1318" max="1318" width="3.125" style="248" customWidth="1"/>
    <col min="1319" max="1319" width="14.375" style="248" bestFit="1" customWidth="1"/>
    <col min="1320" max="1320" width="3.125" style="248" customWidth="1"/>
    <col min="1321" max="1536" width="9" style="248"/>
    <col min="1537" max="1537" width="1" style="248" customWidth="1"/>
    <col min="1538" max="1538" width="4.625" style="248" customWidth="1"/>
    <col min="1539" max="1539" width="5.5" style="248" customWidth="1"/>
    <col min="1540" max="1540" width="1" style="248" customWidth="1"/>
    <col min="1541" max="1541" width="18.5" style="248" customWidth="1"/>
    <col min="1542" max="1542" width="1" style="248" customWidth="1"/>
    <col min="1543" max="1543" width="18.25" style="248" customWidth="1"/>
    <col min="1544" max="1559" width="4.625" style="248" customWidth="1"/>
    <col min="1560" max="1560" width="3.5" style="248" customWidth="1"/>
    <col min="1561" max="1561" width="31.5" style="248" bestFit="1" customWidth="1"/>
    <col min="1562" max="1562" width="15.125" style="248" bestFit="1" customWidth="1"/>
    <col min="1563" max="1563" width="3.375" style="248" customWidth="1"/>
    <col min="1564" max="1564" width="0" style="248" hidden="1" customWidth="1"/>
    <col min="1565" max="1565" width="17" style="248" customWidth="1"/>
    <col min="1566" max="1568" width="13.25" style="248" customWidth="1"/>
    <col min="1569" max="1569" width="0" style="248" hidden="1" customWidth="1"/>
    <col min="1570" max="1570" width="8.25" style="248" customWidth="1"/>
    <col min="1571" max="1571" width="14.375" style="248" bestFit="1" customWidth="1"/>
    <col min="1572" max="1572" width="3.125" style="248" customWidth="1"/>
    <col min="1573" max="1573" width="10" style="248" bestFit="1" customWidth="1"/>
    <col min="1574" max="1574" width="3.125" style="248" customWidth="1"/>
    <col min="1575" max="1575" width="14.375" style="248" bestFit="1" customWidth="1"/>
    <col min="1576" max="1576" width="3.125" style="248" customWidth="1"/>
    <col min="1577" max="1792" width="9" style="248"/>
    <col min="1793" max="1793" width="1" style="248" customWidth="1"/>
    <col min="1794" max="1794" width="4.625" style="248" customWidth="1"/>
    <col min="1795" max="1795" width="5.5" style="248" customWidth="1"/>
    <col min="1796" max="1796" width="1" style="248" customWidth="1"/>
    <col min="1797" max="1797" width="18.5" style="248" customWidth="1"/>
    <col min="1798" max="1798" width="1" style="248" customWidth="1"/>
    <col min="1799" max="1799" width="18.25" style="248" customWidth="1"/>
    <col min="1800" max="1815" width="4.625" style="248" customWidth="1"/>
    <col min="1816" max="1816" width="3.5" style="248" customWidth="1"/>
    <col min="1817" max="1817" width="31.5" style="248" bestFit="1" customWidth="1"/>
    <col min="1818" max="1818" width="15.125" style="248" bestFit="1" customWidth="1"/>
    <col min="1819" max="1819" width="3.375" style="248" customWidth="1"/>
    <col min="1820" max="1820" width="0" style="248" hidden="1" customWidth="1"/>
    <col min="1821" max="1821" width="17" style="248" customWidth="1"/>
    <col min="1822" max="1824" width="13.25" style="248" customWidth="1"/>
    <col min="1825" max="1825" width="0" style="248" hidden="1" customWidth="1"/>
    <col min="1826" max="1826" width="8.25" style="248" customWidth="1"/>
    <col min="1827" max="1827" width="14.375" style="248" bestFit="1" customWidth="1"/>
    <col min="1828" max="1828" width="3.125" style="248" customWidth="1"/>
    <col min="1829" max="1829" width="10" style="248" bestFit="1" customWidth="1"/>
    <col min="1830" max="1830" width="3.125" style="248" customWidth="1"/>
    <col min="1831" max="1831" width="14.375" style="248" bestFit="1" customWidth="1"/>
    <col min="1832" max="1832" width="3.125" style="248" customWidth="1"/>
    <col min="1833" max="2048" width="9" style="248"/>
    <col min="2049" max="2049" width="1" style="248" customWidth="1"/>
    <col min="2050" max="2050" width="4.625" style="248" customWidth="1"/>
    <col min="2051" max="2051" width="5.5" style="248" customWidth="1"/>
    <col min="2052" max="2052" width="1" style="248" customWidth="1"/>
    <col min="2053" max="2053" width="18.5" style="248" customWidth="1"/>
    <col min="2054" max="2054" width="1" style="248" customWidth="1"/>
    <col min="2055" max="2055" width="18.25" style="248" customWidth="1"/>
    <col min="2056" max="2071" width="4.625" style="248" customWidth="1"/>
    <col min="2072" max="2072" width="3.5" style="248" customWidth="1"/>
    <col min="2073" max="2073" width="31.5" style="248" bestFit="1" customWidth="1"/>
    <col min="2074" max="2074" width="15.125" style="248" bestFit="1" customWidth="1"/>
    <col min="2075" max="2075" width="3.375" style="248" customWidth="1"/>
    <col min="2076" max="2076" width="0" style="248" hidden="1" customWidth="1"/>
    <col min="2077" max="2077" width="17" style="248" customWidth="1"/>
    <col min="2078" max="2080" width="13.25" style="248" customWidth="1"/>
    <col min="2081" max="2081" width="0" style="248" hidden="1" customWidth="1"/>
    <col min="2082" max="2082" width="8.25" style="248" customWidth="1"/>
    <col min="2083" max="2083" width="14.375" style="248" bestFit="1" customWidth="1"/>
    <col min="2084" max="2084" width="3.125" style="248" customWidth="1"/>
    <col min="2085" max="2085" width="10" style="248" bestFit="1" customWidth="1"/>
    <col min="2086" max="2086" width="3.125" style="248" customWidth="1"/>
    <col min="2087" max="2087" width="14.375" style="248" bestFit="1" customWidth="1"/>
    <col min="2088" max="2088" width="3.125" style="248" customWidth="1"/>
    <col min="2089" max="2304" width="9" style="248"/>
    <col min="2305" max="2305" width="1" style="248" customWidth="1"/>
    <col min="2306" max="2306" width="4.625" style="248" customWidth="1"/>
    <col min="2307" max="2307" width="5.5" style="248" customWidth="1"/>
    <col min="2308" max="2308" width="1" style="248" customWidth="1"/>
    <col min="2309" max="2309" width="18.5" style="248" customWidth="1"/>
    <col min="2310" max="2310" width="1" style="248" customWidth="1"/>
    <col min="2311" max="2311" width="18.25" style="248" customWidth="1"/>
    <col min="2312" max="2327" width="4.625" style="248" customWidth="1"/>
    <col min="2328" max="2328" width="3.5" style="248" customWidth="1"/>
    <col min="2329" max="2329" width="31.5" style="248" bestFit="1" customWidth="1"/>
    <col min="2330" max="2330" width="15.125" style="248" bestFit="1" customWidth="1"/>
    <col min="2331" max="2331" width="3.375" style="248" customWidth="1"/>
    <col min="2332" max="2332" width="0" style="248" hidden="1" customWidth="1"/>
    <col min="2333" max="2333" width="17" style="248" customWidth="1"/>
    <col min="2334" max="2336" width="13.25" style="248" customWidth="1"/>
    <col min="2337" max="2337" width="0" style="248" hidden="1" customWidth="1"/>
    <col min="2338" max="2338" width="8.25" style="248" customWidth="1"/>
    <col min="2339" max="2339" width="14.375" style="248" bestFit="1" customWidth="1"/>
    <col min="2340" max="2340" width="3.125" style="248" customWidth="1"/>
    <col min="2341" max="2341" width="10" style="248" bestFit="1" customWidth="1"/>
    <col min="2342" max="2342" width="3.125" style="248" customWidth="1"/>
    <col min="2343" max="2343" width="14.375" style="248" bestFit="1" customWidth="1"/>
    <col min="2344" max="2344" width="3.125" style="248" customWidth="1"/>
    <col min="2345" max="2560" width="9" style="248"/>
    <col min="2561" max="2561" width="1" style="248" customWidth="1"/>
    <col min="2562" max="2562" width="4.625" style="248" customWidth="1"/>
    <col min="2563" max="2563" width="5.5" style="248" customWidth="1"/>
    <col min="2564" max="2564" width="1" style="248" customWidth="1"/>
    <col min="2565" max="2565" width="18.5" style="248" customWidth="1"/>
    <col min="2566" max="2566" width="1" style="248" customWidth="1"/>
    <col min="2567" max="2567" width="18.25" style="248" customWidth="1"/>
    <col min="2568" max="2583" width="4.625" style="248" customWidth="1"/>
    <col min="2584" max="2584" width="3.5" style="248" customWidth="1"/>
    <col min="2585" max="2585" width="31.5" style="248" bestFit="1" customWidth="1"/>
    <col min="2586" max="2586" width="15.125" style="248" bestFit="1" customWidth="1"/>
    <col min="2587" max="2587" width="3.375" style="248" customWidth="1"/>
    <col min="2588" max="2588" width="0" style="248" hidden="1" customWidth="1"/>
    <col min="2589" max="2589" width="17" style="248" customWidth="1"/>
    <col min="2590" max="2592" width="13.25" style="248" customWidth="1"/>
    <col min="2593" max="2593" width="0" style="248" hidden="1" customWidth="1"/>
    <col min="2594" max="2594" width="8.25" style="248" customWidth="1"/>
    <col min="2595" max="2595" width="14.375" style="248" bestFit="1" customWidth="1"/>
    <col min="2596" max="2596" width="3.125" style="248" customWidth="1"/>
    <col min="2597" max="2597" width="10" style="248" bestFit="1" customWidth="1"/>
    <col min="2598" max="2598" width="3.125" style="248" customWidth="1"/>
    <col min="2599" max="2599" width="14.375" style="248" bestFit="1" customWidth="1"/>
    <col min="2600" max="2600" width="3.125" style="248" customWidth="1"/>
    <col min="2601" max="2816" width="9" style="248"/>
    <col min="2817" max="2817" width="1" style="248" customWidth="1"/>
    <col min="2818" max="2818" width="4.625" style="248" customWidth="1"/>
    <col min="2819" max="2819" width="5.5" style="248" customWidth="1"/>
    <col min="2820" max="2820" width="1" style="248" customWidth="1"/>
    <col min="2821" max="2821" width="18.5" style="248" customWidth="1"/>
    <col min="2822" max="2822" width="1" style="248" customWidth="1"/>
    <col min="2823" max="2823" width="18.25" style="248" customWidth="1"/>
    <col min="2824" max="2839" width="4.625" style="248" customWidth="1"/>
    <col min="2840" max="2840" width="3.5" style="248" customWidth="1"/>
    <col min="2841" max="2841" width="31.5" style="248" bestFit="1" customWidth="1"/>
    <col min="2842" max="2842" width="15.125" style="248" bestFit="1" customWidth="1"/>
    <col min="2843" max="2843" width="3.375" style="248" customWidth="1"/>
    <col min="2844" max="2844" width="0" style="248" hidden="1" customWidth="1"/>
    <col min="2845" max="2845" width="17" style="248" customWidth="1"/>
    <col min="2846" max="2848" width="13.25" style="248" customWidth="1"/>
    <col min="2849" max="2849" width="0" style="248" hidden="1" customWidth="1"/>
    <col min="2850" max="2850" width="8.25" style="248" customWidth="1"/>
    <col min="2851" max="2851" width="14.375" style="248" bestFit="1" customWidth="1"/>
    <col min="2852" max="2852" width="3.125" style="248" customWidth="1"/>
    <col min="2853" max="2853" width="10" style="248" bestFit="1" customWidth="1"/>
    <col min="2854" max="2854" width="3.125" style="248" customWidth="1"/>
    <col min="2855" max="2855" width="14.375" style="248" bestFit="1" customWidth="1"/>
    <col min="2856" max="2856" width="3.125" style="248" customWidth="1"/>
    <col min="2857" max="3072" width="9" style="248"/>
    <col min="3073" max="3073" width="1" style="248" customWidth="1"/>
    <col min="3074" max="3074" width="4.625" style="248" customWidth="1"/>
    <col min="3075" max="3075" width="5.5" style="248" customWidth="1"/>
    <col min="3076" max="3076" width="1" style="248" customWidth="1"/>
    <col min="3077" max="3077" width="18.5" style="248" customWidth="1"/>
    <col min="3078" max="3078" width="1" style="248" customWidth="1"/>
    <col min="3079" max="3079" width="18.25" style="248" customWidth="1"/>
    <col min="3080" max="3095" width="4.625" style="248" customWidth="1"/>
    <col min="3096" max="3096" width="3.5" style="248" customWidth="1"/>
    <col min="3097" max="3097" width="31.5" style="248" bestFit="1" customWidth="1"/>
    <col min="3098" max="3098" width="15.125" style="248" bestFit="1" customWidth="1"/>
    <col min="3099" max="3099" width="3.375" style="248" customWidth="1"/>
    <col min="3100" max="3100" width="0" style="248" hidden="1" customWidth="1"/>
    <col min="3101" max="3101" width="17" style="248" customWidth="1"/>
    <col min="3102" max="3104" width="13.25" style="248" customWidth="1"/>
    <col min="3105" max="3105" width="0" style="248" hidden="1" customWidth="1"/>
    <col min="3106" max="3106" width="8.25" style="248" customWidth="1"/>
    <col min="3107" max="3107" width="14.375" style="248" bestFit="1" customWidth="1"/>
    <col min="3108" max="3108" width="3.125" style="248" customWidth="1"/>
    <col min="3109" max="3109" width="10" style="248" bestFit="1" customWidth="1"/>
    <col min="3110" max="3110" width="3.125" style="248" customWidth="1"/>
    <col min="3111" max="3111" width="14.375" style="248" bestFit="1" customWidth="1"/>
    <col min="3112" max="3112" width="3.125" style="248" customWidth="1"/>
    <col min="3113" max="3328" width="9" style="248"/>
    <col min="3329" max="3329" width="1" style="248" customWidth="1"/>
    <col min="3330" max="3330" width="4.625" style="248" customWidth="1"/>
    <col min="3331" max="3331" width="5.5" style="248" customWidth="1"/>
    <col min="3332" max="3332" width="1" style="248" customWidth="1"/>
    <col min="3333" max="3333" width="18.5" style="248" customWidth="1"/>
    <col min="3334" max="3334" width="1" style="248" customWidth="1"/>
    <col min="3335" max="3335" width="18.25" style="248" customWidth="1"/>
    <col min="3336" max="3351" width="4.625" style="248" customWidth="1"/>
    <col min="3352" max="3352" width="3.5" style="248" customWidth="1"/>
    <col min="3353" max="3353" width="31.5" style="248" bestFit="1" customWidth="1"/>
    <col min="3354" max="3354" width="15.125" style="248" bestFit="1" customWidth="1"/>
    <col min="3355" max="3355" width="3.375" style="248" customWidth="1"/>
    <col min="3356" max="3356" width="0" style="248" hidden="1" customWidth="1"/>
    <col min="3357" max="3357" width="17" style="248" customWidth="1"/>
    <col min="3358" max="3360" width="13.25" style="248" customWidth="1"/>
    <col min="3361" max="3361" width="0" style="248" hidden="1" customWidth="1"/>
    <col min="3362" max="3362" width="8.25" style="248" customWidth="1"/>
    <col min="3363" max="3363" width="14.375" style="248" bestFit="1" customWidth="1"/>
    <col min="3364" max="3364" width="3.125" style="248" customWidth="1"/>
    <col min="3365" max="3365" width="10" style="248" bestFit="1" customWidth="1"/>
    <col min="3366" max="3366" width="3.125" style="248" customWidth="1"/>
    <col min="3367" max="3367" width="14.375" style="248" bestFit="1" customWidth="1"/>
    <col min="3368" max="3368" width="3.125" style="248" customWidth="1"/>
    <col min="3369" max="3584" width="9" style="248"/>
    <col min="3585" max="3585" width="1" style="248" customWidth="1"/>
    <col min="3586" max="3586" width="4.625" style="248" customWidth="1"/>
    <col min="3587" max="3587" width="5.5" style="248" customWidth="1"/>
    <col min="3588" max="3588" width="1" style="248" customWidth="1"/>
    <col min="3589" max="3589" width="18.5" style="248" customWidth="1"/>
    <col min="3590" max="3590" width="1" style="248" customWidth="1"/>
    <col min="3591" max="3591" width="18.25" style="248" customWidth="1"/>
    <col min="3592" max="3607" width="4.625" style="248" customWidth="1"/>
    <col min="3608" max="3608" width="3.5" style="248" customWidth="1"/>
    <col min="3609" max="3609" width="31.5" style="248" bestFit="1" customWidth="1"/>
    <col min="3610" max="3610" width="15.125" style="248" bestFit="1" customWidth="1"/>
    <col min="3611" max="3611" width="3.375" style="248" customWidth="1"/>
    <col min="3612" max="3612" width="0" style="248" hidden="1" customWidth="1"/>
    <col min="3613" max="3613" width="17" style="248" customWidth="1"/>
    <col min="3614" max="3616" width="13.25" style="248" customWidth="1"/>
    <col min="3617" max="3617" width="0" style="248" hidden="1" customWidth="1"/>
    <col min="3618" max="3618" width="8.25" style="248" customWidth="1"/>
    <col min="3619" max="3619" width="14.375" style="248" bestFit="1" customWidth="1"/>
    <col min="3620" max="3620" width="3.125" style="248" customWidth="1"/>
    <col min="3621" max="3621" width="10" style="248" bestFit="1" customWidth="1"/>
    <col min="3622" max="3622" width="3.125" style="248" customWidth="1"/>
    <col min="3623" max="3623" width="14.375" style="248" bestFit="1" customWidth="1"/>
    <col min="3624" max="3624" width="3.125" style="248" customWidth="1"/>
    <col min="3625" max="3840" width="9" style="248"/>
    <col min="3841" max="3841" width="1" style="248" customWidth="1"/>
    <col min="3842" max="3842" width="4.625" style="248" customWidth="1"/>
    <col min="3843" max="3843" width="5.5" style="248" customWidth="1"/>
    <col min="3844" max="3844" width="1" style="248" customWidth="1"/>
    <col min="3845" max="3845" width="18.5" style="248" customWidth="1"/>
    <col min="3846" max="3846" width="1" style="248" customWidth="1"/>
    <col min="3847" max="3847" width="18.25" style="248" customWidth="1"/>
    <col min="3848" max="3863" width="4.625" style="248" customWidth="1"/>
    <col min="3864" max="3864" width="3.5" style="248" customWidth="1"/>
    <col min="3865" max="3865" width="31.5" style="248" bestFit="1" customWidth="1"/>
    <col min="3866" max="3866" width="15.125" style="248" bestFit="1" customWidth="1"/>
    <col min="3867" max="3867" width="3.375" style="248" customWidth="1"/>
    <col min="3868" max="3868" width="0" style="248" hidden="1" customWidth="1"/>
    <col min="3869" max="3869" width="17" style="248" customWidth="1"/>
    <col min="3870" max="3872" width="13.25" style="248" customWidth="1"/>
    <col min="3873" max="3873" width="0" style="248" hidden="1" customWidth="1"/>
    <col min="3874" max="3874" width="8.25" style="248" customWidth="1"/>
    <col min="3875" max="3875" width="14.375" style="248" bestFit="1" customWidth="1"/>
    <col min="3876" max="3876" width="3.125" style="248" customWidth="1"/>
    <col min="3877" max="3877" width="10" style="248" bestFit="1" customWidth="1"/>
    <col min="3878" max="3878" width="3.125" style="248" customWidth="1"/>
    <col min="3879" max="3879" width="14.375" style="248" bestFit="1" customWidth="1"/>
    <col min="3880" max="3880" width="3.125" style="248" customWidth="1"/>
    <col min="3881" max="4096" width="9" style="248"/>
    <col min="4097" max="4097" width="1" style="248" customWidth="1"/>
    <col min="4098" max="4098" width="4.625" style="248" customWidth="1"/>
    <col min="4099" max="4099" width="5.5" style="248" customWidth="1"/>
    <col min="4100" max="4100" width="1" style="248" customWidth="1"/>
    <col min="4101" max="4101" width="18.5" style="248" customWidth="1"/>
    <col min="4102" max="4102" width="1" style="248" customWidth="1"/>
    <col min="4103" max="4103" width="18.25" style="248" customWidth="1"/>
    <col min="4104" max="4119" width="4.625" style="248" customWidth="1"/>
    <col min="4120" max="4120" width="3.5" style="248" customWidth="1"/>
    <col min="4121" max="4121" width="31.5" style="248" bestFit="1" customWidth="1"/>
    <col min="4122" max="4122" width="15.125" style="248" bestFit="1" customWidth="1"/>
    <col min="4123" max="4123" width="3.375" style="248" customWidth="1"/>
    <col min="4124" max="4124" width="0" style="248" hidden="1" customWidth="1"/>
    <col min="4125" max="4125" width="17" style="248" customWidth="1"/>
    <col min="4126" max="4128" width="13.25" style="248" customWidth="1"/>
    <col min="4129" max="4129" width="0" style="248" hidden="1" customWidth="1"/>
    <col min="4130" max="4130" width="8.25" style="248" customWidth="1"/>
    <col min="4131" max="4131" width="14.375" style="248" bestFit="1" customWidth="1"/>
    <col min="4132" max="4132" width="3.125" style="248" customWidth="1"/>
    <col min="4133" max="4133" width="10" style="248" bestFit="1" customWidth="1"/>
    <col min="4134" max="4134" width="3.125" style="248" customWidth="1"/>
    <col min="4135" max="4135" width="14.375" style="248" bestFit="1" customWidth="1"/>
    <col min="4136" max="4136" width="3.125" style="248" customWidth="1"/>
    <col min="4137" max="4352" width="9" style="248"/>
    <col min="4353" max="4353" width="1" style="248" customWidth="1"/>
    <col min="4354" max="4354" width="4.625" style="248" customWidth="1"/>
    <col min="4355" max="4355" width="5.5" style="248" customWidth="1"/>
    <col min="4356" max="4356" width="1" style="248" customWidth="1"/>
    <col min="4357" max="4357" width="18.5" style="248" customWidth="1"/>
    <col min="4358" max="4358" width="1" style="248" customWidth="1"/>
    <col min="4359" max="4359" width="18.25" style="248" customWidth="1"/>
    <col min="4360" max="4375" width="4.625" style="248" customWidth="1"/>
    <col min="4376" max="4376" width="3.5" style="248" customWidth="1"/>
    <col min="4377" max="4377" width="31.5" style="248" bestFit="1" customWidth="1"/>
    <col min="4378" max="4378" width="15.125" style="248" bestFit="1" customWidth="1"/>
    <col min="4379" max="4379" width="3.375" style="248" customWidth="1"/>
    <col min="4380" max="4380" width="0" style="248" hidden="1" customWidth="1"/>
    <col min="4381" max="4381" width="17" style="248" customWidth="1"/>
    <col min="4382" max="4384" width="13.25" style="248" customWidth="1"/>
    <col min="4385" max="4385" width="0" style="248" hidden="1" customWidth="1"/>
    <col min="4386" max="4386" width="8.25" style="248" customWidth="1"/>
    <col min="4387" max="4387" width="14.375" style="248" bestFit="1" customWidth="1"/>
    <col min="4388" max="4388" width="3.125" style="248" customWidth="1"/>
    <col min="4389" max="4389" width="10" style="248" bestFit="1" customWidth="1"/>
    <col min="4390" max="4390" width="3.125" style="248" customWidth="1"/>
    <col min="4391" max="4391" width="14.375" style="248" bestFit="1" customWidth="1"/>
    <col min="4392" max="4392" width="3.125" style="248" customWidth="1"/>
    <col min="4393" max="4608" width="9" style="248"/>
    <col min="4609" max="4609" width="1" style="248" customWidth="1"/>
    <col min="4610" max="4610" width="4.625" style="248" customWidth="1"/>
    <col min="4611" max="4611" width="5.5" style="248" customWidth="1"/>
    <col min="4612" max="4612" width="1" style="248" customWidth="1"/>
    <col min="4613" max="4613" width="18.5" style="248" customWidth="1"/>
    <col min="4614" max="4614" width="1" style="248" customWidth="1"/>
    <col min="4615" max="4615" width="18.25" style="248" customWidth="1"/>
    <col min="4616" max="4631" width="4.625" style="248" customWidth="1"/>
    <col min="4632" max="4632" width="3.5" style="248" customWidth="1"/>
    <col min="4633" max="4633" width="31.5" style="248" bestFit="1" customWidth="1"/>
    <col min="4634" max="4634" width="15.125" style="248" bestFit="1" customWidth="1"/>
    <col min="4635" max="4635" width="3.375" style="248" customWidth="1"/>
    <col min="4636" max="4636" width="0" style="248" hidden="1" customWidth="1"/>
    <col min="4637" max="4637" width="17" style="248" customWidth="1"/>
    <col min="4638" max="4640" width="13.25" style="248" customWidth="1"/>
    <col min="4641" max="4641" width="0" style="248" hidden="1" customWidth="1"/>
    <col min="4642" max="4642" width="8.25" style="248" customWidth="1"/>
    <col min="4643" max="4643" width="14.375" style="248" bestFit="1" customWidth="1"/>
    <col min="4644" max="4644" width="3.125" style="248" customWidth="1"/>
    <col min="4645" max="4645" width="10" style="248" bestFit="1" customWidth="1"/>
    <col min="4646" max="4646" width="3.125" style="248" customWidth="1"/>
    <col min="4647" max="4647" width="14.375" style="248" bestFit="1" customWidth="1"/>
    <col min="4648" max="4648" width="3.125" style="248" customWidth="1"/>
    <col min="4649" max="4864" width="9" style="248"/>
    <col min="4865" max="4865" width="1" style="248" customWidth="1"/>
    <col min="4866" max="4866" width="4.625" style="248" customWidth="1"/>
    <col min="4867" max="4867" width="5.5" style="248" customWidth="1"/>
    <col min="4868" max="4868" width="1" style="248" customWidth="1"/>
    <col min="4869" max="4869" width="18.5" style="248" customWidth="1"/>
    <col min="4870" max="4870" width="1" style="248" customWidth="1"/>
    <col min="4871" max="4871" width="18.25" style="248" customWidth="1"/>
    <col min="4872" max="4887" width="4.625" style="248" customWidth="1"/>
    <col min="4888" max="4888" width="3.5" style="248" customWidth="1"/>
    <col min="4889" max="4889" width="31.5" style="248" bestFit="1" customWidth="1"/>
    <col min="4890" max="4890" width="15.125" style="248" bestFit="1" customWidth="1"/>
    <col min="4891" max="4891" width="3.375" style="248" customWidth="1"/>
    <col min="4892" max="4892" width="0" style="248" hidden="1" customWidth="1"/>
    <col min="4893" max="4893" width="17" style="248" customWidth="1"/>
    <col min="4894" max="4896" width="13.25" style="248" customWidth="1"/>
    <col min="4897" max="4897" width="0" style="248" hidden="1" customWidth="1"/>
    <col min="4898" max="4898" width="8.25" style="248" customWidth="1"/>
    <col min="4899" max="4899" width="14.375" style="248" bestFit="1" customWidth="1"/>
    <col min="4900" max="4900" width="3.125" style="248" customWidth="1"/>
    <col min="4901" max="4901" width="10" style="248" bestFit="1" customWidth="1"/>
    <col min="4902" max="4902" width="3.125" style="248" customWidth="1"/>
    <col min="4903" max="4903" width="14.375" style="248" bestFit="1" customWidth="1"/>
    <col min="4904" max="4904" width="3.125" style="248" customWidth="1"/>
    <col min="4905" max="5120" width="9" style="248"/>
    <col min="5121" max="5121" width="1" style="248" customWidth="1"/>
    <col min="5122" max="5122" width="4.625" style="248" customWidth="1"/>
    <col min="5123" max="5123" width="5.5" style="248" customWidth="1"/>
    <col min="5124" max="5124" width="1" style="248" customWidth="1"/>
    <col min="5125" max="5125" width="18.5" style="248" customWidth="1"/>
    <col min="5126" max="5126" width="1" style="248" customWidth="1"/>
    <col min="5127" max="5127" width="18.25" style="248" customWidth="1"/>
    <col min="5128" max="5143" width="4.625" style="248" customWidth="1"/>
    <col min="5144" max="5144" width="3.5" style="248" customWidth="1"/>
    <col min="5145" max="5145" width="31.5" style="248" bestFit="1" customWidth="1"/>
    <col min="5146" max="5146" width="15.125" style="248" bestFit="1" customWidth="1"/>
    <col min="5147" max="5147" width="3.375" style="248" customWidth="1"/>
    <col min="5148" max="5148" width="0" style="248" hidden="1" customWidth="1"/>
    <col min="5149" max="5149" width="17" style="248" customWidth="1"/>
    <col min="5150" max="5152" width="13.25" style="248" customWidth="1"/>
    <col min="5153" max="5153" width="0" style="248" hidden="1" customWidth="1"/>
    <col min="5154" max="5154" width="8.25" style="248" customWidth="1"/>
    <col min="5155" max="5155" width="14.375" style="248" bestFit="1" customWidth="1"/>
    <col min="5156" max="5156" width="3.125" style="248" customWidth="1"/>
    <col min="5157" max="5157" width="10" style="248" bestFit="1" customWidth="1"/>
    <col min="5158" max="5158" width="3.125" style="248" customWidth="1"/>
    <col min="5159" max="5159" width="14.375" style="248" bestFit="1" customWidth="1"/>
    <col min="5160" max="5160" width="3.125" style="248" customWidth="1"/>
    <col min="5161" max="5376" width="9" style="248"/>
    <col min="5377" max="5377" width="1" style="248" customWidth="1"/>
    <col min="5378" max="5378" width="4.625" style="248" customWidth="1"/>
    <col min="5379" max="5379" width="5.5" style="248" customWidth="1"/>
    <col min="5380" max="5380" width="1" style="248" customWidth="1"/>
    <col min="5381" max="5381" width="18.5" style="248" customWidth="1"/>
    <col min="5382" max="5382" width="1" style="248" customWidth="1"/>
    <col min="5383" max="5383" width="18.25" style="248" customWidth="1"/>
    <col min="5384" max="5399" width="4.625" style="248" customWidth="1"/>
    <col min="5400" max="5400" width="3.5" style="248" customWidth="1"/>
    <col min="5401" max="5401" width="31.5" style="248" bestFit="1" customWidth="1"/>
    <col min="5402" max="5402" width="15.125" style="248" bestFit="1" customWidth="1"/>
    <col min="5403" max="5403" width="3.375" style="248" customWidth="1"/>
    <col min="5404" max="5404" width="0" style="248" hidden="1" customWidth="1"/>
    <col min="5405" max="5405" width="17" style="248" customWidth="1"/>
    <col min="5406" max="5408" width="13.25" style="248" customWidth="1"/>
    <col min="5409" max="5409" width="0" style="248" hidden="1" customWidth="1"/>
    <col min="5410" max="5410" width="8.25" style="248" customWidth="1"/>
    <col min="5411" max="5411" width="14.375" style="248" bestFit="1" customWidth="1"/>
    <col min="5412" max="5412" width="3.125" style="248" customWidth="1"/>
    <col min="5413" max="5413" width="10" style="248" bestFit="1" customWidth="1"/>
    <col min="5414" max="5414" width="3.125" style="248" customWidth="1"/>
    <col min="5415" max="5415" width="14.375" style="248" bestFit="1" customWidth="1"/>
    <col min="5416" max="5416" width="3.125" style="248" customWidth="1"/>
    <col min="5417" max="5632" width="9" style="248"/>
    <col min="5633" max="5633" width="1" style="248" customWidth="1"/>
    <col min="5634" max="5634" width="4.625" style="248" customWidth="1"/>
    <col min="5635" max="5635" width="5.5" style="248" customWidth="1"/>
    <col min="5636" max="5636" width="1" style="248" customWidth="1"/>
    <col min="5637" max="5637" width="18.5" style="248" customWidth="1"/>
    <col min="5638" max="5638" width="1" style="248" customWidth="1"/>
    <col min="5639" max="5639" width="18.25" style="248" customWidth="1"/>
    <col min="5640" max="5655" width="4.625" style="248" customWidth="1"/>
    <col min="5656" max="5656" width="3.5" style="248" customWidth="1"/>
    <col min="5657" max="5657" width="31.5" style="248" bestFit="1" customWidth="1"/>
    <col min="5658" max="5658" width="15.125" style="248" bestFit="1" customWidth="1"/>
    <col min="5659" max="5659" width="3.375" style="248" customWidth="1"/>
    <col min="5660" max="5660" width="0" style="248" hidden="1" customWidth="1"/>
    <col min="5661" max="5661" width="17" style="248" customWidth="1"/>
    <col min="5662" max="5664" width="13.25" style="248" customWidth="1"/>
    <col min="5665" max="5665" width="0" style="248" hidden="1" customWidth="1"/>
    <col min="5666" max="5666" width="8.25" style="248" customWidth="1"/>
    <col min="5667" max="5667" width="14.375" style="248" bestFit="1" customWidth="1"/>
    <col min="5668" max="5668" width="3.125" style="248" customWidth="1"/>
    <col min="5669" max="5669" width="10" style="248" bestFit="1" customWidth="1"/>
    <col min="5670" max="5670" width="3.125" style="248" customWidth="1"/>
    <col min="5671" max="5671" width="14.375" style="248" bestFit="1" customWidth="1"/>
    <col min="5672" max="5672" width="3.125" style="248" customWidth="1"/>
    <col min="5673" max="5888" width="9" style="248"/>
    <col min="5889" max="5889" width="1" style="248" customWidth="1"/>
    <col min="5890" max="5890" width="4.625" style="248" customWidth="1"/>
    <col min="5891" max="5891" width="5.5" style="248" customWidth="1"/>
    <col min="5892" max="5892" width="1" style="248" customWidth="1"/>
    <col min="5893" max="5893" width="18.5" style="248" customWidth="1"/>
    <col min="5894" max="5894" width="1" style="248" customWidth="1"/>
    <col min="5895" max="5895" width="18.25" style="248" customWidth="1"/>
    <col min="5896" max="5911" width="4.625" style="248" customWidth="1"/>
    <col min="5912" max="5912" width="3.5" style="248" customWidth="1"/>
    <col min="5913" max="5913" width="31.5" style="248" bestFit="1" customWidth="1"/>
    <col min="5914" max="5914" width="15.125" style="248" bestFit="1" customWidth="1"/>
    <col min="5915" max="5915" width="3.375" style="248" customWidth="1"/>
    <col min="5916" max="5916" width="0" style="248" hidden="1" customWidth="1"/>
    <col min="5917" max="5917" width="17" style="248" customWidth="1"/>
    <col min="5918" max="5920" width="13.25" style="248" customWidth="1"/>
    <col min="5921" max="5921" width="0" style="248" hidden="1" customWidth="1"/>
    <col min="5922" max="5922" width="8.25" style="248" customWidth="1"/>
    <col min="5923" max="5923" width="14.375" style="248" bestFit="1" customWidth="1"/>
    <col min="5924" max="5924" width="3.125" style="248" customWidth="1"/>
    <col min="5925" max="5925" width="10" style="248" bestFit="1" customWidth="1"/>
    <col min="5926" max="5926" width="3.125" style="248" customWidth="1"/>
    <col min="5927" max="5927" width="14.375" style="248" bestFit="1" customWidth="1"/>
    <col min="5928" max="5928" width="3.125" style="248" customWidth="1"/>
    <col min="5929" max="6144" width="9" style="248"/>
    <col min="6145" max="6145" width="1" style="248" customWidth="1"/>
    <col min="6146" max="6146" width="4.625" style="248" customWidth="1"/>
    <col min="6147" max="6147" width="5.5" style="248" customWidth="1"/>
    <col min="6148" max="6148" width="1" style="248" customWidth="1"/>
    <col min="6149" max="6149" width="18.5" style="248" customWidth="1"/>
    <col min="6150" max="6150" width="1" style="248" customWidth="1"/>
    <col min="6151" max="6151" width="18.25" style="248" customWidth="1"/>
    <col min="6152" max="6167" width="4.625" style="248" customWidth="1"/>
    <col min="6168" max="6168" width="3.5" style="248" customWidth="1"/>
    <col min="6169" max="6169" width="31.5" style="248" bestFit="1" customWidth="1"/>
    <col min="6170" max="6170" width="15.125" style="248" bestFit="1" customWidth="1"/>
    <col min="6171" max="6171" width="3.375" style="248" customWidth="1"/>
    <col min="6172" max="6172" width="0" style="248" hidden="1" customWidth="1"/>
    <col min="6173" max="6173" width="17" style="248" customWidth="1"/>
    <col min="6174" max="6176" width="13.25" style="248" customWidth="1"/>
    <col min="6177" max="6177" width="0" style="248" hidden="1" customWidth="1"/>
    <col min="6178" max="6178" width="8.25" style="248" customWidth="1"/>
    <col min="6179" max="6179" width="14.375" style="248" bestFit="1" customWidth="1"/>
    <col min="6180" max="6180" width="3.125" style="248" customWidth="1"/>
    <col min="6181" max="6181" width="10" style="248" bestFit="1" customWidth="1"/>
    <col min="6182" max="6182" width="3.125" style="248" customWidth="1"/>
    <col min="6183" max="6183" width="14.375" style="248" bestFit="1" customWidth="1"/>
    <col min="6184" max="6184" width="3.125" style="248" customWidth="1"/>
    <col min="6185" max="6400" width="9" style="248"/>
    <col min="6401" max="6401" width="1" style="248" customWidth="1"/>
    <col min="6402" max="6402" width="4.625" style="248" customWidth="1"/>
    <col min="6403" max="6403" width="5.5" style="248" customWidth="1"/>
    <col min="6404" max="6404" width="1" style="248" customWidth="1"/>
    <col min="6405" max="6405" width="18.5" style="248" customWidth="1"/>
    <col min="6406" max="6406" width="1" style="248" customWidth="1"/>
    <col min="6407" max="6407" width="18.25" style="248" customWidth="1"/>
    <col min="6408" max="6423" width="4.625" style="248" customWidth="1"/>
    <col min="6424" max="6424" width="3.5" style="248" customWidth="1"/>
    <col min="6425" max="6425" width="31.5" style="248" bestFit="1" customWidth="1"/>
    <col min="6426" max="6426" width="15.125" style="248" bestFit="1" customWidth="1"/>
    <col min="6427" max="6427" width="3.375" style="248" customWidth="1"/>
    <col min="6428" max="6428" width="0" style="248" hidden="1" customWidth="1"/>
    <col min="6429" max="6429" width="17" style="248" customWidth="1"/>
    <col min="6430" max="6432" width="13.25" style="248" customWidth="1"/>
    <col min="6433" max="6433" width="0" style="248" hidden="1" customWidth="1"/>
    <col min="6434" max="6434" width="8.25" style="248" customWidth="1"/>
    <col min="6435" max="6435" width="14.375" style="248" bestFit="1" customWidth="1"/>
    <col min="6436" max="6436" width="3.125" style="248" customWidth="1"/>
    <col min="6437" max="6437" width="10" style="248" bestFit="1" customWidth="1"/>
    <col min="6438" max="6438" width="3.125" style="248" customWidth="1"/>
    <col min="6439" max="6439" width="14.375" style="248" bestFit="1" customWidth="1"/>
    <col min="6440" max="6440" width="3.125" style="248" customWidth="1"/>
    <col min="6441" max="6656" width="9" style="248"/>
    <col min="6657" max="6657" width="1" style="248" customWidth="1"/>
    <col min="6658" max="6658" width="4.625" style="248" customWidth="1"/>
    <col min="6659" max="6659" width="5.5" style="248" customWidth="1"/>
    <col min="6660" max="6660" width="1" style="248" customWidth="1"/>
    <col min="6661" max="6661" width="18.5" style="248" customWidth="1"/>
    <col min="6662" max="6662" width="1" style="248" customWidth="1"/>
    <col min="6663" max="6663" width="18.25" style="248" customWidth="1"/>
    <col min="6664" max="6679" width="4.625" style="248" customWidth="1"/>
    <col min="6680" max="6680" width="3.5" style="248" customWidth="1"/>
    <col min="6681" max="6681" width="31.5" style="248" bestFit="1" customWidth="1"/>
    <col min="6682" max="6682" width="15.125" style="248" bestFit="1" customWidth="1"/>
    <col min="6683" max="6683" width="3.375" style="248" customWidth="1"/>
    <col min="6684" max="6684" width="0" style="248" hidden="1" customWidth="1"/>
    <col min="6685" max="6685" width="17" style="248" customWidth="1"/>
    <col min="6686" max="6688" width="13.25" style="248" customWidth="1"/>
    <col min="6689" max="6689" width="0" style="248" hidden="1" customWidth="1"/>
    <col min="6690" max="6690" width="8.25" style="248" customWidth="1"/>
    <col min="6691" max="6691" width="14.375" style="248" bestFit="1" customWidth="1"/>
    <col min="6692" max="6692" width="3.125" style="248" customWidth="1"/>
    <col min="6693" max="6693" width="10" style="248" bestFit="1" customWidth="1"/>
    <col min="6694" max="6694" width="3.125" style="248" customWidth="1"/>
    <col min="6695" max="6695" width="14.375" style="248" bestFit="1" customWidth="1"/>
    <col min="6696" max="6696" width="3.125" style="248" customWidth="1"/>
    <col min="6697" max="6912" width="9" style="248"/>
    <col min="6913" max="6913" width="1" style="248" customWidth="1"/>
    <col min="6914" max="6914" width="4.625" style="248" customWidth="1"/>
    <col min="6915" max="6915" width="5.5" style="248" customWidth="1"/>
    <col min="6916" max="6916" width="1" style="248" customWidth="1"/>
    <col min="6917" max="6917" width="18.5" style="248" customWidth="1"/>
    <col min="6918" max="6918" width="1" style="248" customWidth="1"/>
    <col min="6919" max="6919" width="18.25" style="248" customWidth="1"/>
    <col min="6920" max="6935" width="4.625" style="248" customWidth="1"/>
    <col min="6936" max="6936" width="3.5" style="248" customWidth="1"/>
    <col min="6937" max="6937" width="31.5" style="248" bestFit="1" customWidth="1"/>
    <col min="6938" max="6938" width="15.125" style="248" bestFit="1" customWidth="1"/>
    <col min="6939" max="6939" width="3.375" style="248" customWidth="1"/>
    <col min="6940" max="6940" width="0" style="248" hidden="1" customWidth="1"/>
    <col min="6941" max="6941" width="17" style="248" customWidth="1"/>
    <col min="6942" max="6944" width="13.25" style="248" customWidth="1"/>
    <col min="6945" max="6945" width="0" style="248" hidden="1" customWidth="1"/>
    <col min="6946" max="6946" width="8.25" style="248" customWidth="1"/>
    <col min="6947" max="6947" width="14.375" style="248" bestFit="1" customWidth="1"/>
    <col min="6948" max="6948" width="3.125" style="248" customWidth="1"/>
    <col min="6949" max="6949" width="10" style="248" bestFit="1" customWidth="1"/>
    <col min="6950" max="6950" width="3.125" style="248" customWidth="1"/>
    <col min="6951" max="6951" width="14.375" style="248" bestFit="1" customWidth="1"/>
    <col min="6952" max="6952" width="3.125" style="248" customWidth="1"/>
    <col min="6953" max="7168" width="9" style="248"/>
    <col min="7169" max="7169" width="1" style="248" customWidth="1"/>
    <col min="7170" max="7170" width="4.625" style="248" customWidth="1"/>
    <col min="7171" max="7171" width="5.5" style="248" customWidth="1"/>
    <col min="7172" max="7172" width="1" style="248" customWidth="1"/>
    <col min="7173" max="7173" width="18.5" style="248" customWidth="1"/>
    <col min="7174" max="7174" width="1" style="248" customWidth="1"/>
    <col min="7175" max="7175" width="18.25" style="248" customWidth="1"/>
    <col min="7176" max="7191" width="4.625" style="248" customWidth="1"/>
    <col min="7192" max="7192" width="3.5" style="248" customWidth="1"/>
    <col min="7193" max="7193" width="31.5" style="248" bestFit="1" customWidth="1"/>
    <col min="7194" max="7194" width="15.125" style="248" bestFit="1" customWidth="1"/>
    <col min="7195" max="7195" width="3.375" style="248" customWidth="1"/>
    <col min="7196" max="7196" width="0" style="248" hidden="1" customWidth="1"/>
    <col min="7197" max="7197" width="17" style="248" customWidth="1"/>
    <col min="7198" max="7200" width="13.25" style="248" customWidth="1"/>
    <col min="7201" max="7201" width="0" style="248" hidden="1" customWidth="1"/>
    <col min="7202" max="7202" width="8.25" style="248" customWidth="1"/>
    <col min="7203" max="7203" width="14.375" style="248" bestFit="1" customWidth="1"/>
    <col min="7204" max="7204" width="3.125" style="248" customWidth="1"/>
    <col min="7205" max="7205" width="10" style="248" bestFit="1" customWidth="1"/>
    <col min="7206" max="7206" width="3.125" style="248" customWidth="1"/>
    <col min="7207" max="7207" width="14.375" style="248" bestFit="1" customWidth="1"/>
    <col min="7208" max="7208" width="3.125" style="248" customWidth="1"/>
    <col min="7209" max="7424" width="9" style="248"/>
    <col min="7425" max="7425" width="1" style="248" customWidth="1"/>
    <col min="7426" max="7426" width="4.625" style="248" customWidth="1"/>
    <col min="7427" max="7427" width="5.5" style="248" customWidth="1"/>
    <col min="7428" max="7428" width="1" style="248" customWidth="1"/>
    <col min="7429" max="7429" width="18.5" style="248" customWidth="1"/>
    <col min="7430" max="7430" width="1" style="248" customWidth="1"/>
    <col min="7431" max="7431" width="18.25" style="248" customWidth="1"/>
    <col min="7432" max="7447" width="4.625" style="248" customWidth="1"/>
    <col min="7448" max="7448" width="3.5" style="248" customWidth="1"/>
    <col min="7449" max="7449" width="31.5" style="248" bestFit="1" customWidth="1"/>
    <col min="7450" max="7450" width="15.125" style="248" bestFit="1" customWidth="1"/>
    <col min="7451" max="7451" width="3.375" style="248" customWidth="1"/>
    <col min="7452" max="7452" width="0" style="248" hidden="1" customWidth="1"/>
    <col min="7453" max="7453" width="17" style="248" customWidth="1"/>
    <col min="7454" max="7456" width="13.25" style="248" customWidth="1"/>
    <col min="7457" max="7457" width="0" style="248" hidden="1" customWidth="1"/>
    <col min="7458" max="7458" width="8.25" style="248" customWidth="1"/>
    <col min="7459" max="7459" width="14.375" style="248" bestFit="1" customWidth="1"/>
    <col min="7460" max="7460" width="3.125" style="248" customWidth="1"/>
    <col min="7461" max="7461" width="10" style="248" bestFit="1" customWidth="1"/>
    <col min="7462" max="7462" width="3.125" style="248" customWidth="1"/>
    <col min="7463" max="7463" width="14.375" style="248" bestFit="1" customWidth="1"/>
    <col min="7464" max="7464" width="3.125" style="248" customWidth="1"/>
    <col min="7465" max="7680" width="9" style="248"/>
    <col min="7681" max="7681" width="1" style="248" customWidth="1"/>
    <col min="7682" max="7682" width="4.625" style="248" customWidth="1"/>
    <col min="7683" max="7683" width="5.5" style="248" customWidth="1"/>
    <col min="7684" max="7684" width="1" style="248" customWidth="1"/>
    <col min="7685" max="7685" width="18.5" style="248" customWidth="1"/>
    <col min="7686" max="7686" width="1" style="248" customWidth="1"/>
    <col min="7687" max="7687" width="18.25" style="248" customWidth="1"/>
    <col min="7688" max="7703" width="4.625" style="248" customWidth="1"/>
    <col min="7704" max="7704" width="3.5" style="248" customWidth="1"/>
    <col min="7705" max="7705" width="31.5" style="248" bestFit="1" customWidth="1"/>
    <col min="7706" max="7706" width="15.125" style="248" bestFit="1" customWidth="1"/>
    <col min="7707" max="7707" width="3.375" style="248" customWidth="1"/>
    <col min="7708" max="7708" width="0" style="248" hidden="1" customWidth="1"/>
    <col min="7709" max="7709" width="17" style="248" customWidth="1"/>
    <col min="7710" max="7712" width="13.25" style="248" customWidth="1"/>
    <col min="7713" max="7713" width="0" style="248" hidden="1" customWidth="1"/>
    <col min="7714" max="7714" width="8.25" style="248" customWidth="1"/>
    <col min="7715" max="7715" width="14.375" style="248" bestFit="1" customWidth="1"/>
    <col min="7716" max="7716" width="3.125" style="248" customWidth="1"/>
    <col min="7717" max="7717" width="10" style="248" bestFit="1" customWidth="1"/>
    <col min="7718" max="7718" width="3.125" style="248" customWidth="1"/>
    <col min="7719" max="7719" width="14.375" style="248" bestFit="1" customWidth="1"/>
    <col min="7720" max="7720" width="3.125" style="248" customWidth="1"/>
    <col min="7721" max="7936" width="9" style="248"/>
    <col min="7937" max="7937" width="1" style="248" customWidth="1"/>
    <col min="7938" max="7938" width="4.625" style="248" customWidth="1"/>
    <col min="7939" max="7939" width="5.5" style="248" customWidth="1"/>
    <col min="7940" max="7940" width="1" style="248" customWidth="1"/>
    <col min="7941" max="7941" width="18.5" style="248" customWidth="1"/>
    <col min="7942" max="7942" width="1" style="248" customWidth="1"/>
    <col min="7943" max="7943" width="18.25" style="248" customWidth="1"/>
    <col min="7944" max="7959" width="4.625" style="248" customWidth="1"/>
    <col min="7960" max="7960" width="3.5" style="248" customWidth="1"/>
    <col min="7961" max="7961" width="31.5" style="248" bestFit="1" customWidth="1"/>
    <col min="7962" max="7962" width="15.125" style="248" bestFit="1" customWidth="1"/>
    <col min="7963" max="7963" width="3.375" style="248" customWidth="1"/>
    <col min="7964" max="7964" width="0" style="248" hidden="1" customWidth="1"/>
    <col min="7965" max="7965" width="17" style="248" customWidth="1"/>
    <col min="7966" max="7968" width="13.25" style="248" customWidth="1"/>
    <col min="7969" max="7969" width="0" style="248" hidden="1" customWidth="1"/>
    <col min="7970" max="7970" width="8.25" style="248" customWidth="1"/>
    <col min="7971" max="7971" width="14.375" style="248" bestFit="1" customWidth="1"/>
    <col min="7972" max="7972" width="3.125" style="248" customWidth="1"/>
    <col min="7973" max="7973" width="10" style="248" bestFit="1" customWidth="1"/>
    <col min="7974" max="7974" width="3.125" style="248" customWidth="1"/>
    <col min="7975" max="7975" width="14.375" style="248" bestFit="1" customWidth="1"/>
    <col min="7976" max="7976" width="3.125" style="248" customWidth="1"/>
    <col min="7977" max="8192" width="9" style="248"/>
    <col min="8193" max="8193" width="1" style="248" customWidth="1"/>
    <col min="8194" max="8194" width="4.625" style="248" customWidth="1"/>
    <col min="8195" max="8195" width="5.5" style="248" customWidth="1"/>
    <col min="8196" max="8196" width="1" style="248" customWidth="1"/>
    <col min="8197" max="8197" width="18.5" style="248" customWidth="1"/>
    <col min="8198" max="8198" width="1" style="248" customWidth="1"/>
    <col min="8199" max="8199" width="18.25" style="248" customWidth="1"/>
    <col min="8200" max="8215" width="4.625" style="248" customWidth="1"/>
    <col min="8216" max="8216" width="3.5" style="248" customWidth="1"/>
    <col min="8217" max="8217" width="31.5" style="248" bestFit="1" customWidth="1"/>
    <col min="8218" max="8218" width="15.125" style="248" bestFit="1" customWidth="1"/>
    <col min="8219" max="8219" width="3.375" style="248" customWidth="1"/>
    <col min="8220" max="8220" width="0" style="248" hidden="1" customWidth="1"/>
    <col min="8221" max="8221" width="17" style="248" customWidth="1"/>
    <col min="8222" max="8224" width="13.25" style="248" customWidth="1"/>
    <col min="8225" max="8225" width="0" style="248" hidden="1" customWidth="1"/>
    <col min="8226" max="8226" width="8.25" style="248" customWidth="1"/>
    <col min="8227" max="8227" width="14.375" style="248" bestFit="1" customWidth="1"/>
    <col min="8228" max="8228" width="3.125" style="248" customWidth="1"/>
    <col min="8229" max="8229" width="10" style="248" bestFit="1" customWidth="1"/>
    <col min="8230" max="8230" width="3.125" style="248" customWidth="1"/>
    <col min="8231" max="8231" width="14.375" style="248" bestFit="1" customWidth="1"/>
    <col min="8232" max="8232" width="3.125" style="248" customWidth="1"/>
    <col min="8233" max="8448" width="9" style="248"/>
    <col min="8449" max="8449" width="1" style="248" customWidth="1"/>
    <col min="8450" max="8450" width="4.625" style="248" customWidth="1"/>
    <col min="8451" max="8451" width="5.5" style="248" customWidth="1"/>
    <col min="8452" max="8452" width="1" style="248" customWidth="1"/>
    <col min="8453" max="8453" width="18.5" style="248" customWidth="1"/>
    <col min="8454" max="8454" width="1" style="248" customWidth="1"/>
    <col min="8455" max="8455" width="18.25" style="248" customWidth="1"/>
    <col min="8456" max="8471" width="4.625" style="248" customWidth="1"/>
    <col min="8472" max="8472" width="3.5" style="248" customWidth="1"/>
    <col min="8473" max="8473" width="31.5" style="248" bestFit="1" customWidth="1"/>
    <col min="8474" max="8474" width="15.125" style="248" bestFit="1" customWidth="1"/>
    <col min="8475" max="8475" width="3.375" style="248" customWidth="1"/>
    <col min="8476" max="8476" width="0" style="248" hidden="1" customWidth="1"/>
    <col min="8477" max="8477" width="17" style="248" customWidth="1"/>
    <col min="8478" max="8480" width="13.25" style="248" customWidth="1"/>
    <col min="8481" max="8481" width="0" style="248" hidden="1" customWidth="1"/>
    <col min="8482" max="8482" width="8.25" style="248" customWidth="1"/>
    <col min="8483" max="8483" width="14.375" style="248" bestFit="1" customWidth="1"/>
    <col min="8484" max="8484" width="3.125" style="248" customWidth="1"/>
    <col min="8485" max="8485" width="10" style="248" bestFit="1" customWidth="1"/>
    <col min="8486" max="8486" width="3.125" style="248" customWidth="1"/>
    <col min="8487" max="8487" width="14.375" style="248" bestFit="1" customWidth="1"/>
    <col min="8488" max="8488" width="3.125" style="248" customWidth="1"/>
    <col min="8489" max="8704" width="9" style="248"/>
    <col min="8705" max="8705" width="1" style="248" customWidth="1"/>
    <col min="8706" max="8706" width="4.625" style="248" customWidth="1"/>
    <col min="8707" max="8707" width="5.5" style="248" customWidth="1"/>
    <col min="8708" max="8708" width="1" style="248" customWidth="1"/>
    <col min="8709" max="8709" width="18.5" style="248" customWidth="1"/>
    <col min="8710" max="8710" width="1" style="248" customWidth="1"/>
    <col min="8711" max="8711" width="18.25" style="248" customWidth="1"/>
    <col min="8712" max="8727" width="4.625" style="248" customWidth="1"/>
    <col min="8728" max="8728" width="3.5" style="248" customWidth="1"/>
    <col min="8729" max="8729" width="31.5" style="248" bestFit="1" customWidth="1"/>
    <col min="8730" max="8730" width="15.125" style="248" bestFit="1" customWidth="1"/>
    <col min="8731" max="8731" width="3.375" style="248" customWidth="1"/>
    <col min="8732" max="8732" width="0" style="248" hidden="1" customWidth="1"/>
    <col min="8733" max="8733" width="17" style="248" customWidth="1"/>
    <col min="8734" max="8736" width="13.25" style="248" customWidth="1"/>
    <col min="8737" max="8737" width="0" style="248" hidden="1" customWidth="1"/>
    <col min="8738" max="8738" width="8.25" style="248" customWidth="1"/>
    <col min="8739" max="8739" width="14.375" style="248" bestFit="1" customWidth="1"/>
    <col min="8740" max="8740" width="3.125" style="248" customWidth="1"/>
    <col min="8741" max="8741" width="10" style="248" bestFit="1" customWidth="1"/>
    <col min="8742" max="8742" width="3.125" style="248" customWidth="1"/>
    <col min="8743" max="8743" width="14.375" style="248" bestFit="1" customWidth="1"/>
    <col min="8744" max="8744" width="3.125" style="248" customWidth="1"/>
    <col min="8745" max="8960" width="9" style="248"/>
    <col min="8961" max="8961" width="1" style="248" customWidth="1"/>
    <col min="8962" max="8962" width="4.625" style="248" customWidth="1"/>
    <col min="8963" max="8963" width="5.5" style="248" customWidth="1"/>
    <col min="8964" max="8964" width="1" style="248" customWidth="1"/>
    <col min="8965" max="8965" width="18.5" style="248" customWidth="1"/>
    <col min="8966" max="8966" width="1" style="248" customWidth="1"/>
    <col min="8967" max="8967" width="18.25" style="248" customWidth="1"/>
    <col min="8968" max="8983" width="4.625" style="248" customWidth="1"/>
    <col min="8984" max="8984" width="3.5" style="248" customWidth="1"/>
    <col min="8985" max="8985" width="31.5" style="248" bestFit="1" customWidth="1"/>
    <col min="8986" max="8986" width="15.125" style="248" bestFit="1" customWidth="1"/>
    <col min="8987" max="8987" width="3.375" style="248" customWidth="1"/>
    <col min="8988" max="8988" width="0" style="248" hidden="1" customWidth="1"/>
    <col min="8989" max="8989" width="17" style="248" customWidth="1"/>
    <col min="8990" max="8992" width="13.25" style="248" customWidth="1"/>
    <col min="8993" max="8993" width="0" style="248" hidden="1" customWidth="1"/>
    <col min="8994" max="8994" width="8.25" style="248" customWidth="1"/>
    <col min="8995" max="8995" width="14.375" style="248" bestFit="1" customWidth="1"/>
    <col min="8996" max="8996" width="3.125" style="248" customWidth="1"/>
    <col min="8997" max="8997" width="10" style="248" bestFit="1" customWidth="1"/>
    <col min="8998" max="8998" width="3.125" style="248" customWidth="1"/>
    <col min="8999" max="8999" width="14.375" style="248" bestFit="1" customWidth="1"/>
    <col min="9000" max="9000" width="3.125" style="248" customWidth="1"/>
    <col min="9001" max="9216" width="9" style="248"/>
    <col min="9217" max="9217" width="1" style="248" customWidth="1"/>
    <col min="9218" max="9218" width="4.625" style="248" customWidth="1"/>
    <col min="9219" max="9219" width="5.5" style="248" customWidth="1"/>
    <col min="9220" max="9220" width="1" style="248" customWidth="1"/>
    <col min="9221" max="9221" width="18.5" style="248" customWidth="1"/>
    <col min="9222" max="9222" width="1" style="248" customWidth="1"/>
    <col min="9223" max="9223" width="18.25" style="248" customWidth="1"/>
    <col min="9224" max="9239" width="4.625" style="248" customWidth="1"/>
    <col min="9240" max="9240" width="3.5" style="248" customWidth="1"/>
    <col min="9241" max="9241" width="31.5" style="248" bestFit="1" customWidth="1"/>
    <col min="9242" max="9242" width="15.125" style="248" bestFit="1" customWidth="1"/>
    <col min="9243" max="9243" width="3.375" style="248" customWidth="1"/>
    <col min="9244" max="9244" width="0" style="248" hidden="1" customWidth="1"/>
    <col min="9245" max="9245" width="17" style="248" customWidth="1"/>
    <col min="9246" max="9248" width="13.25" style="248" customWidth="1"/>
    <col min="9249" max="9249" width="0" style="248" hidden="1" customWidth="1"/>
    <col min="9250" max="9250" width="8.25" style="248" customWidth="1"/>
    <col min="9251" max="9251" width="14.375" style="248" bestFit="1" customWidth="1"/>
    <col min="9252" max="9252" width="3.125" style="248" customWidth="1"/>
    <col min="9253" max="9253" width="10" style="248" bestFit="1" customWidth="1"/>
    <col min="9254" max="9254" width="3.125" style="248" customWidth="1"/>
    <col min="9255" max="9255" width="14.375" style="248" bestFit="1" customWidth="1"/>
    <col min="9256" max="9256" width="3.125" style="248" customWidth="1"/>
    <col min="9257" max="9472" width="9" style="248"/>
    <col min="9473" max="9473" width="1" style="248" customWidth="1"/>
    <col min="9474" max="9474" width="4.625" style="248" customWidth="1"/>
    <col min="9475" max="9475" width="5.5" style="248" customWidth="1"/>
    <col min="9476" max="9476" width="1" style="248" customWidth="1"/>
    <col min="9477" max="9477" width="18.5" style="248" customWidth="1"/>
    <col min="9478" max="9478" width="1" style="248" customWidth="1"/>
    <col min="9479" max="9479" width="18.25" style="248" customWidth="1"/>
    <col min="9480" max="9495" width="4.625" style="248" customWidth="1"/>
    <col min="9496" max="9496" width="3.5" style="248" customWidth="1"/>
    <col min="9497" max="9497" width="31.5" style="248" bestFit="1" customWidth="1"/>
    <col min="9498" max="9498" width="15.125" style="248" bestFit="1" customWidth="1"/>
    <col min="9499" max="9499" width="3.375" style="248" customWidth="1"/>
    <col min="9500" max="9500" width="0" style="248" hidden="1" customWidth="1"/>
    <col min="9501" max="9501" width="17" style="248" customWidth="1"/>
    <col min="9502" max="9504" width="13.25" style="248" customWidth="1"/>
    <col min="9505" max="9505" width="0" style="248" hidden="1" customWidth="1"/>
    <col min="9506" max="9506" width="8.25" style="248" customWidth="1"/>
    <col min="9507" max="9507" width="14.375" style="248" bestFit="1" customWidth="1"/>
    <col min="9508" max="9508" width="3.125" style="248" customWidth="1"/>
    <col min="9509" max="9509" width="10" style="248" bestFit="1" customWidth="1"/>
    <col min="9510" max="9510" width="3.125" style="248" customWidth="1"/>
    <col min="9511" max="9511" width="14.375" style="248" bestFit="1" customWidth="1"/>
    <col min="9512" max="9512" width="3.125" style="248" customWidth="1"/>
    <col min="9513" max="9728" width="9" style="248"/>
    <col min="9729" max="9729" width="1" style="248" customWidth="1"/>
    <col min="9730" max="9730" width="4.625" style="248" customWidth="1"/>
    <col min="9731" max="9731" width="5.5" style="248" customWidth="1"/>
    <col min="9732" max="9732" width="1" style="248" customWidth="1"/>
    <col min="9733" max="9733" width="18.5" style="248" customWidth="1"/>
    <col min="9734" max="9734" width="1" style="248" customWidth="1"/>
    <col min="9735" max="9735" width="18.25" style="248" customWidth="1"/>
    <col min="9736" max="9751" width="4.625" style="248" customWidth="1"/>
    <col min="9752" max="9752" width="3.5" style="248" customWidth="1"/>
    <col min="9753" max="9753" width="31.5" style="248" bestFit="1" customWidth="1"/>
    <col min="9754" max="9754" width="15.125" style="248" bestFit="1" customWidth="1"/>
    <col min="9755" max="9755" width="3.375" style="248" customWidth="1"/>
    <col min="9756" max="9756" width="0" style="248" hidden="1" customWidth="1"/>
    <col min="9757" max="9757" width="17" style="248" customWidth="1"/>
    <col min="9758" max="9760" width="13.25" style="248" customWidth="1"/>
    <col min="9761" max="9761" width="0" style="248" hidden="1" customWidth="1"/>
    <col min="9762" max="9762" width="8.25" style="248" customWidth="1"/>
    <col min="9763" max="9763" width="14.375" style="248" bestFit="1" customWidth="1"/>
    <col min="9764" max="9764" width="3.125" style="248" customWidth="1"/>
    <col min="9765" max="9765" width="10" style="248" bestFit="1" customWidth="1"/>
    <col min="9766" max="9766" width="3.125" style="248" customWidth="1"/>
    <col min="9767" max="9767" width="14.375" style="248" bestFit="1" customWidth="1"/>
    <col min="9768" max="9768" width="3.125" style="248" customWidth="1"/>
    <col min="9769" max="9984" width="9" style="248"/>
    <col min="9985" max="9985" width="1" style="248" customWidth="1"/>
    <col min="9986" max="9986" width="4.625" style="248" customWidth="1"/>
    <col min="9987" max="9987" width="5.5" style="248" customWidth="1"/>
    <col min="9988" max="9988" width="1" style="248" customWidth="1"/>
    <col min="9989" max="9989" width="18.5" style="248" customWidth="1"/>
    <col min="9990" max="9990" width="1" style="248" customWidth="1"/>
    <col min="9991" max="9991" width="18.25" style="248" customWidth="1"/>
    <col min="9992" max="10007" width="4.625" style="248" customWidth="1"/>
    <col min="10008" max="10008" width="3.5" style="248" customWidth="1"/>
    <col min="10009" max="10009" width="31.5" style="248" bestFit="1" customWidth="1"/>
    <col min="10010" max="10010" width="15.125" style="248" bestFit="1" customWidth="1"/>
    <col min="10011" max="10011" width="3.375" style="248" customWidth="1"/>
    <col min="10012" max="10012" width="0" style="248" hidden="1" customWidth="1"/>
    <col min="10013" max="10013" width="17" style="248" customWidth="1"/>
    <col min="10014" max="10016" width="13.25" style="248" customWidth="1"/>
    <col min="10017" max="10017" width="0" style="248" hidden="1" customWidth="1"/>
    <col min="10018" max="10018" width="8.25" style="248" customWidth="1"/>
    <col min="10019" max="10019" width="14.375" style="248" bestFit="1" customWidth="1"/>
    <col min="10020" max="10020" width="3.125" style="248" customWidth="1"/>
    <col min="10021" max="10021" width="10" style="248" bestFit="1" customWidth="1"/>
    <col min="10022" max="10022" width="3.125" style="248" customWidth="1"/>
    <col min="10023" max="10023" width="14.375" style="248" bestFit="1" customWidth="1"/>
    <col min="10024" max="10024" width="3.125" style="248" customWidth="1"/>
    <col min="10025" max="10240" width="9" style="248"/>
    <col min="10241" max="10241" width="1" style="248" customWidth="1"/>
    <col min="10242" max="10242" width="4.625" style="248" customWidth="1"/>
    <col min="10243" max="10243" width="5.5" style="248" customWidth="1"/>
    <col min="10244" max="10244" width="1" style="248" customWidth="1"/>
    <col min="10245" max="10245" width="18.5" style="248" customWidth="1"/>
    <col min="10246" max="10246" width="1" style="248" customWidth="1"/>
    <col min="10247" max="10247" width="18.25" style="248" customWidth="1"/>
    <col min="10248" max="10263" width="4.625" style="248" customWidth="1"/>
    <col min="10264" max="10264" width="3.5" style="248" customWidth="1"/>
    <col min="10265" max="10265" width="31.5" style="248" bestFit="1" customWidth="1"/>
    <col min="10266" max="10266" width="15.125" style="248" bestFit="1" customWidth="1"/>
    <col min="10267" max="10267" width="3.375" style="248" customWidth="1"/>
    <col min="10268" max="10268" width="0" style="248" hidden="1" customWidth="1"/>
    <col min="10269" max="10269" width="17" style="248" customWidth="1"/>
    <col min="10270" max="10272" width="13.25" style="248" customWidth="1"/>
    <col min="10273" max="10273" width="0" style="248" hidden="1" customWidth="1"/>
    <col min="10274" max="10274" width="8.25" style="248" customWidth="1"/>
    <col min="10275" max="10275" width="14.375" style="248" bestFit="1" customWidth="1"/>
    <col min="10276" max="10276" width="3.125" style="248" customWidth="1"/>
    <col min="10277" max="10277" width="10" style="248" bestFit="1" customWidth="1"/>
    <col min="10278" max="10278" width="3.125" style="248" customWidth="1"/>
    <col min="10279" max="10279" width="14.375" style="248" bestFit="1" customWidth="1"/>
    <col min="10280" max="10280" width="3.125" style="248" customWidth="1"/>
    <col min="10281" max="10496" width="9" style="248"/>
    <col min="10497" max="10497" width="1" style="248" customWidth="1"/>
    <col min="10498" max="10498" width="4.625" style="248" customWidth="1"/>
    <col min="10499" max="10499" width="5.5" style="248" customWidth="1"/>
    <col min="10500" max="10500" width="1" style="248" customWidth="1"/>
    <col min="10501" max="10501" width="18.5" style="248" customWidth="1"/>
    <col min="10502" max="10502" width="1" style="248" customWidth="1"/>
    <col min="10503" max="10503" width="18.25" style="248" customWidth="1"/>
    <col min="10504" max="10519" width="4.625" style="248" customWidth="1"/>
    <col min="10520" max="10520" width="3.5" style="248" customWidth="1"/>
    <col min="10521" max="10521" width="31.5" style="248" bestFit="1" customWidth="1"/>
    <col min="10522" max="10522" width="15.125" style="248" bestFit="1" customWidth="1"/>
    <col min="10523" max="10523" width="3.375" style="248" customWidth="1"/>
    <col min="10524" max="10524" width="0" style="248" hidden="1" customWidth="1"/>
    <col min="10525" max="10525" width="17" style="248" customWidth="1"/>
    <col min="10526" max="10528" width="13.25" style="248" customWidth="1"/>
    <col min="10529" max="10529" width="0" style="248" hidden="1" customWidth="1"/>
    <col min="10530" max="10530" width="8.25" style="248" customWidth="1"/>
    <col min="10531" max="10531" width="14.375" style="248" bestFit="1" customWidth="1"/>
    <col min="10532" max="10532" width="3.125" style="248" customWidth="1"/>
    <col min="10533" max="10533" width="10" style="248" bestFit="1" customWidth="1"/>
    <col min="10534" max="10534" width="3.125" style="248" customWidth="1"/>
    <col min="10535" max="10535" width="14.375" style="248" bestFit="1" customWidth="1"/>
    <col min="10536" max="10536" width="3.125" style="248" customWidth="1"/>
    <col min="10537" max="10752" width="9" style="248"/>
    <col min="10753" max="10753" width="1" style="248" customWidth="1"/>
    <col min="10754" max="10754" width="4.625" style="248" customWidth="1"/>
    <col min="10755" max="10755" width="5.5" style="248" customWidth="1"/>
    <col min="10756" max="10756" width="1" style="248" customWidth="1"/>
    <col min="10757" max="10757" width="18.5" style="248" customWidth="1"/>
    <col min="10758" max="10758" width="1" style="248" customWidth="1"/>
    <col min="10759" max="10759" width="18.25" style="248" customWidth="1"/>
    <col min="10760" max="10775" width="4.625" style="248" customWidth="1"/>
    <col min="10776" max="10776" width="3.5" style="248" customWidth="1"/>
    <col min="10777" max="10777" width="31.5" style="248" bestFit="1" customWidth="1"/>
    <col min="10778" max="10778" width="15.125" style="248" bestFit="1" customWidth="1"/>
    <col min="10779" max="10779" width="3.375" style="248" customWidth="1"/>
    <col min="10780" max="10780" width="0" style="248" hidden="1" customWidth="1"/>
    <col min="10781" max="10781" width="17" style="248" customWidth="1"/>
    <col min="10782" max="10784" width="13.25" style="248" customWidth="1"/>
    <col min="10785" max="10785" width="0" style="248" hidden="1" customWidth="1"/>
    <col min="10786" max="10786" width="8.25" style="248" customWidth="1"/>
    <col min="10787" max="10787" width="14.375" style="248" bestFit="1" customWidth="1"/>
    <col min="10788" max="10788" width="3.125" style="248" customWidth="1"/>
    <col min="10789" max="10789" width="10" style="248" bestFit="1" customWidth="1"/>
    <col min="10790" max="10790" width="3.125" style="248" customWidth="1"/>
    <col min="10791" max="10791" width="14.375" style="248" bestFit="1" customWidth="1"/>
    <col min="10792" max="10792" width="3.125" style="248" customWidth="1"/>
    <col min="10793" max="11008" width="9" style="248"/>
    <col min="11009" max="11009" width="1" style="248" customWidth="1"/>
    <col min="11010" max="11010" width="4.625" style="248" customWidth="1"/>
    <col min="11011" max="11011" width="5.5" style="248" customWidth="1"/>
    <col min="11012" max="11012" width="1" style="248" customWidth="1"/>
    <col min="11013" max="11013" width="18.5" style="248" customWidth="1"/>
    <col min="11014" max="11014" width="1" style="248" customWidth="1"/>
    <col min="11015" max="11015" width="18.25" style="248" customWidth="1"/>
    <col min="11016" max="11031" width="4.625" style="248" customWidth="1"/>
    <col min="11032" max="11032" width="3.5" style="248" customWidth="1"/>
    <col min="11033" max="11033" width="31.5" style="248" bestFit="1" customWidth="1"/>
    <col min="11034" max="11034" width="15.125" style="248" bestFit="1" customWidth="1"/>
    <col min="11035" max="11035" width="3.375" style="248" customWidth="1"/>
    <col min="11036" max="11036" width="0" style="248" hidden="1" customWidth="1"/>
    <col min="11037" max="11037" width="17" style="248" customWidth="1"/>
    <col min="11038" max="11040" width="13.25" style="248" customWidth="1"/>
    <col min="11041" max="11041" width="0" style="248" hidden="1" customWidth="1"/>
    <col min="11042" max="11042" width="8.25" style="248" customWidth="1"/>
    <col min="11043" max="11043" width="14.375" style="248" bestFit="1" customWidth="1"/>
    <col min="11044" max="11044" width="3.125" style="248" customWidth="1"/>
    <col min="11045" max="11045" width="10" style="248" bestFit="1" customWidth="1"/>
    <col min="11046" max="11046" width="3.125" style="248" customWidth="1"/>
    <col min="11047" max="11047" width="14.375" style="248" bestFit="1" customWidth="1"/>
    <col min="11048" max="11048" width="3.125" style="248" customWidth="1"/>
    <col min="11049" max="11264" width="9" style="248"/>
    <col min="11265" max="11265" width="1" style="248" customWidth="1"/>
    <col min="11266" max="11266" width="4.625" style="248" customWidth="1"/>
    <col min="11267" max="11267" width="5.5" style="248" customWidth="1"/>
    <col min="11268" max="11268" width="1" style="248" customWidth="1"/>
    <col min="11269" max="11269" width="18.5" style="248" customWidth="1"/>
    <col min="11270" max="11270" width="1" style="248" customWidth="1"/>
    <col min="11271" max="11271" width="18.25" style="248" customWidth="1"/>
    <col min="11272" max="11287" width="4.625" style="248" customWidth="1"/>
    <col min="11288" max="11288" width="3.5" style="248" customWidth="1"/>
    <col min="11289" max="11289" width="31.5" style="248" bestFit="1" customWidth="1"/>
    <col min="11290" max="11290" width="15.125" style="248" bestFit="1" customWidth="1"/>
    <col min="11291" max="11291" width="3.375" style="248" customWidth="1"/>
    <col min="11292" max="11292" width="0" style="248" hidden="1" customWidth="1"/>
    <col min="11293" max="11293" width="17" style="248" customWidth="1"/>
    <col min="11294" max="11296" width="13.25" style="248" customWidth="1"/>
    <col min="11297" max="11297" width="0" style="248" hidden="1" customWidth="1"/>
    <col min="11298" max="11298" width="8.25" style="248" customWidth="1"/>
    <col min="11299" max="11299" width="14.375" style="248" bestFit="1" customWidth="1"/>
    <col min="11300" max="11300" width="3.125" style="248" customWidth="1"/>
    <col min="11301" max="11301" width="10" style="248" bestFit="1" customWidth="1"/>
    <col min="11302" max="11302" width="3.125" style="248" customWidth="1"/>
    <col min="11303" max="11303" width="14.375" style="248" bestFit="1" customWidth="1"/>
    <col min="11304" max="11304" width="3.125" style="248" customWidth="1"/>
    <col min="11305" max="11520" width="9" style="248"/>
    <col min="11521" max="11521" width="1" style="248" customWidth="1"/>
    <col min="11522" max="11522" width="4.625" style="248" customWidth="1"/>
    <col min="11523" max="11523" width="5.5" style="248" customWidth="1"/>
    <col min="11524" max="11524" width="1" style="248" customWidth="1"/>
    <col min="11525" max="11525" width="18.5" style="248" customWidth="1"/>
    <col min="11526" max="11526" width="1" style="248" customWidth="1"/>
    <col min="11527" max="11527" width="18.25" style="248" customWidth="1"/>
    <col min="11528" max="11543" width="4.625" style="248" customWidth="1"/>
    <col min="11544" max="11544" width="3.5" style="248" customWidth="1"/>
    <col min="11545" max="11545" width="31.5" style="248" bestFit="1" customWidth="1"/>
    <col min="11546" max="11546" width="15.125" style="248" bestFit="1" customWidth="1"/>
    <col min="11547" max="11547" width="3.375" style="248" customWidth="1"/>
    <col min="11548" max="11548" width="0" style="248" hidden="1" customWidth="1"/>
    <col min="11549" max="11549" width="17" style="248" customWidth="1"/>
    <col min="11550" max="11552" width="13.25" style="248" customWidth="1"/>
    <col min="11553" max="11553" width="0" style="248" hidden="1" customWidth="1"/>
    <col min="11554" max="11554" width="8.25" style="248" customWidth="1"/>
    <col min="11555" max="11555" width="14.375" style="248" bestFit="1" customWidth="1"/>
    <col min="11556" max="11556" width="3.125" style="248" customWidth="1"/>
    <col min="11557" max="11557" width="10" style="248" bestFit="1" customWidth="1"/>
    <col min="11558" max="11558" width="3.125" style="248" customWidth="1"/>
    <col min="11559" max="11559" width="14.375" style="248" bestFit="1" customWidth="1"/>
    <col min="11560" max="11560" width="3.125" style="248" customWidth="1"/>
    <col min="11561" max="11776" width="9" style="248"/>
    <col min="11777" max="11777" width="1" style="248" customWidth="1"/>
    <col min="11778" max="11778" width="4.625" style="248" customWidth="1"/>
    <col min="11779" max="11779" width="5.5" style="248" customWidth="1"/>
    <col min="11780" max="11780" width="1" style="248" customWidth="1"/>
    <col min="11781" max="11781" width="18.5" style="248" customWidth="1"/>
    <col min="11782" max="11782" width="1" style="248" customWidth="1"/>
    <col min="11783" max="11783" width="18.25" style="248" customWidth="1"/>
    <col min="11784" max="11799" width="4.625" style="248" customWidth="1"/>
    <col min="11800" max="11800" width="3.5" style="248" customWidth="1"/>
    <col min="11801" max="11801" width="31.5" style="248" bestFit="1" customWidth="1"/>
    <col min="11802" max="11802" width="15.125" style="248" bestFit="1" customWidth="1"/>
    <col min="11803" max="11803" width="3.375" style="248" customWidth="1"/>
    <col min="11804" max="11804" width="0" style="248" hidden="1" customWidth="1"/>
    <col min="11805" max="11805" width="17" style="248" customWidth="1"/>
    <col min="11806" max="11808" width="13.25" style="248" customWidth="1"/>
    <col min="11809" max="11809" width="0" style="248" hidden="1" customWidth="1"/>
    <col min="11810" max="11810" width="8.25" style="248" customWidth="1"/>
    <col min="11811" max="11811" width="14.375" style="248" bestFit="1" customWidth="1"/>
    <col min="11812" max="11812" width="3.125" style="248" customWidth="1"/>
    <col min="11813" max="11813" width="10" style="248" bestFit="1" customWidth="1"/>
    <col min="11814" max="11814" width="3.125" style="248" customWidth="1"/>
    <col min="11815" max="11815" width="14.375" style="248" bestFit="1" customWidth="1"/>
    <col min="11816" max="11816" width="3.125" style="248" customWidth="1"/>
    <col min="11817" max="12032" width="9" style="248"/>
    <col min="12033" max="12033" width="1" style="248" customWidth="1"/>
    <col min="12034" max="12034" width="4.625" style="248" customWidth="1"/>
    <col min="12035" max="12035" width="5.5" style="248" customWidth="1"/>
    <col min="12036" max="12036" width="1" style="248" customWidth="1"/>
    <col min="12037" max="12037" width="18.5" style="248" customWidth="1"/>
    <col min="12038" max="12038" width="1" style="248" customWidth="1"/>
    <col min="12039" max="12039" width="18.25" style="248" customWidth="1"/>
    <col min="12040" max="12055" width="4.625" style="248" customWidth="1"/>
    <col min="12056" max="12056" width="3.5" style="248" customWidth="1"/>
    <col min="12057" max="12057" width="31.5" style="248" bestFit="1" customWidth="1"/>
    <col min="12058" max="12058" width="15.125" style="248" bestFit="1" customWidth="1"/>
    <col min="12059" max="12059" width="3.375" style="248" customWidth="1"/>
    <col min="12060" max="12060" width="0" style="248" hidden="1" customWidth="1"/>
    <col min="12061" max="12061" width="17" style="248" customWidth="1"/>
    <col min="12062" max="12064" width="13.25" style="248" customWidth="1"/>
    <col min="12065" max="12065" width="0" style="248" hidden="1" customWidth="1"/>
    <col min="12066" max="12066" width="8.25" style="248" customWidth="1"/>
    <col min="12067" max="12067" width="14.375" style="248" bestFit="1" customWidth="1"/>
    <col min="12068" max="12068" width="3.125" style="248" customWidth="1"/>
    <col min="12069" max="12069" width="10" style="248" bestFit="1" customWidth="1"/>
    <col min="12070" max="12070" width="3.125" style="248" customWidth="1"/>
    <col min="12071" max="12071" width="14.375" style="248" bestFit="1" customWidth="1"/>
    <col min="12072" max="12072" width="3.125" style="248" customWidth="1"/>
    <col min="12073" max="12288" width="9" style="248"/>
    <col min="12289" max="12289" width="1" style="248" customWidth="1"/>
    <col min="12290" max="12290" width="4.625" style="248" customWidth="1"/>
    <col min="12291" max="12291" width="5.5" style="248" customWidth="1"/>
    <col min="12292" max="12292" width="1" style="248" customWidth="1"/>
    <col min="12293" max="12293" width="18.5" style="248" customWidth="1"/>
    <col min="12294" max="12294" width="1" style="248" customWidth="1"/>
    <col min="12295" max="12295" width="18.25" style="248" customWidth="1"/>
    <col min="12296" max="12311" width="4.625" style="248" customWidth="1"/>
    <col min="12312" max="12312" width="3.5" style="248" customWidth="1"/>
    <col min="12313" max="12313" width="31.5" style="248" bestFit="1" customWidth="1"/>
    <col min="12314" max="12314" width="15.125" style="248" bestFit="1" customWidth="1"/>
    <col min="12315" max="12315" width="3.375" style="248" customWidth="1"/>
    <col min="12316" max="12316" width="0" style="248" hidden="1" customWidth="1"/>
    <col min="12317" max="12317" width="17" style="248" customWidth="1"/>
    <col min="12318" max="12320" width="13.25" style="248" customWidth="1"/>
    <col min="12321" max="12321" width="0" style="248" hidden="1" customWidth="1"/>
    <col min="12322" max="12322" width="8.25" style="248" customWidth="1"/>
    <col min="12323" max="12323" width="14.375" style="248" bestFit="1" customWidth="1"/>
    <col min="12324" max="12324" width="3.125" style="248" customWidth="1"/>
    <col min="12325" max="12325" width="10" style="248" bestFit="1" customWidth="1"/>
    <col min="12326" max="12326" width="3.125" style="248" customWidth="1"/>
    <col min="12327" max="12327" width="14.375" style="248" bestFit="1" customWidth="1"/>
    <col min="12328" max="12328" width="3.125" style="248" customWidth="1"/>
    <col min="12329" max="12544" width="9" style="248"/>
    <col min="12545" max="12545" width="1" style="248" customWidth="1"/>
    <col min="12546" max="12546" width="4.625" style="248" customWidth="1"/>
    <col min="12547" max="12547" width="5.5" style="248" customWidth="1"/>
    <col min="12548" max="12548" width="1" style="248" customWidth="1"/>
    <col min="12549" max="12549" width="18.5" style="248" customWidth="1"/>
    <col min="12550" max="12550" width="1" style="248" customWidth="1"/>
    <col min="12551" max="12551" width="18.25" style="248" customWidth="1"/>
    <col min="12552" max="12567" width="4.625" style="248" customWidth="1"/>
    <col min="12568" max="12568" width="3.5" style="248" customWidth="1"/>
    <col min="12569" max="12569" width="31.5" style="248" bestFit="1" customWidth="1"/>
    <col min="12570" max="12570" width="15.125" style="248" bestFit="1" customWidth="1"/>
    <col min="12571" max="12571" width="3.375" style="248" customWidth="1"/>
    <col min="12572" max="12572" width="0" style="248" hidden="1" customWidth="1"/>
    <col min="12573" max="12573" width="17" style="248" customWidth="1"/>
    <col min="12574" max="12576" width="13.25" style="248" customWidth="1"/>
    <col min="12577" max="12577" width="0" style="248" hidden="1" customWidth="1"/>
    <col min="12578" max="12578" width="8.25" style="248" customWidth="1"/>
    <col min="12579" max="12579" width="14.375" style="248" bestFit="1" customWidth="1"/>
    <col min="12580" max="12580" width="3.125" style="248" customWidth="1"/>
    <col min="12581" max="12581" width="10" style="248" bestFit="1" customWidth="1"/>
    <col min="12582" max="12582" width="3.125" style="248" customWidth="1"/>
    <col min="12583" max="12583" width="14.375" style="248" bestFit="1" customWidth="1"/>
    <col min="12584" max="12584" width="3.125" style="248" customWidth="1"/>
    <col min="12585" max="12800" width="9" style="248"/>
    <col min="12801" max="12801" width="1" style="248" customWidth="1"/>
    <col min="12802" max="12802" width="4.625" style="248" customWidth="1"/>
    <col min="12803" max="12803" width="5.5" style="248" customWidth="1"/>
    <col min="12804" max="12804" width="1" style="248" customWidth="1"/>
    <col min="12805" max="12805" width="18.5" style="248" customWidth="1"/>
    <col min="12806" max="12806" width="1" style="248" customWidth="1"/>
    <col min="12807" max="12807" width="18.25" style="248" customWidth="1"/>
    <col min="12808" max="12823" width="4.625" style="248" customWidth="1"/>
    <col min="12824" max="12824" width="3.5" style="248" customWidth="1"/>
    <col min="12825" max="12825" width="31.5" style="248" bestFit="1" customWidth="1"/>
    <col min="12826" max="12826" width="15.125" style="248" bestFit="1" customWidth="1"/>
    <col min="12827" max="12827" width="3.375" style="248" customWidth="1"/>
    <col min="12828" max="12828" width="0" style="248" hidden="1" customWidth="1"/>
    <col min="12829" max="12829" width="17" style="248" customWidth="1"/>
    <col min="12830" max="12832" width="13.25" style="248" customWidth="1"/>
    <col min="12833" max="12833" width="0" style="248" hidden="1" customWidth="1"/>
    <col min="12834" max="12834" width="8.25" style="248" customWidth="1"/>
    <col min="12835" max="12835" width="14.375" style="248" bestFit="1" customWidth="1"/>
    <col min="12836" max="12836" width="3.125" style="248" customWidth="1"/>
    <col min="12837" max="12837" width="10" style="248" bestFit="1" customWidth="1"/>
    <col min="12838" max="12838" width="3.125" style="248" customWidth="1"/>
    <col min="12839" max="12839" width="14.375" style="248" bestFit="1" customWidth="1"/>
    <col min="12840" max="12840" width="3.125" style="248" customWidth="1"/>
    <col min="12841" max="13056" width="9" style="248"/>
    <col min="13057" max="13057" width="1" style="248" customWidth="1"/>
    <col min="13058" max="13058" width="4.625" style="248" customWidth="1"/>
    <col min="13059" max="13059" width="5.5" style="248" customWidth="1"/>
    <col min="13060" max="13060" width="1" style="248" customWidth="1"/>
    <col min="13061" max="13061" width="18.5" style="248" customWidth="1"/>
    <col min="13062" max="13062" width="1" style="248" customWidth="1"/>
    <col min="13063" max="13063" width="18.25" style="248" customWidth="1"/>
    <col min="13064" max="13079" width="4.625" style="248" customWidth="1"/>
    <col min="13080" max="13080" width="3.5" style="248" customWidth="1"/>
    <col min="13081" max="13081" width="31.5" style="248" bestFit="1" customWidth="1"/>
    <col min="13082" max="13082" width="15.125" style="248" bestFit="1" customWidth="1"/>
    <col min="13083" max="13083" width="3.375" style="248" customWidth="1"/>
    <col min="13084" max="13084" width="0" style="248" hidden="1" customWidth="1"/>
    <col min="13085" max="13085" width="17" style="248" customWidth="1"/>
    <col min="13086" max="13088" width="13.25" style="248" customWidth="1"/>
    <col min="13089" max="13089" width="0" style="248" hidden="1" customWidth="1"/>
    <col min="13090" max="13090" width="8.25" style="248" customWidth="1"/>
    <col min="13091" max="13091" width="14.375" style="248" bestFit="1" customWidth="1"/>
    <col min="13092" max="13092" width="3.125" style="248" customWidth="1"/>
    <col min="13093" max="13093" width="10" style="248" bestFit="1" customWidth="1"/>
    <col min="13094" max="13094" width="3.125" style="248" customWidth="1"/>
    <col min="13095" max="13095" width="14.375" style="248" bestFit="1" customWidth="1"/>
    <col min="13096" max="13096" width="3.125" style="248" customWidth="1"/>
    <col min="13097" max="13312" width="9" style="248"/>
    <col min="13313" max="13313" width="1" style="248" customWidth="1"/>
    <col min="13314" max="13314" width="4.625" style="248" customWidth="1"/>
    <col min="13315" max="13315" width="5.5" style="248" customWidth="1"/>
    <col min="13316" max="13316" width="1" style="248" customWidth="1"/>
    <col min="13317" max="13317" width="18.5" style="248" customWidth="1"/>
    <col min="13318" max="13318" width="1" style="248" customWidth="1"/>
    <col min="13319" max="13319" width="18.25" style="248" customWidth="1"/>
    <col min="13320" max="13335" width="4.625" style="248" customWidth="1"/>
    <col min="13336" max="13336" width="3.5" style="248" customWidth="1"/>
    <col min="13337" max="13337" width="31.5" style="248" bestFit="1" customWidth="1"/>
    <col min="13338" max="13338" width="15.125" style="248" bestFit="1" customWidth="1"/>
    <col min="13339" max="13339" width="3.375" style="248" customWidth="1"/>
    <col min="13340" max="13340" width="0" style="248" hidden="1" customWidth="1"/>
    <col min="13341" max="13341" width="17" style="248" customWidth="1"/>
    <col min="13342" max="13344" width="13.25" style="248" customWidth="1"/>
    <col min="13345" max="13345" width="0" style="248" hidden="1" customWidth="1"/>
    <col min="13346" max="13346" width="8.25" style="248" customWidth="1"/>
    <col min="13347" max="13347" width="14.375" style="248" bestFit="1" customWidth="1"/>
    <col min="13348" max="13348" width="3.125" style="248" customWidth="1"/>
    <col min="13349" max="13349" width="10" style="248" bestFit="1" customWidth="1"/>
    <col min="13350" max="13350" width="3.125" style="248" customWidth="1"/>
    <col min="13351" max="13351" width="14.375" style="248" bestFit="1" customWidth="1"/>
    <col min="13352" max="13352" width="3.125" style="248" customWidth="1"/>
    <col min="13353" max="13568" width="9" style="248"/>
    <col min="13569" max="13569" width="1" style="248" customWidth="1"/>
    <col min="13570" max="13570" width="4.625" style="248" customWidth="1"/>
    <col min="13571" max="13571" width="5.5" style="248" customWidth="1"/>
    <col min="13572" max="13572" width="1" style="248" customWidth="1"/>
    <col min="13573" max="13573" width="18.5" style="248" customWidth="1"/>
    <col min="13574" max="13574" width="1" style="248" customWidth="1"/>
    <col min="13575" max="13575" width="18.25" style="248" customWidth="1"/>
    <col min="13576" max="13591" width="4.625" style="248" customWidth="1"/>
    <col min="13592" max="13592" width="3.5" style="248" customWidth="1"/>
    <col min="13593" max="13593" width="31.5" style="248" bestFit="1" customWidth="1"/>
    <col min="13594" max="13594" width="15.125" style="248" bestFit="1" customWidth="1"/>
    <col min="13595" max="13595" width="3.375" style="248" customWidth="1"/>
    <col min="13596" max="13596" width="0" style="248" hidden="1" customWidth="1"/>
    <col min="13597" max="13597" width="17" style="248" customWidth="1"/>
    <col min="13598" max="13600" width="13.25" style="248" customWidth="1"/>
    <col min="13601" max="13601" width="0" style="248" hidden="1" customWidth="1"/>
    <col min="13602" max="13602" width="8.25" style="248" customWidth="1"/>
    <col min="13603" max="13603" width="14.375" style="248" bestFit="1" customWidth="1"/>
    <col min="13604" max="13604" width="3.125" style="248" customWidth="1"/>
    <col min="13605" max="13605" width="10" style="248" bestFit="1" customWidth="1"/>
    <col min="13606" max="13606" width="3.125" style="248" customWidth="1"/>
    <col min="13607" max="13607" width="14.375" style="248" bestFit="1" customWidth="1"/>
    <col min="13608" max="13608" width="3.125" style="248" customWidth="1"/>
    <col min="13609" max="13824" width="9" style="248"/>
    <col min="13825" max="13825" width="1" style="248" customWidth="1"/>
    <col min="13826" max="13826" width="4.625" style="248" customWidth="1"/>
    <col min="13827" max="13827" width="5.5" style="248" customWidth="1"/>
    <col min="13828" max="13828" width="1" style="248" customWidth="1"/>
    <col min="13829" max="13829" width="18.5" style="248" customWidth="1"/>
    <col min="13830" max="13830" width="1" style="248" customWidth="1"/>
    <col min="13831" max="13831" width="18.25" style="248" customWidth="1"/>
    <col min="13832" max="13847" width="4.625" style="248" customWidth="1"/>
    <col min="13848" max="13848" width="3.5" style="248" customWidth="1"/>
    <col min="13849" max="13849" width="31.5" style="248" bestFit="1" customWidth="1"/>
    <col min="13850" max="13850" width="15.125" style="248" bestFit="1" customWidth="1"/>
    <col min="13851" max="13851" width="3.375" style="248" customWidth="1"/>
    <col min="13852" max="13852" width="0" style="248" hidden="1" customWidth="1"/>
    <col min="13853" max="13853" width="17" style="248" customWidth="1"/>
    <col min="13854" max="13856" width="13.25" style="248" customWidth="1"/>
    <col min="13857" max="13857" width="0" style="248" hidden="1" customWidth="1"/>
    <col min="13858" max="13858" width="8.25" style="248" customWidth="1"/>
    <col min="13859" max="13859" width="14.375" style="248" bestFit="1" customWidth="1"/>
    <col min="13860" max="13860" width="3.125" style="248" customWidth="1"/>
    <col min="13861" max="13861" width="10" style="248" bestFit="1" customWidth="1"/>
    <col min="13862" max="13862" width="3.125" style="248" customWidth="1"/>
    <col min="13863" max="13863" width="14.375" style="248" bestFit="1" customWidth="1"/>
    <col min="13864" max="13864" width="3.125" style="248" customWidth="1"/>
    <col min="13865" max="14080" width="9" style="248"/>
    <col min="14081" max="14081" width="1" style="248" customWidth="1"/>
    <col min="14082" max="14082" width="4.625" style="248" customWidth="1"/>
    <col min="14083" max="14083" width="5.5" style="248" customWidth="1"/>
    <col min="14084" max="14084" width="1" style="248" customWidth="1"/>
    <col min="14085" max="14085" width="18.5" style="248" customWidth="1"/>
    <col min="14086" max="14086" width="1" style="248" customWidth="1"/>
    <col min="14087" max="14087" width="18.25" style="248" customWidth="1"/>
    <col min="14088" max="14103" width="4.625" style="248" customWidth="1"/>
    <col min="14104" max="14104" width="3.5" style="248" customWidth="1"/>
    <col min="14105" max="14105" width="31.5" style="248" bestFit="1" customWidth="1"/>
    <col min="14106" max="14106" width="15.125" style="248" bestFit="1" customWidth="1"/>
    <col min="14107" max="14107" width="3.375" style="248" customWidth="1"/>
    <col min="14108" max="14108" width="0" style="248" hidden="1" customWidth="1"/>
    <col min="14109" max="14109" width="17" style="248" customWidth="1"/>
    <col min="14110" max="14112" width="13.25" style="248" customWidth="1"/>
    <col min="14113" max="14113" width="0" style="248" hidden="1" customWidth="1"/>
    <col min="14114" max="14114" width="8.25" style="248" customWidth="1"/>
    <col min="14115" max="14115" width="14.375" style="248" bestFit="1" customWidth="1"/>
    <col min="14116" max="14116" width="3.125" style="248" customWidth="1"/>
    <col min="14117" max="14117" width="10" style="248" bestFit="1" customWidth="1"/>
    <col min="14118" max="14118" width="3.125" style="248" customWidth="1"/>
    <col min="14119" max="14119" width="14.375" style="248" bestFit="1" customWidth="1"/>
    <col min="14120" max="14120" width="3.125" style="248" customWidth="1"/>
    <col min="14121" max="14336" width="9" style="248"/>
    <col min="14337" max="14337" width="1" style="248" customWidth="1"/>
    <col min="14338" max="14338" width="4.625" style="248" customWidth="1"/>
    <col min="14339" max="14339" width="5.5" style="248" customWidth="1"/>
    <col min="14340" max="14340" width="1" style="248" customWidth="1"/>
    <col min="14341" max="14341" width="18.5" style="248" customWidth="1"/>
    <col min="14342" max="14342" width="1" style="248" customWidth="1"/>
    <col min="14343" max="14343" width="18.25" style="248" customWidth="1"/>
    <col min="14344" max="14359" width="4.625" style="248" customWidth="1"/>
    <col min="14360" max="14360" width="3.5" style="248" customWidth="1"/>
    <col min="14361" max="14361" width="31.5" style="248" bestFit="1" customWidth="1"/>
    <col min="14362" max="14362" width="15.125" style="248" bestFit="1" customWidth="1"/>
    <col min="14363" max="14363" width="3.375" style="248" customWidth="1"/>
    <col min="14364" max="14364" width="0" style="248" hidden="1" customWidth="1"/>
    <col min="14365" max="14365" width="17" style="248" customWidth="1"/>
    <col min="14366" max="14368" width="13.25" style="248" customWidth="1"/>
    <col min="14369" max="14369" width="0" style="248" hidden="1" customWidth="1"/>
    <col min="14370" max="14370" width="8.25" style="248" customWidth="1"/>
    <col min="14371" max="14371" width="14.375" style="248" bestFit="1" customWidth="1"/>
    <col min="14372" max="14372" width="3.125" style="248" customWidth="1"/>
    <col min="14373" max="14373" width="10" style="248" bestFit="1" customWidth="1"/>
    <col min="14374" max="14374" width="3.125" style="248" customWidth="1"/>
    <col min="14375" max="14375" width="14.375" style="248" bestFit="1" customWidth="1"/>
    <col min="14376" max="14376" width="3.125" style="248" customWidth="1"/>
    <col min="14377" max="14592" width="9" style="248"/>
    <col min="14593" max="14593" width="1" style="248" customWidth="1"/>
    <col min="14594" max="14594" width="4.625" style="248" customWidth="1"/>
    <col min="14595" max="14595" width="5.5" style="248" customWidth="1"/>
    <col min="14596" max="14596" width="1" style="248" customWidth="1"/>
    <col min="14597" max="14597" width="18.5" style="248" customWidth="1"/>
    <col min="14598" max="14598" width="1" style="248" customWidth="1"/>
    <col min="14599" max="14599" width="18.25" style="248" customWidth="1"/>
    <col min="14600" max="14615" width="4.625" style="248" customWidth="1"/>
    <col min="14616" max="14616" width="3.5" style="248" customWidth="1"/>
    <col min="14617" max="14617" width="31.5" style="248" bestFit="1" customWidth="1"/>
    <col min="14618" max="14618" width="15.125" style="248" bestFit="1" customWidth="1"/>
    <col min="14619" max="14619" width="3.375" style="248" customWidth="1"/>
    <col min="14620" max="14620" width="0" style="248" hidden="1" customWidth="1"/>
    <col min="14621" max="14621" width="17" style="248" customWidth="1"/>
    <col min="14622" max="14624" width="13.25" style="248" customWidth="1"/>
    <col min="14625" max="14625" width="0" style="248" hidden="1" customWidth="1"/>
    <col min="14626" max="14626" width="8.25" style="248" customWidth="1"/>
    <col min="14627" max="14627" width="14.375" style="248" bestFit="1" customWidth="1"/>
    <col min="14628" max="14628" width="3.125" style="248" customWidth="1"/>
    <col min="14629" max="14629" width="10" style="248" bestFit="1" customWidth="1"/>
    <col min="14630" max="14630" width="3.125" style="248" customWidth="1"/>
    <col min="14631" max="14631" width="14.375" style="248" bestFit="1" customWidth="1"/>
    <col min="14632" max="14632" width="3.125" style="248" customWidth="1"/>
    <col min="14633" max="14848" width="9" style="248"/>
    <col min="14849" max="14849" width="1" style="248" customWidth="1"/>
    <col min="14850" max="14850" width="4.625" style="248" customWidth="1"/>
    <col min="14851" max="14851" width="5.5" style="248" customWidth="1"/>
    <col min="14852" max="14852" width="1" style="248" customWidth="1"/>
    <col min="14853" max="14853" width="18.5" style="248" customWidth="1"/>
    <col min="14854" max="14854" width="1" style="248" customWidth="1"/>
    <col min="14855" max="14855" width="18.25" style="248" customWidth="1"/>
    <col min="14856" max="14871" width="4.625" style="248" customWidth="1"/>
    <col min="14872" max="14872" width="3.5" style="248" customWidth="1"/>
    <col min="14873" max="14873" width="31.5" style="248" bestFit="1" customWidth="1"/>
    <col min="14874" max="14874" width="15.125" style="248" bestFit="1" customWidth="1"/>
    <col min="14875" max="14875" width="3.375" style="248" customWidth="1"/>
    <col min="14876" max="14876" width="0" style="248" hidden="1" customWidth="1"/>
    <col min="14877" max="14877" width="17" style="248" customWidth="1"/>
    <col min="14878" max="14880" width="13.25" style="248" customWidth="1"/>
    <col min="14881" max="14881" width="0" style="248" hidden="1" customWidth="1"/>
    <col min="14882" max="14882" width="8.25" style="248" customWidth="1"/>
    <col min="14883" max="14883" width="14.375" style="248" bestFit="1" customWidth="1"/>
    <col min="14884" max="14884" width="3.125" style="248" customWidth="1"/>
    <col min="14885" max="14885" width="10" style="248" bestFit="1" customWidth="1"/>
    <col min="14886" max="14886" width="3.125" style="248" customWidth="1"/>
    <col min="14887" max="14887" width="14.375" style="248" bestFit="1" customWidth="1"/>
    <col min="14888" max="14888" width="3.125" style="248" customWidth="1"/>
    <col min="14889" max="15104" width="9" style="248"/>
    <col min="15105" max="15105" width="1" style="248" customWidth="1"/>
    <col min="15106" max="15106" width="4.625" style="248" customWidth="1"/>
    <col min="15107" max="15107" width="5.5" style="248" customWidth="1"/>
    <col min="15108" max="15108" width="1" style="248" customWidth="1"/>
    <col min="15109" max="15109" width="18.5" style="248" customWidth="1"/>
    <col min="15110" max="15110" width="1" style="248" customWidth="1"/>
    <col min="15111" max="15111" width="18.25" style="248" customWidth="1"/>
    <col min="15112" max="15127" width="4.625" style="248" customWidth="1"/>
    <col min="15128" max="15128" width="3.5" style="248" customWidth="1"/>
    <col min="15129" max="15129" width="31.5" style="248" bestFit="1" customWidth="1"/>
    <col min="15130" max="15130" width="15.125" style="248" bestFit="1" customWidth="1"/>
    <col min="15131" max="15131" width="3.375" style="248" customWidth="1"/>
    <col min="15132" max="15132" width="0" style="248" hidden="1" customWidth="1"/>
    <col min="15133" max="15133" width="17" style="248" customWidth="1"/>
    <col min="15134" max="15136" width="13.25" style="248" customWidth="1"/>
    <col min="15137" max="15137" width="0" style="248" hidden="1" customWidth="1"/>
    <col min="15138" max="15138" width="8.25" style="248" customWidth="1"/>
    <col min="15139" max="15139" width="14.375" style="248" bestFit="1" customWidth="1"/>
    <col min="15140" max="15140" width="3.125" style="248" customWidth="1"/>
    <col min="15141" max="15141" width="10" style="248" bestFit="1" customWidth="1"/>
    <col min="15142" max="15142" width="3.125" style="248" customWidth="1"/>
    <col min="15143" max="15143" width="14.375" style="248" bestFit="1" customWidth="1"/>
    <col min="15144" max="15144" width="3.125" style="248" customWidth="1"/>
    <col min="15145" max="15360" width="9" style="248"/>
    <col min="15361" max="15361" width="1" style="248" customWidth="1"/>
    <col min="15362" max="15362" width="4.625" style="248" customWidth="1"/>
    <col min="15363" max="15363" width="5.5" style="248" customWidth="1"/>
    <col min="15364" max="15364" width="1" style="248" customWidth="1"/>
    <col min="15365" max="15365" width="18.5" style="248" customWidth="1"/>
    <col min="15366" max="15366" width="1" style="248" customWidth="1"/>
    <col min="15367" max="15367" width="18.25" style="248" customWidth="1"/>
    <col min="15368" max="15383" width="4.625" style="248" customWidth="1"/>
    <col min="15384" max="15384" width="3.5" style="248" customWidth="1"/>
    <col min="15385" max="15385" width="31.5" style="248" bestFit="1" customWidth="1"/>
    <col min="15386" max="15386" width="15.125" style="248" bestFit="1" customWidth="1"/>
    <col min="15387" max="15387" width="3.375" style="248" customWidth="1"/>
    <col min="15388" max="15388" width="0" style="248" hidden="1" customWidth="1"/>
    <col min="15389" max="15389" width="17" style="248" customWidth="1"/>
    <col min="15390" max="15392" width="13.25" style="248" customWidth="1"/>
    <col min="15393" max="15393" width="0" style="248" hidden="1" customWidth="1"/>
    <col min="15394" max="15394" width="8.25" style="248" customWidth="1"/>
    <col min="15395" max="15395" width="14.375" style="248" bestFit="1" customWidth="1"/>
    <col min="15396" max="15396" width="3.125" style="248" customWidth="1"/>
    <col min="15397" max="15397" width="10" style="248" bestFit="1" customWidth="1"/>
    <col min="15398" max="15398" width="3.125" style="248" customWidth="1"/>
    <col min="15399" max="15399" width="14.375" style="248" bestFit="1" customWidth="1"/>
    <col min="15400" max="15400" width="3.125" style="248" customWidth="1"/>
    <col min="15401" max="15616" width="9" style="248"/>
    <col min="15617" max="15617" width="1" style="248" customWidth="1"/>
    <col min="15618" max="15618" width="4.625" style="248" customWidth="1"/>
    <col min="15619" max="15619" width="5.5" style="248" customWidth="1"/>
    <col min="15620" max="15620" width="1" style="248" customWidth="1"/>
    <col min="15621" max="15621" width="18.5" style="248" customWidth="1"/>
    <col min="15622" max="15622" width="1" style="248" customWidth="1"/>
    <col min="15623" max="15623" width="18.25" style="248" customWidth="1"/>
    <col min="15624" max="15639" width="4.625" style="248" customWidth="1"/>
    <col min="15640" max="15640" width="3.5" style="248" customWidth="1"/>
    <col min="15641" max="15641" width="31.5" style="248" bestFit="1" customWidth="1"/>
    <col min="15642" max="15642" width="15.125" style="248" bestFit="1" customWidth="1"/>
    <col min="15643" max="15643" width="3.375" style="248" customWidth="1"/>
    <col min="15644" max="15644" width="0" style="248" hidden="1" customWidth="1"/>
    <col min="15645" max="15645" width="17" style="248" customWidth="1"/>
    <col min="15646" max="15648" width="13.25" style="248" customWidth="1"/>
    <col min="15649" max="15649" width="0" style="248" hidden="1" customWidth="1"/>
    <col min="15650" max="15650" width="8.25" style="248" customWidth="1"/>
    <col min="15651" max="15651" width="14.375" style="248" bestFit="1" customWidth="1"/>
    <col min="15652" max="15652" width="3.125" style="248" customWidth="1"/>
    <col min="15653" max="15653" width="10" style="248" bestFit="1" customWidth="1"/>
    <col min="15654" max="15654" width="3.125" style="248" customWidth="1"/>
    <col min="15655" max="15655" width="14.375" style="248" bestFit="1" customWidth="1"/>
    <col min="15656" max="15656" width="3.125" style="248" customWidth="1"/>
    <col min="15657" max="15872" width="9" style="248"/>
    <col min="15873" max="15873" width="1" style="248" customWidth="1"/>
    <col min="15874" max="15874" width="4.625" style="248" customWidth="1"/>
    <col min="15875" max="15875" width="5.5" style="248" customWidth="1"/>
    <col min="15876" max="15876" width="1" style="248" customWidth="1"/>
    <col min="15877" max="15877" width="18.5" style="248" customWidth="1"/>
    <col min="15878" max="15878" width="1" style="248" customWidth="1"/>
    <col min="15879" max="15879" width="18.25" style="248" customWidth="1"/>
    <col min="15880" max="15895" width="4.625" style="248" customWidth="1"/>
    <col min="15896" max="15896" width="3.5" style="248" customWidth="1"/>
    <col min="15897" max="15897" width="31.5" style="248" bestFit="1" customWidth="1"/>
    <col min="15898" max="15898" width="15.125" style="248" bestFit="1" customWidth="1"/>
    <col min="15899" max="15899" width="3.375" style="248" customWidth="1"/>
    <col min="15900" max="15900" width="0" style="248" hidden="1" customWidth="1"/>
    <col min="15901" max="15901" width="17" style="248" customWidth="1"/>
    <col min="15902" max="15904" width="13.25" style="248" customWidth="1"/>
    <col min="15905" max="15905" width="0" style="248" hidden="1" customWidth="1"/>
    <col min="15906" max="15906" width="8.25" style="248" customWidth="1"/>
    <col min="15907" max="15907" width="14.375" style="248" bestFit="1" customWidth="1"/>
    <col min="15908" max="15908" width="3.125" style="248" customWidth="1"/>
    <col min="15909" max="15909" width="10" style="248" bestFit="1" customWidth="1"/>
    <col min="15910" max="15910" width="3.125" style="248" customWidth="1"/>
    <col min="15911" max="15911" width="14.375" style="248" bestFit="1" customWidth="1"/>
    <col min="15912" max="15912" width="3.125" style="248" customWidth="1"/>
    <col min="15913" max="16128" width="9" style="248"/>
    <col min="16129" max="16129" width="1" style="248" customWidth="1"/>
    <col min="16130" max="16130" width="4.625" style="248" customWidth="1"/>
    <col min="16131" max="16131" width="5.5" style="248" customWidth="1"/>
    <col min="16132" max="16132" width="1" style="248" customWidth="1"/>
    <col min="16133" max="16133" width="18.5" style="248" customWidth="1"/>
    <col min="16134" max="16134" width="1" style="248" customWidth="1"/>
    <col min="16135" max="16135" width="18.25" style="248" customWidth="1"/>
    <col min="16136" max="16151" width="4.625" style="248" customWidth="1"/>
    <col min="16152" max="16152" width="3.5" style="248" customWidth="1"/>
    <col min="16153" max="16153" width="31.5" style="248" bestFit="1" customWidth="1"/>
    <col min="16154" max="16154" width="15.125" style="248" bestFit="1" customWidth="1"/>
    <col min="16155" max="16155" width="3.375" style="248" customWidth="1"/>
    <col min="16156" max="16156" width="0" style="248" hidden="1" customWidth="1"/>
    <col min="16157" max="16157" width="17" style="248" customWidth="1"/>
    <col min="16158" max="16160" width="13.25" style="248" customWidth="1"/>
    <col min="16161" max="16161" width="0" style="248" hidden="1" customWidth="1"/>
    <col min="16162" max="16162" width="8.25" style="248" customWidth="1"/>
    <col min="16163" max="16163" width="14.375" style="248" bestFit="1" customWidth="1"/>
    <col min="16164" max="16164" width="3.125" style="248" customWidth="1"/>
    <col min="16165" max="16165" width="10" style="248" bestFit="1" customWidth="1"/>
    <col min="16166" max="16166" width="3.125" style="248" customWidth="1"/>
    <col min="16167" max="16167" width="14.375" style="248" bestFit="1" customWidth="1"/>
    <col min="16168" max="16168" width="3.125" style="248" customWidth="1"/>
    <col min="16169" max="16384" width="9" style="248"/>
  </cols>
  <sheetData>
    <row r="1" spans="1:42" ht="13.5" customHeight="1" x14ac:dyDescent="0.3">
      <c r="A1" s="148" t="s">
        <v>129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</row>
    <row r="2" spans="1:42" ht="13.5" customHeight="1" x14ac:dyDescent="0.3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</row>
    <row r="3" spans="1:42" ht="13.5" customHeight="1" thickBot="1" x14ac:dyDescent="0.35">
      <c r="A3" s="250" t="s">
        <v>0</v>
      </c>
      <c r="B3" s="250"/>
      <c r="C3" s="250"/>
      <c r="D3" s="250"/>
      <c r="E3" s="250"/>
      <c r="F3" s="250"/>
      <c r="G3" s="250"/>
      <c r="H3" s="251"/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51"/>
      <c r="W3" s="251" t="str">
        <f>"금액 : "&amp;NUMBERSTRING(G38,1)&amp;"원정"&amp;"( \ "&amp;TEXT(G38,"#,##0")&amp;" )"</f>
        <v>금액 : 이억이천삼백구십칠만사천원정( \ 223,974,000 )</v>
      </c>
      <c r="AO3" s="149"/>
      <c r="AP3" s="149"/>
    </row>
    <row r="4" spans="1:42" ht="13.5" customHeight="1" x14ac:dyDescent="0.3">
      <c r="A4" s="252" t="s">
        <v>130</v>
      </c>
      <c r="B4" s="253"/>
      <c r="C4" s="253"/>
      <c r="D4" s="253"/>
      <c r="E4" s="253"/>
      <c r="F4" s="254"/>
      <c r="G4" s="255" t="s">
        <v>131</v>
      </c>
      <c r="H4" s="252" t="s">
        <v>132</v>
      </c>
      <c r="I4" s="253"/>
      <c r="J4" s="253"/>
      <c r="K4" s="253"/>
      <c r="L4" s="253"/>
      <c r="M4" s="253"/>
      <c r="N4" s="253"/>
      <c r="O4" s="253"/>
      <c r="P4" s="254"/>
      <c r="Q4" s="252" t="s">
        <v>133</v>
      </c>
      <c r="R4" s="253"/>
      <c r="S4" s="253"/>
      <c r="T4" s="253"/>
      <c r="U4" s="253"/>
      <c r="V4" s="253"/>
      <c r="W4" s="254"/>
      <c r="Y4" s="256" t="s">
        <v>134</v>
      </c>
      <c r="Z4" s="150"/>
      <c r="AA4" s="151"/>
      <c r="AC4" s="257" t="s">
        <v>135</v>
      </c>
      <c r="AD4" s="258" t="s">
        <v>136</v>
      </c>
      <c r="AJ4" s="249"/>
      <c r="AL4" s="249"/>
      <c r="AN4" s="249"/>
    </row>
    <row r="5" spans="1:42" ht="13.5" customHeight="1" x14ac:dyDescent="0.3">
      <c r="A5" s="259" t="s">
        <v>137</v>
      </c>
      <c r="B5" s="260"/>
      <c r="C5" s="261" t="s">
        <v>134</v>
      </c>
      <c r="D5" s="262"/>
      <c r="E5" s="263" t="s">
        <v>138</v>
      </c>
      <c r="F5" s="264"/>
      <c r="G5" s="152">
        <f>집계표!F27</f>
        <v>0</v>
      </c>
      <c r="H5" s="153"/>
      <c r="I5" s="154"/>
      <c r="J5" s="154"/>
      <c r="K5" s="154"/>
      <c r="L5" s="154"/>
      <c r="M5" s="154"/>
      <c r="N5" s="154"/>
      <c r="O5" s="155"/>
      <c r="P5" s="156"/>
      <c r="Q5" s="157"/>
      <c r="R5" s="154"/>
      <c r="S5" s="154"/>
      <c r="T5" s="154"/>
      <c r="U5" s="154"/>
      <c r="V5" s="154"/>
      <c r="W5" s="158"/>
      <c r="Y5" s="265" t="s">
        <v>139</v>
      </c>
      <c r="Z5" s="159"/>
      <c r="AA5" s="151"/>
      <c r="AC5" s="265" t="s">
        <v>95</v>
      </c>
      <c r="AD5" s="266"/>
      <c r="AJ5" s="337"/>
      <c r="AL5" s="337"/>
      <c r="AN5" s="337"/>
    </row>
    <row r="6" spans="1:42" ht="13.5" customHeight="1" x14ac:dyDescent="0.3">
      <c r="A6" s="267"/>
      <c r="B6" s="268"/>
      <c r="C6" s="269"/>
      <c r="D6" s="270"/>
      <c r="E6" s="271" t="s">
        <v>140</v>
      </c>
      <c r="F6" s="272"/>
      <c r="G6" s="152"/>
      <c r="H6" s="152"/>
      <c r="I6" s="160"/>
      <c r="J6" s="160"/>
      <c r="K6" s="160"/>
      <c r="L6" s="160"/>
      <c r="M6" s="160"/>
      <c r="N6" s="160"/>
      <c r="O6" s="161"/>
      <c r="P6" s="162"/>
      <c r="Q6" s="163"/>
      <c r="R6" s="160"/>
      <c r="S6" s="160"/>
      <c r="T6" s="160"/>
      <c r="U6" s="160"/>
      <c r="V6" s="160"/>
      <c r="W6" s="164"/>
      <c r="Y6" s="265" t="s">
        <v>141</v>
      </c>
      <c r="Z6" s="159"/>
      <c r="AA6" s="151"/>
      <c r="AC6" s="265" t="s">
        <v>98</v>
      </c>
      <c r="AD6" s="266"/>
      <c r="AJ6" s="337"/>
      <c r="AL6" s="337"/>
      <c r="AN6" s="337"/>
    </row>
    <row r="7" spans="1:42" ht="13.5" customHeight="1" x14ac:dyDescent="0.3">
      <c r="A7" s="267"/>
      <c r="B7" s="268"/>
      <c r="C7" s="269"/>
      <c r="D7" s="270"/>
      <c r="E7" s="271" t="s">
        <v>142</v>
      </c>
      <c r="F7" s="272"/>
      <c r="G7" s="152"/>
      <c r="H7" s="152"/>
      <c r="I7" s="160"/>
      <c r="J7" s="160"/>
      <c r="K7" s="160"/>
      <c r="L7" s="160"/>
      <c r="M7" s="160"/>
      <c r="N7" s="160"/>
      <c r="O7" s="161"/>
      <c r="P7" s="162"/>
      <c r="Q7" s="163"/>
      <c r="R7" s="160"/>
      <c r="S7" s="160"/>
      <c r="T7" s="160"/>
      <c r="U7" s="160"/>
      <c r="V7" s="160"/>
      <c r="W7" s="164"/>
      <c r="Y7" s="265" t="s">
        <v>143</v>
      </c>
      <c r="Z7" s="159">
        <f>SUMIF(집계표!P3:P24,"g",집계표!M3:M24)</f>
        <v>0</v>
      </c>
      <c r="AA7" s="151"/>
      <c r="AC7" s="265" t="s">
        <v>99</v>
      </c>
      <c r="AD7" s="266"/>
      <c r="AJ7" s="337"/>
      <c r="AL7" s="337"/>
      <c r="AN7" s="337"/>
    </row>
    <row r="8" spans="1:42" ht="13.5" customHeight="1" thickBot="1" x14ac:dyDescent="0.35">
      <c r="A8" s="267"/>
      <c r="B8" s="268"/>
      <c r="C8" s="273"/>
      <c r="D8" s="274"/>
      <c r="E8" s="275" t="s">
        <v>144</v>
      </c>
      <c r="F8" s="276"/>
      <c r="G8" s="165">
        <f>SUM(G5:G7)</f>
        <v>0</v>
      </c>
      <c r="H8" s="166"/>
      <c r="I8" s="167"/>
      <c r="J8" s="167"/>
      <c r="K8" s="167"/>
      <c r="L8" s="167"/>
      <c r="M8" s="167"/>
      <c r="N8" s="167"/>
      <c r="O8" s="168"/>
      <c r="P8" s="169"/>
      <c r="Q8" s="170"/>
      <c r="R8" s="167"/>
      <c r="S8" s="167"/>
      <c r="T8" s="167"/>
      <c r="U8" s="167"/>
      <c r="V8" s="167"/>
      <c r="W8" s="171"/>
      <c r="Y8" s="277" t="s">
        <v>145</v>
      </c>
      <c r="Z8" s="172"/>
      <c r="AA8" s="151"/>
      <c r="AC8" s="277" t="s">
        <v>100</v>
      </c>
      <c r="AD8" s="278"/>
      <c r="AE8" s="279"/>
      <c r="AF8" s="280"/>
      <c r="AJ8" s="337"/>
      <c r="AL8" s="337"/>
      <c r="AN8" s="337"/>
    </row>
    <row r="9" spans="1:42" ht="13.5" customHeight="1" thickBot="1" x14ac:dyDescent="0.35">
      <c r="A9" s="267"/>
      <c r="B9" s="268"/>
      <c r="C9" s="261" t="s">
        <v>139</v>
      </c>
      <c r="D9" s="262"/>
      <c r="E9" s="263" t="s">
        <v>146</v>
      </c>
      <c r="F9" s="264"/>
      <c r="G9" s="152">
        <f>집계표!H27</f>
        <v>0</v>
      </c>
      <c r="H9" s="153"/>
      <c r="I9" s="154"/>
      <c r="J9" s="154"/>
      <c r="K9" s="154"/>
      <c r="L9" s="154"/>
      <c r="M9" s="154"/>
      <c r="N9" s="154"/>
      <c r="O9" s="155"/>
      <c r="P9" s="156"/>
      <c r="Q9" s="157"/>
      <c r="R9" s="154"/>
      <c r="S9" s="154"/>
      <c r="T9" s="154"/>
      <c r="U9" s="154"/>
      <c r="V9" s="154"/>
      <c r="W9" s="158"/>
      <c r="AJ9" s="337"/>
      <c r="AL9" s="337"/>
      <c r="AN9" s="337"/>
    </row>
    <row r="10" spans="1:42" ht="13.5" customHeight="1" x14ac:dyDescent="0.3">
      <c r="A10" s="267"/>
      <c r="B10" s="268"/>
      <c r="C10" s="269"/>
      <c r="D10" s="270"/>
      <c r="E10" s="271" t="s">
        <v>147</v>
      </c>
      <c r="F10" s="272"/>
      <c r="G10" s="152">
        <f>TRUNC(G9*AD5%)</f>
        <v>0</v>
      </c>
      <c r="H10" s="152" t="str">
        <f>IF(AD5="","","직접노무비 * "&amp;AD5&amp;"%")</f>
        <v/>
      </c>
      <c r="I10" s="160"/>
      <c r="J10" s="160"/>
      <c r="K10" s="160"/>
      <c r="L10" s="160"/>
      <c r="M10" s="160"/>
      <c r="N10" s="160"/>
      <c r="O10" s="161"/>
      <c r="P10" s="162"/>
      <c r="Q10" s="163" t="s">
        <v>148</v>
      </c>
      <c r="R10" s="160"/>
      <c r="S10" s="160"/>
      <c r="T10" s="160"/>
      <c r="U10" s="160"/>
      <c r="V10" s="160"/>
      <c r="W10" s="164"/>
      <c r="Y10" s="173" t="s">
        <v>149</v>
      </c>
      <c r="Z10" s="174"/>
      <c r="AA10" s="249"/>
      <c r="AB10" s="149"/>
      <c r="AC10" s="175" t="s">
        <v>150</v>
      </c>
      <c r="AD10" s="281">
        <f>SUM(G5,G9,G12)</f>
        <v>203613028</v>
      </c>
      <c r="AE10" s="176">
        <f>IF(AD10&lt;1000000000,40,(IF(AD10&lt;5000000000,50,300))) +IF(공사기간&lt;=6,6,IF(공사기간&lt;=12,12,36))</f>
        <v>46</v>
      </c>
      <c r="AJ10" s="337"/>
      <c r="AL10" s="337"/>
      <c r="AN10" s="337"/>
    </row>
    <row r="11" spans="1:42" ht="13.5" customHeight="1" x14ac:dyDescent="0.3">
      <c r="A11" s="267"/>
      <c r="B11" s="268"/>
      <c r="C11" s="273"/>
      <c r="D11" s="274"/>
      <c r="E11" s="275" t="s">
        <v>144</v>
      </c>
      <c r="F11" s="276"/>
      <c r="G11" s="165">
        <f>SUM(G9:G10)</f>
        <v>0</v>
      </c>
      <c r="H11" s="166"/>
      <c r="I11" s="167"/>
      <c r="J11" s="167"/>
      <c r="K11" s="167"/>
      <c r="L11" s="167"/>
      <c r="M11" s="167"/>
      <c r="N11" s="167"/>
      <c r="O11" s="168"/>
      <c r="P11" s="169"/>
      <c r="Q11" s="170"/>
      <c r="R11" s="167"/>
      <c r="S11" s="167"/>
      <c r="T11" s="167"/>
      <c r="U11" s="167"/>
      <c r="V11" s="167"/>
      <c r="W11" s="171"/>
      <c r="Y11" s="282" t="s">
        <v>151</v>
      </c>
      <c r="Z11" s="283" t="s">
        <v>152</v>
      </c>
      <c r="AA11" s="249"/>
      <c r="AC11" s="177" t="s">
        <v>153</v>
      </c>
      <c r="AD11" s="178">
        <f>공급가</f>
        <v>203613028</v>
      </c>
      <c r="AE11" s="176">
        <f>IF(AD11&gt;=10000000000,5,  IF(AD11&gt;=5000000000,4,  IF(AD11&gt;=3000000000,3,  IF(AD11&gt;=500000000,2,  1))))+IF(공사기간&lt;=6,6,IF(공사기간&lt;=12,12,36))</f>
        <v>7</v>
      </c>
      <c r="AG11" s="279"/>
      <c r="AJ11" s="337"/>
      <c r="AL11" s="337"/>
      <c r="AN11" s="337"/>
    </row>
    <row r="12" spans="1:42" ht="13.5" customHeight="1" x14ac:dyDescent="0.3">
      <c r="A12" s="267"/>
      <c r="B12" s="268"/>
      <c r="C12" s="259" t="s">
        <v>154</v>
      </c>
      <c r="D12" s="270"/>
      <c r="E12" s="271" t="s">
        <v>155</v>
      </c>
      <c r="F12" s="272"/>
      <c r="G12" s="152">
        <f>집계표!J27</f>
        <v>203613028</v>
      </c>
      <c r="H12" s="152"/>
      <c r="I12" s="160"/>
      <c r="J12" s="160"/>
      <c r="K12" s="160"/>
      <c r="L12" s="160"/>
      <c r="M12" s="160"/>
      <c r="N12" s="160"/>
      <c r="O12" s="161"/>
      <c r="P12" s="162"/>
      <c r="Q12" s="163"/>
      <c r="R12" s="160"/>
      <c r="S12" s="160"/>
      <c r="T12" s="160"/>
      <c r="U12" s="160"/>
      <c r="V12" s="160"/>
      <c r="W12" s="164"/>
      <c r="Y12" s="265" t="s">
        <v>96</v>
      </c>
      <c r="Z12" s="284"/>
      <c r="AB12" s="149"/>
      <c r="AC12" s="179" t="s">
        <v>156</v>
      </c>
      <c r="AD12" s="285">
        <f>SUM(G34,G36)</f>
        <v>223974000</v>
      </c>
      <c r="AE12" s="149"/>
      <c r="AI12" s="248"/>
      <c r="AK12" s="248"/>
    </row>
    <row r="13" spans="1:42" ht="13.5" customHeight="1" thickBot="1" x14ac:dyDescent="0.35">
      <c r="A13" s="267"/>
      <c r="B13" s="268"/>
      <c r="C13" s="267"/>
      <c r="D13" s="270"/>
      <c r="E13" s="286" t="s">
        <v>157</v>
      </c>
      <c r="F13" s="272"/>
      <c r="G13" s="152">
        <f>TRUNC(G11*Z12%)</f>
        <v>0</v>
      </c>
      <c r="H13" s="152" t="str">
        <f>IF(Z12="","","노무비 * "&amp;Z12&amp;"%")</f>
        <v/>
      </c>
      <c r="I13" s="160"/>
      <c r="J13" s="160"/>
      <c r="K13" s="160"/>
      <c r="L13" s="160"/>
      <c r="M13" s="160"/>
      <c r="N13" s="160"/>
      <c r="O13" s="161"/>
      <c r="P13" s="162"/>
      <c r="Q13" s="163" t="s">
        <v>158</v>
      </c>
      <c r="R13" s="160"/>
      <c r="S13" s="160"/>
      <c r="T13" s="160"/>
      <c r="U13" s="160"/>
      <c r="V13" s="160"/>
      <c r="W13" s="164"/>
      <c r="Y13" s="265" t="s">
        <v>97</v>
      </c>
      <c r="Z13" s="284"/>
      <c r="AC13" s="180" t="s">
        <v>159</v>
      </c>
      <c r="AD13" s="181">
        <f>재료비소계+G9+도급자관급</f>
        <v>0</v>
      </c>
      <c r="AE13" s="149"/>
      <c r="AI13" s="248"/>
      <c r="AK13" s="248"/>
    </row>
    <row r="14" spans="1:42" ht="13.5" customHeight="1" x14ac:dyDescent="0.3">
      <c r="A14" s="267"/>
      <c r="B14" s="268"/>
      <c r="C14" s="267"/>
      <c r="D14" s="270"/>
      <c r="E14" s="271" t="s">
        <v>160</v>
      </c>
      <c r="F14" s="272"/>
      <c r="G14" s="152">
        <f>TRUNC(G11*Z13%)</f>
        <v>0</v>
      </c>
      <c r="H14" s="152" t="str">
        <f>IF(Z13="","","노무비 * "&amp;Z13&amp;"%")</f>
        <v/>
      </c>
      <c r="I14" s="160"/>
      <c r="J14" s="160"/>
      <c r="K14" s="160"/>
      <c r="L14" s="160"/>
      <c r="M14" s="160"/>
      <c r="N14" s="160"/>
      <c r="O14" s="161"/>
      <c r="P14" s="162"/>
      <c r="Q14" s="163" t="s">
        <v>161</v>
      </c>
      <c r="R14" s="160"/>
      <c r="S14" s="160"/>
      <c r="T14" s="160"/>
      <c r="U14" s="160"/>
      <c r="V14" s="160"/>
      <c r="W14" s="164"/>
      <c r="Y14" s="287" t="s">
        <v>162</v>
      </c>
      <c r="Z14" s="288"/>
      <c r="AB14" s="149"/>
      <c r="AC14" s="182" t="s">
        <v>163</v>
      </c>
      <c r="AD14" s="183"/>
      <c r="AE14" s="184">
        <f>TRUNC(공사기간/12,2)</f>
        <v>0</v>
      </c>
      <c r="AI14" s="248"/>
      <c r="AK14" s="248"/>
    </row>
    <row r="15" spans="1:42" ht="13.5" customHeight="1" thickBot="1" x14ac:dyDescent="0.35">
      <c r="A15" s="267"/>
      <c r="B15" s="268"/>
      <c r="C15" s="267"/>
      <c r="D15" s="270"/>
      <c r="E15" s="271" t="s">
        <v>164</v>
      </c>
      <c r="F15" s="272"/>
      <c r="G15" s="152">
        <f>TRUNC(G9*Z14%)</f>
        <v>0</v>
      </c>
      <c r="H15" s="152" t="str">
        <f>IF(Z14="","","직접노무비 * "&amp;Z14&amp;"%")</f>
        <v/>
      </c>
      <c r="I15" s="160"/>
      <c r="J15" s="160"/>
      <c r="K15" s="160"/>
      <c r="L15" s="160"/>
      <c r="M15" s="160"/>
      <c r="N15" s="160"/>
      <c r="O15" s="161"/>
      <c r="P15" s="162"/>
      <c r="Q15" s="163" t="s">
        <v>165</v>
      </c>
      <c r="R15" s="160"/>
      <c r="S15" s="160"/>
      <c r="T15" s="160"/>
      <c r="U15" s="160"/>
      <c r="V15" s="160"/>
      <c r="W15" s="164"/>
      <c r="Y15" s="287" t="s">
        <v>166</v>
      </c>
      <c r="Z15" s="288"/>
      <c r="AC15" s="185" t="s">
        <v>167</v>
      </c>
      <c r="AD15" s="186"/>
      <c r="AI15" s="248"/>
      <c r="AK15" s="248"/>
    </row>
    <row r="16" spans="1:42" ht="13.5" customHeight="1" thickBot="1" x14ac:dyDescent="0.35">
      <c r="A16" s="267"/>
      <c r="B16" s="268"/>
      <c r="C16" s="267"/>
      <c r="D16" s="270"/>
      <c r="E16" s="271" t="s">
        <v>168</v>
      </c>
      <c r="F16" s="272"/>
      <c r="G16" s="152">
        <f>TRUNC(G9*Z15%)</f>
        <v>0</v>
      </c>
      <c r="H16" s="152" t="str">
        <f>IF(Z15="","","직접노무비 * "&amp;Z15&amp;"%")</f>
        <v/>
      </c>
      <c r="I16" s="160"/>
      <c r="J16" s="160"/>
      <c r="K16" s="160"/>
      <c r="L16" s="160"/>
      <c r="M16" s="160"/>
      <c r="N16" s="160"/>
      <c r="O16" s="161"/>
      <c r="P16" s="162"/>
      <c r="Q16" s="163" t="s">
        <v>165</v>
      </c>
      <c r="R16" s="160"/>
      <c r="S16" s="160"/>
      <c r="T16" s="160"/>
      <c r="U16" s="160"/>
      <c r="V16" s="160"/>
      <c r="W16" s="164"/>
      <c r="Y16" s="287" t="s">
        <v>169</v>
      </c>
      <c r="Z16" s="288"/>
      <c r="AI16" s="248"/>
      <c r="AK16" s="248"/>
    </row>
    <row r="17" spans="1:39" ht="13.5" customHeight="1" thickBot="1" x14ac:dyDescent="0.35">
      <c r="A17" s="267"/>
      <c r="B17" s="268"/>
      <c r="C17" s="267"/>
      <c r="D17" s="270"/>
      <c r="E17" s="271" t="s">
        <v>170</v>
      </c>
      <c r="F17" s="272"/>
      <c r="G17" s="152">
        <f>TRUNC(G15*Z16%)</f>
        <v>0</v>
      </c>
      <c r="H17" s="152" t="str">
        <f>IF(Z16="","","건강보험료 * "&amp;Z16&amp;"%")</f>
        <v/>
      </c>
      <c r="I17" s="160"/>
      <c r="J17" s="160"/>
      <c r="K17" s="160"/>
      <c r="L17" s="160"/>
      <c r="M17" s="160"/>
      <c r="N17" s="160"/>
      <c r="O17" s="161"/>
      <c r="P17" s="162"/>
      <c r="Q17" s="163" t="s">
        <v>165</v>
      </c>
      <c r="R17" s="160"/>
      <c r="S17" s="160"/>
      <c r="T17" s="160"/>
      <c r="U17" s="160"/>
      <c r="V17" s="160"/>
      <c r="W17" s="164"/>
      <c r="Y17" s="289" t="s">
        <v>171</v>
      </c>
      <c r="Z17" s="284"/>
      <c r="AB17" s="149"/>
      <c r="AC17" s="187" t="s">
        <v>172</v>
      </c>
      <c r="AD17" s="188" t="s">
        <v>173</v>
      </c>
      <c r="AE17" s="188" t="s">
        <v>95</v>
      </c>
      <c r="AF17" s="189" t="s">
        <v>174</v>
      </c>
      <c r="AG17" s="249"/>
      <c r="AI17" s="248"/>
      <c r="AK17" s="248"/>
      <c r="AM17" s="248"/>
    </row>
    <row r="18" spans="1:39" ht="13.5" customHeight="1" x14ac:dyDescent="0.3">
      <c r="A18" s="267"/>
      <c r="B18" s="268"/>
      <c r="C18" s="267"/>
      <c r="D18" s="270"/>
      <c r="E18" s="271" t="s">
        <v>175</v>
      </c>
      <c r="F18" s="272"/>
      <c r="G18" s="152">
        <f>TRUNC(G9*Z17%)</f>
        <v>0</v>
      </c>
      <c r="H18" s="152" t="str">
        <f>IF(Z17="","","직접노무비 * "&amp;Z17&amp;"%")</f>
        <v/>
      </c>
      <c r="I18" s="160"/>
      <c r="J18" s="160"/>
      <c r="K18" s="160"/>
      <c r="L18" s="160"/>
      <c r="M18" s="160"/>
      <c r="N18" s="160"/>
      <c r="O18" s="161"/>
      <c r="P18" s="162"/>
      <c r="Q18" s="163" t="s">
        <v>176</v>
      </c>
      <c r="R18" s="160"/>
      <c r="S18" s="160"/>
      <c r="T18" s="160"/>
      <c r="U18" s="160"/>
      <c r="V18" s="160"/>
      <c r="W18" s="164"/>
      <c r="Y18" s="265" t="s">
        <v>177</v>
      </c>
      <c r="Z18" s="284"/>
      <c r="AB18" s="248">
        <v>46</v>
      </c>
      <c r="AC18" s="257" t="s">
        <v>178</v>
      </c>
      <c r="AD18" s="290">
        <v>6</v>
      </c>
      <c r="AE18" s="290">
        <v>15</v>
      </c>
      <c r="AF18" s="258">
        <v>4.5999999999999996</v>
      </c>
      <c r="AG18" s="249"/>
      <c r="AI18" s="248"/>
      <c r="AK18" s="248"/>
      <c r="AM18" s="248"/>
    </row>
    <row r="19" spans="1:39" ht="13.5" customHeight="1" x14ac:dyDescent="0.3">
      <c r="A19" s="267"/>
      <c r="B19" s="268"/>
      <c r="C19" s="267"/>
      <c r="D19" s="291"/>
      <c r="E19" s="292" t="s">
        <v>177</v>
      </c>
      <c r="F19" s="293"/>
      <c r="G19" s="190">
        <f>MIN(G20:G21)</f>
        <v>0</v>
      </c>
      <c r="H19" s="190" t="str">
        <f>IF(G19=G20,H20,H21)</f>
        <v/>
      </c>
      <c r="I19" s="191"/>
      <c r="J19" s="191"/>
      <c r="K19" s="191"/>
      <c r="L19" s="191"/>
      <c r="M19" s="191"/>
      <c r="N19" s="191"/>
      <c r="O19" s="192"/>
      <c r="P19" s="193"/>
      <c r="Q19" s="194"/>
      <c r="R19" s="195"/>
      <c r="S19" s="195"/>
      <c r="T19" s="195"/>
      <c r="U19" s="191"/>
      <c r="V19" s="191"/>
      <c r="W19" s="196"/>
      <c r="Y19" s="265" t="s">
        <v>174</v>
      </c>
      <c r="Z19" s="284"/>
      <c r="AB19" s="248">
        <v>52</v>
      </c>
      <c r="AC19" s="282" t="s">
        <v>178</v>
      </c>
      <c r="AD19" s="294">
        <v>12</v>
      </c>
      <c r="AE19" s="294">
        <v>15.2</v>
      </c>
      <c r="AF19" s="283">
        <v>4.7</v>
      </c>
      <c r="AG19" s="249"/>
      <c r="AH19" s="197"/>
      <c r="AI19" s="248"/>
      <c r="AK19" s="248"/>
      <c r="AM19" s="248"/>
    </row>
    <row r="20" spans="1:39" ht="13.5" customHeight="1" thickBot="1" x14ac:dyDescent="0.35">
      <c r="A20" s="267"/>
      <c r="B20" s="268"/>
      <c r="C20" s="267"/>
      <c r="D20" s="295"/>
      <c r="E20" s="198" t="s">
        <v>179</v>
      </c>
      <c r="F20" s="199"/>
      <c r="G20" s="200">
        <f>TRUNC((G8+G9+도급자관급/1.1054)*Z18%)</f>
        <v>0</v>
      </c>
      <c r="H20" s="200" t="str">
        <f>IF(Z18="","","(재료비+직노+관급자재비/1.1054) * "&amp;Z18&amp;"%")</f>
        <v/>
      </c>
      <c r="I20" s="201"/>
      <c r="J20" s="201"/>
      <c r="K20" s="201"/>
      <c r="L20" s="201"/>
      <c r="M20" s="201"/>
      <c r="N20" s="201"/>
      <c r="O20" s="202"/>
      <c r="P20" s="203"/>
      <c r="Q20" s="204" t="str">
        <f>IF(Z18="","",IF(G19=G20,"←최소값적용",""))</f>
        <v/>
      </c>
      <c r="R20" s="205"/>
      <c r="S20" s="205"/>
      <c r="T20" s="205"/>
      <c r="U20" s="205"/>
      <c r="V20" s="205"/>
      <c r="W20" s="206"/>
      <c r="X20" s="149">
        <f>도급+도급자관급</f>
        <v>223974000</v>
      </c>
      <c r="Y20" s="296" t="s">
        <v>180</v>
      </c>
      <c r="Z20" s="297"/>
      <c r="AA20" s="207">
        <v>0.3</v>
      </c>
      <c r="AB20" s="248">
        <v>76</v>
      </c>
      <c r="AC20" s="298" t="s">
        <v>178</v>
      </c>
      <c r="AD20" s="299">
        <v>36</v>
      </c>
      <c r="AE20" s="299">
        <v>15.4</v>
      </c>
      <c r="AF20" s="300">
        <v>5</v>
      </c>
      <c r="AG20" s="249"/>
      <c r="AI20" s="248"/>
      <c r="AK20" s="248"/>
      <c r="AM20" s="248"/>
    </row>
    <row r="21" spans="1:39" ht="13.5" customHeight="1" x14ac:dyDescent="0.3">
      <c r="A21" s="267"/>
      <c r="B21" s="268"/>
      <c r="C21" s="267"/>
      <c r="D21" s="301"/>
      <c r="E21" s="208" t="s">
        <v>179</v>
      </c>
      <c r="F21" s="209"/>
      <c r="G21" s="210">
        <f>TRUNC((G8+G9)*Z18%*1.2)</f>
        <v>0</v>
      </c>
      <c r="H21" s="210" t="str">
        <f>IF(Z18="","","(재료비+직노) * "&amp;Z18&amp;"% * 1.2 ")</f>
        <v/>
      </c>
      <c r="I21" s="211"/>
      <c r="J21" s="211"/>
      <c r="K21" s="211"/>
      <c r="L21" s="211"/>
      <c r="M21" s="211"/>
      <c r="N21" s="211"/>
      <c r="O21" s="212"/>
      <c r="P21" s="213"/>
      <c r="Q21" s="214" t="str">
        <f>IF(Z18="","",IF(G19=G21,"←최소값적용",""))</f>
        <v/>
      </c>
      <c r="R21" s="215"/>
      <c r="S21" s="215"/>
      <c r="T21" s="215"/>
      <c r="U21" s="215"/>
      <c r="V21" s="215"/>
      <c r="W21" s="216"/>
      <c r="Y21" s="265" t="s">
        <v>181</v>
      </c>
      <c r="Z21" s="284"/>
      <c r="AB21" s="248">
        <v>56</v>
      </c>
      <c r="AC21" s="302" t="s">
        <v>182</v>
      </c>
      <c r="AD21" s="303">
        <v>6</v>
      </c>
      <c r="AE21" s="303">
        <v>14.7</v>
      </c>
      <c r="AF21" s="304">
        <v>4.7</v>
      </c>
      <c r="AG21" s="249"/>
      <c r="AI21" s="248"/>
      <c r="AK21" s="248"/>
      <c r="AM21" s="248"/>
    </row>
    <row r="22" spans="1:39" ht="13.5" customHeight="1" x14ac:dyDescent="0.3">
      <c r="A22" s="267"/>
      <c r="B22" s="268"/>
      <c r="C22" s="267"/>
      <c r="D22" s="270"/>
      <c r="E22" s="271" t="s">
        <v>183</v>
      </c>
      <c r="F22" s="272"/>
      <c r="G22" s="152" t="str">
        <f>IF(AE14&lt;1,"",TRUNC((재료비소계+G9)*Z22%))</f>
        <v/>
      </c>
      <c r="H22" s="152" t="str">
        <f>IF(AE14&lt;1,"","(재료비+직노) * "&amp;Z22&amp;"%")</f>
        <v/>
      </c>
      <c r="I22" s="160"/>
      <c r="J22" s="160"/>
      <c r="K22" s="160"/>
      <c r="L22" s="160"/>
      <c r="M22" s="160"/>
      <c r="N22" s="160"/>
      <c r="O22" s="161"/>
      <c r="P22" s="162"/>
      <c r="Q22" s="163"/>
      <c r="R22" s="160"/>
      <c r="S22" s="160"/>
      <c r="T22" s="160"/>
      <c r="U22" s="160"/>
      <c r="V22" s="160"/>
      <c r="W22" s="164"/>
      <c r="Y22" s="289" t="s">
        <v>184</v>
      </c>
      <c r="Z22" s="284"/>
      <c r="AB22" s="248">
        <v>62</v>
      </c>
      <c r="AC22" s="282" t="s">
        <v>182</v>
      </c>
      <c r="AD22" s="294">
        <v>12</v>
      </c>
      <c r="AE22" s="294">
        <v>14.9</v>
      </c>
      <c r="AF22" s="283">
        <v>4.8</v>
      </c>
      <c r="AG22" s="249"/>
      <c r="AI22" s="248"/>
      <c r="AK22" s="248"/>
      <c r="AM22" s="248"/>
    </row>
    <row r="23" spans="1:39" ht="13.5" customHeight="1" thickBot="1" x14ac:dyDescent="0.35">
      <c r="A23" s="267"/>
      <c r="B23" s="268"/>
      <c r="C23" s="267"/>
      <c r="D23" s="270"/>
      <c r="E23" s="271" t="s">
        <v>174</v>
      </c>
      <c r="F23" s="272"/>
      <c r="G23" s="152">
        <f>TRUNC((G8+G11)*AD6%)</f>
        <v>0</v>
      </c>
      <c r="H23" s="152" t="str">
        <f>IF(AD6="","","(재료비+노무비) * "&amp;AD6&amp;"%")</f>
        <v/>
      </c>
      <c r="I23" s="160"/>
      <c r="J23" s="160"/>
      <c r="K23" s="160"/>
      <c r="L23" s="160"/>
      <c r="M23" s="160"/>
      <c r="N23" s="160"/>
      <c r="O23" s="161"/>
      <c r="P23" s="162"/>
      <c r="Q23" s="163" t="s">
        <v>148</v>
      </c>
      <c r="R23" s="160"/>
      <c r="S23" s="160"/>
      <c r="T23" s="160"/>
      <c r="U23" s="160"/>
      <c r="V23" s="160"/>
      <c r="W23" s="164"/>
      <c r="Y23" s="305" t="s">
        <v>185</v>
      </c>
      <c r="Z23" s="306"/>
      <c r="AB23" s="248">
        <v>86</v>
      </c>
      <c r="AC23" s="307" t="s">
        <v>182</v>
      </c>
      <c r="AD23" s="308">
        <v>36</v>
      </c>
      <c r="AE23" s="308">
        <v>15.1</v>
      </c>
      <c r="AF23" s="309">
        <v>5.0999999999999996</v>
      </c>
      <c r="AI23" s="248"/>
      <c r="AK23" s="248"/>
      <c r="AM23" s="248"/>
    </row>
    <row r="24" spans="1:39" ht="13.5" customHeight="1" thickBot="1" x14ac:dyDescent="0.35">
      <c r="A24" s="267"/>
      <c r="B24" s="268"/>
      <c r="C24" s="267"/>
      <c r="D24" s="270"/>
      <c r="E24" s="271" t="s">
        <v>180</v>
      </c>
      <c r="F24" s="272"/>
      <c r="G24" s="152">
        <f>TRUNC((G8+G9+G12)*Z20%)</f>
        <v>0</v>
      </c>
      <c r="H24" s="152" t="str">
        <f>IF(Z20="","","(재료비+직노+기계경비) * "&amp;Z20&amp;"%")</f>
        <v/>
      </c>
      <c r="I24" s="160"/>
      <c r="J24" s="160"/>
      <c r="K24" s="160"/>
      <c r="L24" s="160"/>
      <c r="M24" s="160"/>
      <c r="N24" s="160"/>
      <c r="O24" s="161"/>
      <c r="P24" s="162"/>
      <c r="Q24" s="163"/>
      <c r="R24" s="160"/>
      <c r="S24" s="160"/>
      <c r="T24" s="160"/>
      <c r="U24" s="160"/>
      <c r="V24" s="160"/>
      <c r="W24" s="164"/>
      <c r="Z24" s="217"/>
      <c r="AB24" s="248">
        <v>306</v>
      </c>
      <c r="AC24" s="257" t="s">
        <v>186</v>
      </c>
      <c r="AD24" s="290">
        <v>6</v>
      </c>
      <c r="AE24" s="290">
        <v>14.8</v>
      </c>
      <c r="AF24" s="258">
        <v>5.0999999999999996</v>
      </c>
      <c r="AG24" s="249"/>
      <c r="AI24" s="248"/>
      <c r="AK24" s="248"/>
    </row>
    <row r="25" spans="1:39" ht="13.5" customHeight="1" thickBot="1" x14ac:dyDescent="0.35">
      <c r="A25" s="267"/>
      <c r="B25" s="268"/>
      <c r="C25" s="267"/>
      <c r="D25" s="270"/>
      <c r="E25" s="286" t="s">
        <v>187</v>
      </c>
      <c r="F25" s="272"/>
      <c r="G25" s="152">
        <f>TRUNC((G8+G9+G12)*Z21%)</f>
        <v>0</v>
      </c>
      <c r="H25" s="152" t="str">
        <f>IF(Z21=0,"","(재료비+직노+기계경비) * "&amp;Z21&amp;"%")</f>
        <v/>
      </c>
      <c r="I25" s="160"/>
      <c r="J25" s="160"/>
      <c r="K25" s="160"/>
      <c r="L25" s="160"/>
      <c r="M25" s="160"/>
      <c r="N25" s="160"/>
      <c r="O25" s="161"/>
      <c r="P25" s="162"/>
      <c r="Q25" s="163" t="s">
        <v>188</v>
      </c>
      <c r="R25" s="160"/>
      <c r="S25" s="160"/>
      <c r="T25" s="160"/>
      <c r="U25" s="160"/>
      <c r="V25" s="160"/>
      <c r="W25" s="164"/>
      <c r="Y25" s="338" t="s">
        <v>189</v>
      </c>
      <c r="Z25" s="218">
        <f>공급가/SUM(G5,G9,G12)-1</f>
        <v>0</v>
      </c>
      <c r="AA25" s="217"/>
      <c r="AB25" s="248">
        <v>312</v>
      </c>
      <c r="AC25" s="282" t="s">
        <v>186</v>
      </c>
      <c r="AD25" s="294">
        <v>12</v>
      </c>
      <c r="AE25" s="294">
        <v>15</v>
      </c>
      <c r="AF25" s="283">
        <v>5.2</v>
      </c>
      <c r="AG25" s="249"/>
      <c r="AI25" s="248"/>
      <c r="AK25" s="248"/>
      <c r="AM25" s="248"/>
    </row>
    <row r="26" spans="1:39" ht="23.25" thickBot="1" x14ac:dyDescent="0.35">
      <c r="A26" s="267"/>
      <c r="B26" s="268"/>
      <c r="C26" s="267"/>
      <c r="D26" s="270"/>
      <c r="E26" s="286" t="s">
        <v>190</v>
      </c>
      <c r="F26" s="272"/>
      <c r="G26" s="152">
        <f>TRUNC((G8+G9+G12)*Z23%)</f>
        <v>0</v>
      </c>
      <c r="H26" s="152" t="str">
        <f>IF(Z23=0,"","(재료비+직노+기계경비) * "&amp;Z23&amp;"%")</f>
        <v/>
      </c>
      <c r="I26" s="160"/>
      <c r="J26" s="160"/>
      <c r="K26" s="160"/>
      <c r="L26" s="160"/>
      <c r="M26" s="160"/>
      <c r="N26" s="160"/>
      <c r="O26" s="161"/>
      <c r="P26" s="162"/>
      <c r="Q26" s="163"/>
      <c r="R26" s="160"/>
      <c r="S26" s="160"/>
      <c r="T26" s="160"/>
      <c r="U26" s="160"/>
      <c r="V26" s="160"/>
      <c r="W26" s="164"/>
      <c r="Z26" s="219"/>
      <c r="AA26" s="219"/>
      <c r="AB26" s="248">
        <v>336</v>
      </c>
      <c r="AC26" s="298" t="s">
        <v>186</v>
      </c>
      <c r="AD26" s="299">
        <v>36</v>
      </c>
      <c r="AE26" s="299">
        <v>15.2</v>
      </c>
      <c r="AF26" s="300">
        <v>5.5</v>
      </c>
      <c r="AG26" s="249"/>
      <c r="AI26" s="248"/>
      <c r="AK26" s="248"/>
      <c r="AM26" s="248"/>
    </row>
    <row r="27" spans="1:39" ht="13.5" customHeight="1" thickBot="1" x14ac:dyDescent="0.35">
      <c r="A27" s="267"/>
      <c r="B27" s="268"/>
      <c r="C27" s="267"/>
      <c r="D27" s="270"/>
      <c r="E27" s="286" t="s">
        <v>184</v>
      </c>
      <c r="F27" s="272"/>
      <c r="G27" s="220" t="str">
        <f>IF(AE14&lt;1,"",VLOOKUP((IF(AD10&gt;=50000000000,5,IF(AD10&gt;=25000000000,4,IF(AD10&gt;=12000000000,3,IF(AD10&gt;=7000000000,2,1))))),AB55:AG59,6,1))</f>
        <v/>
      </c>
      <c r="H27" s="152" t="str">
        <f>IF(AE14&lt;1,"",VLOOKUP((IF(AD10&gt;=50000000000,5,IF(AD10&gt;=25000000000,4,IF(AD10&gt;=12000000000,3,IF(AD10&gt;=7000000000,2,1))))),AB54:AG59,3,1))</f>
        <v/>
      </c>
      <c r="I27" s="160"/>
      <c r="J27" s="160"/>
      <c r="K27" s="160"/>
      <c r="L27" s="160"/>
      <c r="M27" s="160"/>
      <c r="N27" s="160"/>
      <c r="O27" s="161"/>
      <c r="P27" s="162"/>
      <c r="Q27" s="163" t="s">
        <v>148</v>
      </c>
      <c r="R27" s="160"/>
      <c r="S27" s="160"/>
      <c r="T27" s="160"/>
      <c r="U27" s="160"/>
      <c r="V27" s="160"/>
      <c r="W27" s="164"/>
      <c r="AA27" s="219"/>
      <c r="AG27" s="249"/>
      <c r="AM27" s="248"/>
    </row>
    <row r="28" spans="1:39" ht="13.5" customHeight="1" thickBot="1" x14ac:dyDescent="0.35">
      <c r="A28" s="310"/>
      <c r="B28" s="311"/>
      <c r="C28" s="310"/>
      <c r="D28" s="274"/>
      <c r="E28" s="275" t="s">
        <v>144</v>
      </c>
      <c r="F28" s="276"/>
      <c r="G28" s="165">
        <f>SUM(G12:G27)-G20-G21</f>
        <v>203613028</v>
      </c>
      <c r="H28" s="166"/>
      <c r="I28" s="167"/>
      <c r="J28" s="167"/>
      <c r="K28" s="167"/>
      <c r="L28" s="167"/>
      <c r="M28" s="167"/>
      <c r="N28" s="167"/>
      <c r="O28" s="168"/>
      <c r="P28" s="169"/>
      <c r="Q28" s="170"/>
      <c r="R28" s="167"/>
      <c r="S28" s="167"/>
      <c r="T28" s="167"/>
      <c r="U28" s="167"/>
      <c r="V28" s="167"/>
      <c r="W28" s="171"/>
      <c r="AC28" s="187" t="s">
        <v>191</v>
      </c>
      <c r="AD28" s="188" t="s">
        <v>173</v>
      </c>
      <c r="AE28" s="188" t="s">
        <v>192</v>
      </c>
      <c r="AF28" s="189" t="s">
        <v>100</v>
      </c>
      <c r="AG28" s="249"/>
      <c r="AM28" s="248"/>
    </row>
    <row r="29" spans="1:39" ht="13.5" customHeight="1" x14ac:dyDescent="0.3">
      <c r="A29" s="312" t="s">
        <v>193</v>
      </c>
      <c r="B29" s="313"/>
      <c r="C29" s="313"/>
      <c r="D29" s="313"/>
      <c r="E29" s="313"/>
      <c r="F29" s="314"/>
      <c r="G29" s="221">
        <f>SUM(G28,G11,G8)</f>
        <v>203613028</v>
      </c>
      <c r="H29" s="222"/>
      <c r="I29" s="223"/>
      <c r="J29" s="223"/>
      <c r="K29" s="223"/>
      <c r="L29" s="223"/>
      <c r="M29" s="223"/>
      <c r="N29" s="223"/>
      <c r="O29" s="224"/>
      <c r="P29" s="225"/>
      <c r="Q29" s="226"/>
      <c r="R29" s="223"/>
      <c r="S29" s="223"/>
      <c r="T29" s="223"/>
      <c r="U29" s="223"/>
      <c r="V29" s="223"/>
      <c r="W29" s="227"/>
      <c r="AB29" s="248">
        <v>7</v>
      </c>
      <c r="AC29" s="257" t="s">
        <v>194</v>
      </c>
      <c r="AD29" s="290">
        <v>6</v>
      </c>
      <c r="AE29" s="290">
        <v>8</v>
      </c>
      <c r="AF29" s="258">
        <v>15</v>
      </c>
      <c r="AG29" s="249"/>
      <c r="AM29" s="248"/>
    </row>
    <row r="30" spans="1:39" ht="13.5" customHeight="1" x14ac:dyDescent="0.3">
      <c r="A30" s="270"/>
      <c r="B30" s="315" t="s">
        <v>195</v>
      </c>
      <c r="C30" s="316"/>
      <c r="D30" s="316"/>
      <c r="E30" s="317"/>
      <c r="F30" s="272"/>
      <c r="G30" s="221">
        <f>TRUNC(G29*AD7%)</f>
        <v>0</v>
      </c>
      <c r="H30" s="153" t="str">
        <f>IF(AD7="","","계 * "&amp;AD7&amp;"%")</f>
        <v/>
      </c>
      <c r="I30" s="154"/>
      <c r="J30" s="154"/>
      <c r="K30" s="154"/>
      <c r="L30" s="154"/>
      <c r="M30" s="154"/>
      <c r="N30" s="154"/>
      <c r="O30" s="155"/>
      <c r="P30" s="156"/>
      <c r="Q30" s="157" t="s">
        <v>188</v>
      </c>
      <c r="R30" s="154"/>
      <c r="S30" s="154"/>
      <c r="T30" s="154"/>
      <c r="U30" s="154"/>
      <c r="V30" s="154"/>
      <c r="W30" s="158"/>
      <c r="AB30" s="248">
        <v>13</v>
      </c>
      <c r="AC30" s="282" t="s">
        <v>194</v>
      </c>
      <c r="AD30" s="294">
        <v>12</v>
      </c>
      <c r="AE30" s="294">
        <v>8</v>
      </c>
      <c r="AF30" s="283">
        <v>15</v>
      </c>
      <c r="AG30" s="249"/>
      <c r="AM30" s="248"/>
    </row>
    <row r="31" spans="1:39" ht="13.5" customHeight="1" thickBot="1" x14ac:dyDescent="0.35">
      <c r="A31" s="318"/>
      <c r="B31" s="319" t="s">
        <v>196</v>
      </c>
      <c r="C31" s="320"/>
      <c r="D31" s="320"/>
      <c r="E31" s="321"/>
      <c r="F31" s="322"/>
      <c r="G31" s="221">
        <f>TRUNC((G11+G28+G30)*AD8%)</f>
        <v>0</v>
      </c>
      <c r="H31" s="222" t="str">
        <f>IF(AD8="","","(노무비+경비+일반관리비) * "&amp;AD8&amp;"%")</f>
        <v/>
      </c>
      <c r="I31" s="223"/>
      <c r="J31" s="223"/>
      <c r="K31" s="223"/>
      <c r="L31" s="223"/>
      <c r="M31" s="223"/>
      <c r="N31" s="223"/>
      <c r="O31" s="224"/>
      <c r="P31" s="225"/>
      <c r="Q31" s="226" t="s">
        <v>188</v>
      </c>
      <c r="R31" s="223"/>
      <c r="S31" s="223"/>
      <c r="T31" s="223"/>
      <c r="U31" s="223"/>
      <c r="V31" s="223"/>
      <c r="W31" s="227"/>
      <c r="AB31" s="248">
        <v>37</v>
      </c>
      <c r="AC31" s="298" t="s">
        <v>194</v>
      </c>
      <c r="AD31" s="299">
        <v>36</v>
      </c>
      <c r="AE31" s="299">
        <v>8</v>
      </c>
      <c r="AF31" s="300">
        <v>15</v>
      </c>
      <c r="AM31" s="248"/>
    </row>
    <row r="32" spans="1:39" ht="13.5" customHeight="1" x14ac:dyDescent="0.3">
      <c r="A32" s="318"/>
      <c r="B32" s="319" t="s">
        <v>197</v>
      </c>
      <c r="C32" s="320"/>
      <c r="D32" s="320"/>
      <c r="E32" s="321"/>
      <c r="F32" s="228" t="s">
        <v>197</v>
      </c>
      <c r="G32" s="221">
        <f>SUM(G29:G31)</f>
        <v>203613028</v>
      </c>
      <c r="H32" s="222"/>
      <c r="I32" s="223"/>
      <c r="J32" s="223"/>
      <c r="K32" s="223"/>
      <c r="L32" s="223"/>
      <c r="M32" s="223"/>
      <c r="N32" s="223"/>
      <c r="O32" s="224"/>
      <c r="P32" s="225"/>
      <c r="Q32" s="226"/>
      <c r="R32" s="223"/>
      <c r="S32" s="223"/>
      <c r="T32" s="223"/>
      <c r="U32" s="223"/>
      <c r="V32" s="223"/>
      <c r="W32" s="227"/>
      <c r="AB32" s="248">
        <v>8</v>
      </c>
      <c r="AC32" s="257" t="s">
        <v>198</v>
      </c>
      <c r="AD32" s="290">
        <v>6</v>
      </c>
      <c r="AE32" s="290">
        <v>8</v>
      </c>
      <c r="AF32" s="258">
        <v>15</v>
      </c>
    </row>
    <row r="33" spans="1:32" ht="13.5" customHeight="1" x14ac:dyDescent="0.3">
      <c r="A33" s="318"/>
      <c r="B33" s="323" t="s">
        <v>199</v>
      </c>
      <c r="C33" s="323"/>
      <c r="D33" s="323"/>
      <c r="E33" s="323"/>
      <c r="F33" s="228" t="s">
        <v>199</v>
      </c>
      <c r="G33" s="221">
        <f>TRUNC(공급가*10%)</f>
        <v>20361302</v>
      </c>
      <c r="H33" s="222" t="s">
        <v>200</v>
      </c>
      <c r="I33" s="223"/>
      <c r="J33" s="223"/>
      <c r="K33" s="223"/>
      <c r="L33" s="223"/>
      <c r="M33" s="223"/>
      <c r="N33" s="223"/>
      <c r="O33" s="224"/>
      <c r="P33" s="225"/>
      <c r="Q33" s="222"/>
      <c r="R33" s="223"/>
      <c r="S33" s="223"/>
      <c r="T33" s="223"/>
      <c r="U33" s="223"/>
      <c r="V33" s="223"/>
      <c r="W33" s="227"/>
      <c r="AB33" s="248">
        <v>14</v>
      </c>
      <c r="AC33" s="282" t="s">
        <v>198</v>
      </c>
      <c r="AD33" s="294">
        <v>12</v>
      </c>
      <c r="AE33" s="294">
        <v>8</v>
      </c>
      <c r="AF33" s="283">
        <v>15</v>
      </c>
    </row>
    <row r="34" spans="1:32" ht="13.5" customHeight="1" thickBot="1" x14ac:dyDescent="0.35">
      <c r="A34" s="318"/>
      <c r="B34" s="319" t="s">
        <v>201</v>
      </c>
      <c r="C34" s="320"/>
      <c r="D34" s="320"/>
      <c r="E34" s="321"/>
      <c r="F34" s="228" t="s">
        <v>201</v>
      </c>
      <c r="G34" s="221">
        <f>ROUNDDOWN(TRUNC(SUM(G32:G33)),-3)</f>
        <v>223974000</v>
      </c>
      <c r="H34" s="222"/>
      <c r="I34" s="223"/>
      <c r="J34" s="223"/>
      <c r="K34" s="223"/>
      <c r="L34" s="223"/>
      <c r="M34" s="223"/>
      <c r="N34" s="223"/>
      <c r="O34" s="223"/>
      <c r="P34" s="225"/>
      <c r="Q34" s="222"/>
      <c r="R34" s="223"/>
      <c r="S34" s="223"/>
      <c r="T34" s="223"/>
      <c r="U34" s="223"/>
      <c r="V34" s="223"/>
      <c r="W34" s="227"/>
      <c r="AB34" s="248">
        <v>38</v>
      </c>
      <c r="AC34" s="298" t="s">
        <v>198</v>
      </c>
      <c r="AD34" s="299">
        <v>36</v>
      </c>
      <c r="AE34" s="299">
        <v>8</v>
      </c>
      <c r="AF34" s="300">
        <v>15</v>
      </c>
    </row>
    <row r="35" spans="1:32" ht="13.5" customHeight="1" x14ac:dyDescent="0.3">
      <c r="A35" s="262"/>
      <c r="B35" s="324" t="s">
        <v>202</v>
      </c>
      <c r="C35" s="323"/>
      <c r="D35" s="323"/>
      <c r="E35" s="323"/>
      <c r="F35" s="228" t="s">
        <v>202</v>
      </c>
      <c r="G35" s="221">
        <f>SUM(G36:G37)</f>
        <v>0</v>
      </c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5"/>
      <c r="T35" s="325"/>
      <c r="U35" s="325"/>
      <c r="V35" s="325"/>
      <c r="W35" s="325"/>
      <c r="AB35" s="248">
        <f>3+AD35</f>
        <v>9</v>
      </c>
      <c r="AC35" s="257" t="s">
        <v>203</v>
      </c>
      <c r="AD35" s="290">
        <v>6</v>
      </c>
      <c r="AE35" s="290">
        <v>8</v>
      </c>
      <c r="AF35" s="258">
        <v>15</v>
      </c>
    </row>
    <row r="36" spans="1:32" ht="13.5" customHeight="1" x14ac:dyDescent="0.3">
      <c r="A36" s="270"/>
      <c r="B36" s="326"/>
      <c r="C36" s="323" t="s">
        <v>204</v>
      </c>
      <c r="D36" s="323"/>
      <c r="E36" s="323"/>
      <c r="F36" s="228"/>
      <c r="G36" s="221"/>
      <c r="H36" s="339" t="s">
        <v>205</v>
      </c>
      <c r="I36" s="339"/>
      <c r="J36" s="339"/>
      <c r="K36" s="339"/>
      <c r="L36" s="339"/>
      <c r="M36" s="339"/>
      <c r="N36" s="339"/>
      <c r="O36" s="339"/>
      <c r="P36" s="339"/>
      <c r="Q36" s="325"/>
      <c r="R36" s="325"/>
      <c r="S36" s="325"/>
      <c r="T36" s="325"/>
      <c r="U36" s="325"/>
      <c r="V36" s="325"/>
      <c r="W36" s="325"/>
      <c r="AB36" s="248">
        <f>3+AD36</f>
        <v>15</v>
      </c>
      <c r="AC36" s="282" t="s">
        <v>203</v>
      </c>
      <c r="AD36" s="294">
        <v>12</v>
      </c>
      <c r="AE36" s="294">
        <v>8</v>
      </c>
      <c r="AF36" s="283">
        <v>15</v>
      </c>
    </row>
    <row r="37" spans="1:32" ht="13.5" customHeight="1" thickBot="1" x14ac:dyDescent="0.35">
      <c r="A37" s="274"/>
      <c r="B37" s="327"/>
      <c r="C37" s="323" t="s">
        <v>206</v>
      </c>
      <c r="D37" s="323"/>
      <c r="E37" s="323"/>
      <c r="F37" s="228"/>
      <c r="G37" s="221"/>
      <c r="H37" s="339" t="s">
        <v>207</v>
      </c>
      <c r="I37" s="339"/>
      <c r="J37" s="339"/>
      <c r="K37" s="339"/>
      <c r="L37" s="339"/>
      <c r="M37" s="339"/>
      <c r="N37" s="339"/>
      <c r="O37" s="339"/>
      <c r="P37" s="339"/>
      <c r="Q37" s="325"/>
      <c r="R37" s="325"/>
      <c r="S37" s="325"/>
      <c r="T37" s="325"/>
      <c r="U37" s="325"/>
      <c r="V37" s="325"/>
      <c r="W37" s="325"/>
      <c r="AB37" s="248">
        <f>3+AD37</f>
        <v>39</v>
      </c>
      <c r="AC37" s="298" t="s">
        <v>203</v>
      </c>
      <c r="AD37" s="299">
        <v>36</v>
      </c>
      <c r="AE37" s="299">
        <v>8</v>
      </c>
      <c r="AF37" s="300">
        <v>15</v>
      </c>
    </row>
    <row r="38" spans="1:32" ht="13.5" customHeight="1" x14ac:dyDescent="0.3">
      <c r="A38" s="274"/>
      <c r="B38" s="328" t="s">
        <v>121</v>
      </c>
      <c r="C38" s="323"/>
      <c r="D38" s="323"/>
      <c r="E38" s="323"/>
      <c r="F38" s="228" t="s">
        <v>121</v>
      </c>
      <c r="G38" s="221">
        <f>ROUNDDOWN(SUM(G34:G35),-3)</f>
        <v>223974000</v>
      </c>
      <c r="H38" s="229" t="s">
        <v>208</v>
      </c>
      <c r="I38" s="229"/>
      <c r="J38" s="229"/>
      <c r="K38" s="229"/>
      <c r="L38" s="229"/>
      <c r="M38" s="229"/>
      <c r="N38" s="229"/>
      <c r="O38" s="229"/>
      <c r="P38" s="229"/>
      <c r="Q38" s="325"/>
      <c r="R38" s="325"/>
      <c r="S38" s="325"/>
      <c r="T38" s="325"/>
      <c r="U38" s="325"/>
      <c r="V38" s="325"/>
      <c r="W38" s="325"/>
      <c r="AB38" s="248">
        <f>4+AD38</f>
        <v>10</v>
      </c>
      <c r="AC38" s="257" t="s">
        <v>209</v>
      </c>
      <c r="AD38" s="290">
        <v>6</v>
      </c>
      <c r="AE38" s="290">
        <v>6.5</v>
      </c>
      <c r="AF38" s="258">
        <v>12</v>
      </c>
    </row>
    <row r="39" spans="1:32" ht="13.5" customHeight="1" thickBot="1" x14ac:dyDescent="0.35">
      <c r="E39" s="271"/>
      <c r="F39" s="149"/>
      <c r="G39" s="160"/>
      <c r="H39" s="329"/>
      <c r="I39" s="329"/>
      <c r="J39" s="329"/>
      <c r="K39" s="329"/>
      <c r="L39" s="329"/>
      <c r="M39" s="329"/>
      <c r="N39" s="329"/>
      <c r="O39" s="329"/>
      <c r="P39" s="329"/>
      <c r="Q39" s="329"/>
      <c r="R39" s="329"/>
      <c r="S39" s="329"/>
      <c r="T39" s="329"/>
      <c r="U39" s="329"/>
      <c r="V39" s="329"/>
      <c r="W39" s="329"/>
      <c r="AB39" s="248">
        <f>4+AD39</f>
        <v>16</v>
      </c>
      <c r="AC39" s="282" t="s">
        <v>209</v>
      </c>
      <c r="AD39" s="294">
        <v>12</v>
      </c>
      <c r="AE39" s="294">
        <v>6.5</v>
      </c>
      <c r="AF39" s="283">
        <v>12</v>
      </c>
    </row>
    <row r="40" spans="1:32" ht="13.5" customHeight="1" thickBot="1" x14ac:dyDescent="0.35">
      <c r="E40" s="330" t="s">
        <v>210</v>
      </c>
      <c r="F40" s="331"/>
      <c r="G40" s="344">
        <v>1</v>
      </c>
      <c r="H40" s="329"/>
      <c r="I40" s="329"/>
      <c r="J40" s="329"/>
      <c r="K40" s="329"/>
      <c r="L40" s="249"/>
      <c r="M40" s="329"/>
      <c r="N40" s="329"/>
      <c r="O40" s="329"/>
      <c r="P40" s="329"/>
      <c r="Q40" s="329"/>
      <c r="R40" s="329"/>
      <c r="S40" s="329"/>
      <c r="T40" s="329"/>
      <c r="U40" s="329"/>
      <c r="V40" s="329"/>
      <c r="W40" s="329"/>
      <c r="AB40" s="248">
        <f>4+AD40</f>
        <v>40</v>
      </c>
      <c r="AC40" s="298" t="s">
        <v>209</v>
      </c>
      <c r="AD40" s="299">
        <v>36</v>
      </c>
      <c r="AE40" s="299">
        <v>6.5</v>
      </c>
      <c r="AF40" s="300">
        <v>12</v>
      </c>
    </row>
    <row r="41" spans="1:32" ht="13.5" customHeight="1" x14ac:dyDescent="0.3">
      <c r="H41" s="329"/>
      <c r="I41" s="329"/>
      <c r="J41" s="329"/>
      <c r="K41" s="329"/>
      <c r="L41" s="249"/>
      <c r="M41" s="329"/>
      <c r="N41" s="329"/>
      <c r="O41" s="329"/>
      <c r="P41" s="329"/>
      <c r="Q41" s="329"/>
      <c r="R41" s="329"/>
      <c r="S41" s="329"/>
      <c r="T41" s="329"/>
      <c r="U41" s="329"/>
      <c r="V41" s="329"/>
      <c r="W41" s="329"/>
      <c r="AB41" s="248">
        <f>5+AD41</f>
        <v>11</v>
      </c>
      <c r="AC41" s="302" t="s">
        <v>211</v>
      </c>
      <c r="AD41" s="303">
        <v>6</v>
      </c>
      <c r="AE41" s="303">
        <v>6.5</v>
      </c>
      <c r="AF41" s="304">
        <v>12</v>
      </c>
    </row>
    <row r="42" spans="1:32" ht="13.5" customHeight="1" x14ac:dyDescent="0.3">
      <c r="H42" s="329"/>
      <c r="I42" s="329"/>
      <c r="J42" s="329"/>
      <c r="K42" s="329"/>
      <c r="L42" s="249"/>
      <c r="M42" s="329"/>
      <c r="N42" s="329"/>
      <c r="O42" s="329"/>
      <c r="P42" s="329"/>
      <c r="Q42" s="329"/>
      <c r="R42" s="329"/>
      <c r="S42" s="329"/>
      <c r="T42" s="329"/>
      <c r="U42" s="329"/>
      <c r="V42" s="329"/>
      <c r="W42" s="329"/>
      <c r="AB42" s="248">
        <f>5+AD42</f>
        <v>17</v>
      </c>
      <c r="AC42" s="282" t="s">
        <v>211</v>
      </c>
      <c r="AD42" s="294">
        <v>12</v>
      </c>
      <c r="AE42" s="294">
        <v>6.5</v>
      </c>
      <c r="AF42" s="283">
        <v>12</v>
      </c>
    </row>
    <row r="43" spans="1:32" ht="13.5" customHeight="1" thickBot="1" x14ac:dyDescent="0.35">
      <c r="E43" s="332" t="s">
        <v>212</v>
      </c>
      <c r="G43" s="230">
        <f>'총괄표(세로)'!H26</f>
        <v>223974000</v>
      </c>
      <c r="H43" s="329"/>
      <c r="I43" s="329"/>
      <c r="J43" s="329"/>
      <c r="K43" s="329"/>
      <c r="L43" s="249"/>
      <c r="M43" s="329"/>
      <c r="N43" s="329"/>
      <c r="O43" s="329"/>
      <c r="P43" s="329"/>
      <c r="Q43" s="329"/>
      <c r="R43" s="329"/>
      <c r="S43" s="329"/>
      <c r="T43" s="329"/>
      <c r="U43" s="329"/>
      <c r="V43" s="329"/>
      <c r="W43" s="329"/>
      <c r="AB43" s="248">
        <f>5+AD43</f>
        <v>41</v>
      </c>
      <c r="AC43" s="298" t="s">
        <v>211</v>
      </c>
      <c r="AD43" s="299">
        <v>36</v>
      </c>
      <c r="AE43" s="299">
        <v>6.5</v>
      </c>
      <c r="AF43" s="300">
        <v>12</v>
      </c>
    </row>
    <row r="44" spans="1:32" ht="13.5" customHeight="1" x14ac:dyDescent="0.3">
      <c r="E44" s="332" t="s">
        <v>213</v>
      </c>
      <c r="G44" s="230"/>
      <c r="H44" s="329"/>
      <c r="I44" s="329"/>
      <c r="J44" s="329"/>
      <c r="K44" s="329"/>
      <c r="L44" s="249"/>
      <c r="M44" s="329"/>
      <c r="N44" s="329"/>
      <c r="O44" s="329"/>
      <c r="P44" s="329"/>
      <c r="Q44" s="329"/>
      <c r="R44" s="329"/>
      <c r="S44" s="329"/>
      <c r="T44" s="329"/>
      <c r="U44" s="329"/>
      <c r="V44" s="329"/>
      <c r="W44" s="329"/>
      <c r="AC44" s="249"/>
      <c r="AD44" s="249"/>
      <c r="AE44" s="249"/>
      <c r="AF44" s="249"/>
    </row>
    <row r="45" spans="1:32" ht="13.5" customHeight="1" thickBot="1" x14ac:dyDescent="0.35">
      <c r="E45" s="332" t="s">
        <v>214</v>
      </c>
      <c r="G45" s="230">
        <f>G43-G44</f>
        <v>223974000</v>
      </c>
      <c r="H45" s="329"/>
      <c r="I45" s="329"/>
      <c r="J45" s="329"/>
      <c r="K45" s="329"/>
      <c r="L45" s="329"/>
      <c r="M45" s="329"/>
      <c r="N45" s="329"/>
      <c r="O45" s="329"/>
      <c r="P45" s="329"/>
      <c r="Q45" s="329"/>
      <c r="R45" s="329"/>
      <c r="S45" s="329"/>
      <c r="T45" s="329"/>
      <c r="U45" s="329"/>
      <c r="V45" s="329"/>
      <c r="W45" s="329"/>
      <c r="AC45" s="231" t="s">
        <v>215</v>
      </c>
    </row>
    <row r="46" spans="1:32" ht="13.5" customHeight="1" thickBot="1" x14ac:dyDescent="0.35">
      <c r="G46" s="232"/>
      <c r="H46" s="329"/>
      <c r="I46" s="329"/>
      <c r="J46" s="329"/>
      <c r="K46" s="329"/>
      <c r="L46" s="329"/>
      <c r="M46" s="329"/>
      <c r="N46" s="329"/>
      <c r="O46" s="329"/>
      <c r="P46" s="329"/>
      <c r="Q46" s="329"/>
      <c r="R46" s="329"/>
      <c r="S46" s="329"/>
      <c r="T46" s="329"/>
      <c r="U46" s="329"/>
      <c r="V46" s="329"/>
      <c r="W46" s="329"/>
      <c r="AC46" s="233" t="s">
        <v>216</v>
      </c>
      <c r="AD46" s="234" t="s">
        <v>217</v>
      </c>
      <c r="AE46" s="234" t="s">
        <v>218</v>
      </c>
      <c r="AF46" s="235" t="s">
        <v>219</v>
      </c>
    </row>
    <row r="47" spans="1:32" ht="13.5" customHeight="1" x14ac:dyDescent="0.3">
      <c r="H47" s="329"/>
      <c r="I47" s="329"/>
      <c r="J47" s="329"/>
      <c r="K47" s="329"/>
      <c r="L47" s="329"/>
      <c r="M47" s="329"/>
      <c r="N47" s="329"/>
      <c r="O47" s="329"/>
      <c r="P47" s="329"/>
      <c r="Q47" s="329"/>
      <c r="R47" s="329"/>
      <c r="S47" s="329"/>
      <c r="T47" s="329"/>
      <c r="U47" s="329"/>
      <c r="V47" s="329"/>
      <c r="W47" s="329"/>
      <c r="AC47" s="236" t="s">
        <v>220</v>
      </c>
      <c r="AD47" s="333">
        <v>0.52</v>
      </c>
      <c r="AE47" s="333">
        <v>0.35</v>
      </c>
      <c r="AF47" s="334">
        <v>0.17000000000000004</v>
      </c>
    </row>
    <row r="48" spans="1:32" ht="13.5" customHeight="1" x14ac:dyDescent="0.3">
      <c r="H48" s="329"/>
      <c r="I48" s="329"/>
      <c r="J48" s="329"/>
      <c r="K48" s="329"/>
      <c r="L48" s="329"/>
      <c r="M48" s="329"/>
      <c r="N48" s="329"/>
      <c r="O48" s="329"/>
      <c r="P48" s="329"/>
      <c r="Q48" s="329"/>
      <c r="R48" s="329"/>
      <c r="S48" s="329"/>
      <c r="T48" s="329"/>
      <c r="U48" s="329"/>
      <c r="V48" s="329"/>
      <c r="W48" s="329"/>
      <c r="AC48" s="237" t="s">
        <v>221</v>
      </c>
      <c r="AD48" s="335">
        <v>0.34</v>
      </c>
      <c r="AE48" s="335">
        <v>0.24</v>
      </c>
      <c r="AF48" s="284">
        <v>0.10000000000000003</v>
      </c>
    </row>
    <row r="49" spans="8:33" ht="13.5" customHeight="1" x14ac:dyDescent="0.3">
      <c r="H49" s="329"/>
      <c r="AC49" s="237" t="s">
        <v>222</v>
      </c>
      <c r="AD49" s="335">
        <v>0.16</v>
      </c>
      <c r="AE49" s="335">
        <v>0.11</v>
      </c>
      <c r="AF49" s="284">
        <v>0.05</v>
      </c>
    </row>
    <row r="50" spans="8:33" ht="13.5" customHeight="1" x14ac:dyDescent="0.3">
      <c r="H50" s="329"/>
      <c r="AC50" s="237" t="s">
        <v>223</v>
      </c>
      <c r="AD50" s="335">
        <v>0.13</v>
      </c>
      <c r="AE50" s="335">
        <v>0.09</v>
      </c>
      <c r="AF50" s="284">
        <v>4.0000000000000008E-2</v>
      </c>
    </row>
    <row r="51" spans="8:33" ht="13.5" customHeight="1" thickBot="1" x14ac:dyDescent="0.35">
      <c r="H51" s="329"/>
      <c r="AC51" s="238" t="s">
        <v>224</v>
      </c>
      <c r="AD51" s="336">
        <v>0.11</v>
      </c>
      <c r="AE51" s="336">
        <v>0.08</v>
      </c>
      <c r="AF51" s="306">
        <v>0.03</v>
      </c>
    </row>
    <row r="52" spans="8:33" ht="13.5" customHeight="1" x14ac:dyDescent="0.3">
      <c r="H52" s="329"/>
      <c r="AC52" s="239"/>
    </row>
    <row r="53" spans="8:33" ht="13.5" customHeight="1" thickBot="1" x14ac:dyDescent="0.35">
      <c r="H53" s="329"/>
      <c r="AC53" s="240" t="s">
        <v>184</v>
      </c>
    </row>
    <row r="54" spans="8:33" ht="13.5" customHeight="1" x14ac:dyDescent="0.3">
      <c r="H54" s="329"/>
      <c r="AC54" s="241" t="s">
        <v>172</v>
      </c>
      <c r="AD54" s="242" t="s">
        <v>173</v>
      </c>
      <c r="AE54" s="242"/>
      <c r="AF54" s="243"/>
    </row>
    <row r="55" spans="8:33" ht="13.5" customHeight="1" x14ac:dyDescent="0.3">
      <c r="H55" s="329"/>
      <c r="AB55" s="248">
        <v>1</v>
      </c>
      <c r="AC55" s="282" t="s">
        <v>225</v>
      </c>
      <c r="AD55" s="244" t="s">
        <v>226</v>
      </c>
      <c r="AE55" s="244"/>
      <c r="AF55" s="245"/>
      <c r="AG55" s="340">
        <f>TRUNC((AD10*0.0141%)*AE14)</f>
        <v>0</v>
      </c>
    </row>
    <row r="56" spans="8:33" ht="13.5" customHeight="1" x14ac:dyDescent="0.3">
      <c r="H56" s="329"/>
      <c r="AB56" s="248">
        <v>2</v>
      </c>
      <c r="AC56" s="282" t="s">
        <v>227</v>
      </c>
      <c r="AD56" s="244" t="s">
        <v>228</v>
      </c>
      <c r="AE56" s="244"/>
      <c r="AF56" s="245"/>
      <c r="AG56" s="340">
        <f>TRUNC((790000+(AD10-7500000000)*0.0059%)*AE14)</f>
        <v>0</v>
      </c>
    </row>
    <row r="57" spans="8:33" ht="13.5" customHeight="1" x14ac:dyDescent="0.3">
      <c r="H57" s="329"/>
      <c r="AB57" s="248">
        <v>3</v>
      </c>
      <c r="AC57" s="282" t="s">
        <v>229</v>
      </c>
      <c r="AD57" s="244" t="s">
        <v>230</v>
      </c>
      <c r="AE57" s="244"/>
      <c r="AF57" s="245"/>
      <c r="AG57" s="340">
        <f>TRUNC((1160000+(AD10-13000000000)*0.0059%)*AE14)</f>
        <v>0</v>
      </c>
    </row>
    <row r="58" spans="8:33" ht="13.5" customHeight="1" x14ac:dyDescent="0.3">
      <c r="AB58" s="248">
        <v>4</v>
      </c>
      <c r="AC58" s="282" t="s">
        <v>231</v>
      </c>
      <c r="AD58" s="244" t="s">
        <v>232</v>
      </c>
      <c r="AE58" s="244"/>
      <c r="AF58" s="245"/>
      <c r="AG58" s="340">
        <f>TRUNC((1860000+(AD10-25000000000)*0.0048%)*AE14)</f>
        <v>0</v>
      </c>
    </row>
    <row r="59" spans="8:33" ht="13.5" customHeight="1" thickBot="1" x14ac:dyDescent="0.35">
      <c r="AB59" s="248">
        <v>5</v>
      </c>
      <c r="AC59" s="298" t="s">
        <v>233</v>
      </c>
      <c r="AD59" s="246" t="s">
        <v>234</v>
      </c>
      <c r="AE59" s="246"/>
      <c r="AF59" s="247"/>
      <c r="AG59" s="340">
        <f>TRUNC((3060000+(AD10-50000000000)*0.004%)*AE14)</f>
        <v>0</v>
      </c>
    </row>
  </sheetData>
  <mergeCells count="33">
    <mergeCell ref="AD54:AF54"/>
    <mergeCell ref="AD55:AF55"/>
    <mergeCell ref="AD56:AF56"/>
    <mergeCell ref="AD57:AF57"/>
    <mergeCell ref="AD58:AF58"/>
    <mergeCell ref="AD59:AF59"/>
    <mergeCell ref="C37:E37"/>
    <mergeCell ref="H37:P37"/>
    <mergeCell ref="Q37:W37"/>
    <mergeCell ref="B38:E38"/>
    <mergeCell ref="H38:P38"/>
    <mergeCell ref="Q38:W38"/>
    <mergeCell ref="B33:E33"/>
    <mergeCell ref="B34:E34"/>
    <mergeCell ref="B35:E35"/>
    <mergeCell ref="H35:P35"/>
    <mergeCell ref="Q35:W35"/>
    <mergeCell ref="C36:E36"/>
    <mergeCell ref="H36:P36"/>
    <mergeCell ref="Q36:W36"/>
    <mergeCell ref="Y10:Z10"/>
    <mergeCell ref="C12:C28"/>
    <mergeCell ref="A29:F29"/>
    <mergeCell ref="B30:E30"/>
    <mergeCell ref="B31:E31"/>
    <mergeCell ref="B32:E32"/>
    <mergeCell ref="A1:W2"/>
    <mergeCell ref="A4:F4"/>
    <mergeCell ref="H4:P4"/>
    <mergeCell ref="Q4:W4"/>
    <mergeCell ref="A5:B28"/>
    <mergeCell ref="C5:C8"/>
    <mergeCell ref="C9:C11"/>
  </mergeCells>
  <phoneticPr fontId="5" type="noConversion"/>
  <conditionalFormatting sqref="Y17">
    <cfRule type="expression" dxfId="52" priority="56" stopIfTrue="1">
      <formula>$G$38&gt;=300000000</formula>
    </cfRule>
  </conditionalFormatting>
  <conditionalFormatting sqref="Y18">
    <cfRule type="expression" priority="51" stopIfTrue="1">
      <formula>($G$38)=""</formula>
    </cfRule>
    <cfRule type="expression" priority="52" stopIfTrue="1">
      <formula>($G$38)=0</formula>
    </cfRule>
    <cfRule type="expression" priority="53" stopIfTrue="1">
      <formula>($G$38)&gt;40000000</formula>
    </cfRule>
    <cfRule type="expression" dxfId="51" priority="55" stopIfTrue="1">
      <formula>($G$38)&lt;=40000000</formula>
    </cfRule>
  </conditionalFormatting>
  <conditionalFormatting sqref="E43:E45 G5:G21 G23:G39">
    <cfRule type="cellIs" dxfId="50" priority="54" stopIfTrue="1" operator="equal">
      <formula>0</formula>
    </cfRule>
  </conditionalFormatting>
  <conditionalFormatting sqref="AC21:AF21">
    <cfRule type="expression" dxfId="49" priority="57" stopIfTrue="1">
      <formula>$AE$10=56</formula>
    </cfRule>
  </conditionalFormatting>
  <conditionalFormatting sqref="AC22:AF22">
    <cfRule type="expression" dxfId="48" priority="58" stopIfTrue="1">
      <formula>$AE$10=62</formula>
    </cfRule>
  </conditionalFormatting>
  <conditionalFormatting sqref="AC23:AF23">
    <cfRule type="expression" dxfId="47" priority="59" stopIfTrue="1">
      <formula>$AE$10=86</formula>
    </cfRule>
  </conditionalFormatting>
  <conditionalFormatting sqref="AC24:AF24">
    <cfRule type="expression" dxfId="46" priority="60" stopIfTrue="1">
      <formula>$AE$10=306</formula>
    </cfRule>
  </conditionalFormatting>
  <conditionalFormatting sqref="AC25:AF25">
    <cfRule type="expression" dxfId="45" priority="61" stopIfTrue="1">
      <formula>$AE$10=312</formula>
    </cfRule>
  </conditionalFormatting>
  <conditionalFormatting sqref="AC26:AF26">
    <cfRule type="expression" dxfId="44" priority="62" stopIfTrue="1">
      <formula>$AE$10=336</formula>
    </cfRule>
  </conditionalFormatting>
  <conditionalFormatting sqref="G22">
    <cfRule type="cellIs" dxfId="43" priority="50" stopIfTrue="1" operator="equal">
      <formula>0</formula>
    </cfRule>
  </conditionalFormatting>
  <conditionalFormatting sqref="AC47:AF47">
    <cfRule type="expression" dxfId="42" priority="49" stopIfTrue="1">
      <formula>$AD$15&lt;5000</formula>
    </cfRule>
  </conditionalFormatting>
  <conditionalFormatting sqref="AC48:AF48">
    <cfRule type="expression" priority="47" stopIfTrue="1">
      <formula>$AD$15&lt;5000</formula>
    </cfRule>
    <cfRule type="expression" dxfId="41" priority="48" stopIfTrue="1">
      <formula>$AD$15&lt;10000</formula>
    </cfRule>
  </conditionalFormatting>
  <conditionalFormatting sqref="AC49:AF49">
    <cfRule type="expression" priority="45" stopIfTrue="1">
      <formula>$AD$15&lt;10000</formula>
    </cfRule>
    <cfRule type="expression" dxfId="40" priority="46" stopIfTrue="1">
      <formula>$AD$15&lt;30000</formula>
    </cfRule>
  </conditionalFormatting>
  <conditionalFormatting sqref="AC51:AF51">
    <cfRule type="expression" dxfId="39" priority="44" stopIfTrue="1">
      <formula>$AD$15&gt;=50000</formula>
    </cfRule>
  </conditionalFormatting>
  <conditionalFormatting sqref="AC50:AF50">
    <cfRule type="expression" priority="42" stopIfTrue="1">
      <formula>$AD$15&lt;30000</formula>
    </cfRule>
    <cfRule type="expression" dxfId="38" priority="43" stopIfTrue="1">
      <formula>$AD$15&lt;50000</formula>
    </cfRule>
  </conditionalFormatting>
  <conditionalFormatting sqref="AC55:AF55">
    <cfRule type="expression" dxfId="37" priority="41" stopIfTrue="1">
      <formula>$AD$10&lt;7000000000</formula>
    </cfRule>
  </conditionalFormatting>
  <conditionalFormatting sqref="AC56:AF56">
    <cfRule type="expression" priority="39" stopIfTrue="1">
      <formula>$AD$10&lt;7000000000</formula>
    </cfRule>
    <cfRule type="expression" dxfId="36" priority="40" stopIfTrue="1">
      <formula>$AD$10&lt;12000000000</formula>
    </cfRule>
  </conditionalFormatting>
  <conditionalFormatting sqref="AC57:AF57">
    <cfRule type="expression" priority="37" stopIfTrue="1">
      <formula>$AD$10&lt;12000000000</formula>
    </cfRule>
    <cfRule type="expression" dxfId="35" priority="38" stopIfTrue="1">
      <formula>$AD$10&lt;25000000000</formula>
    </cfRule>
  </conditionalFormatting>
  <conditionalFormatting sqref="AC58:AF58">
    <cfRule type="expression" priority="35" stopIfTrue="1">
      <formula>$AD$10&lt;25000000000</formula>
    </cfRule>
    <cfRule type="expression" dxfId="34" priority="36" stopIfTrue="1">
      <formula>$AD$10&lt;50000000000</formula>
    </cfRule>
  </conditionalFormatting>
  <conditionalFormatting sqref="AC59:AF59">
    <cfRule type="expression" dxfId="33" priority="34" stopIfTrue="1">
      <formula>$AD$10&gt;=50000000000</formula>
    </cfRule>
  </conditionalFormatting>
  <conditionalFormatting sqref="AC29:AD29 AF29">
    <cfRule type="expression" dxfId="32" priority="33" stopIfTrue="1">
      <formula>$AE$11=7</formula>
    </cfRule>
  </conditionalFormatting>
  <conditionalFormatting sqref="AC43:AD43 AF43">
    <cfRule type="expression" dxfId="31" priority="32" stopIfTrue="1">
      <formula>$AE$11=41</formula>
    </cfRule>
  </conditionalFormatting>
  <conditionalFormatting sqref="AC30:AD30 AF30">
    <cfRule type="expression" dxfId="30" priority="31" stopIfTrue="1">
      <formula>$AE$11=13</formula>
    </cfRule>
  </conditionalFormatting>
  <conditionalFormatting sqref="AC31:AD31 AF31">
    <cfRule type="expression" dxfId="29" priority="30" stopIfTrue="1">
      <formula>$AE$11=37</formula>
    </cfRule>
  </conditionalFormatting>
  <conditionalFormatting sqref="AC32:AD32 AF32">
    <cfRule type="expression" dxfId="28" priority="29" stopIfTrue="1">
      <formula>$AE$11=8</formula>
    </cfRule>
  </conditionalFormatting>
  <conditionalFormatting sqref="AC33:AD33 AF33">
    <cfRule type="expression" dxfId="27" priority="28" stopIfTrue="1">
      <formula>$AE$11=14</formula>
    </cfRule>
  </conditionalFormatting>
  <conditionalFormatting sqref="AC34:AD34 AF34">
    <cfRule type="expression" dxfId="26" priority="27" stopIfTrue="1">
      <formula>$AE$11=38</formula>
    </cfRule>
  </conditionalFormatting>
  <conditionalFormatting sqref="AC35:AD35 AF35">
    <cfRule type="expression" dxfId="25" priority="26" stopIfTrue="1">
      <formula>$AE$11=9</formula>
    </cfRule>
  </conditionalFormatting>
  <conditionalFormatting sqref="AC36:AD36 AF36">
    <cfRule type="expression" dxfId="24" priority="25" stopIfTrue="1">
      <formula>$AE$11=15</formula>
    </cfRule>
  </conditionalFormatting>
  <conditionalFormatting sqref="AC37:AD37 AF37">
    <cfRule type="expression" dxfId="23" priority="24" stopIfTrue="1">
      <formula>$AE$11=39</formula>
    </cfRule>
  </conditionalFormatting>
  <conditionalFormatting sqref="AC38:AD38 AF38">
    <cfRule type="expression" dxfId="22" priority="23" stopIfTrue="1">
      <formula>$AE$11=10</formula>
    </cfRule>
  </conditionalFormatting>
  <conditionalFormatting sqref="AC39:AD39 AF39">
    <cfRule type="expression" dxfId="21" priority="22" stopIfTrue="1">
      <formula>$AE$11=16</formula>
    </cfRule>
  </conditionalFormatting>
  <conditionalFormatting sqref="AC40:AD40 AF40">
    <cfRule type="expression" dxfId="20" priority="21" stopIfTrue="1">
      <formula>$AE$11=40</formula>
    </cfRule>
  </conditionalFormatting>
  <conditionalFormatting sqref="AC41:AD41 AF41">
    <cfRule type="expression" dxfId="19" priority="20" stopIfTrue="1">
      <formula>$AE$11=11</formula>
    </cfRule>
  </conditionalFormatting>
  <conditionalFormatting sqref="AC42:AD42 AF42">
    <cfRule type="expression" dxfId="18" priority="19" stopIfTrue="1">
      <formula>$AE$11=17</formula>
    </cfRule>
  </conditionalFormatting>
  <conditionalFormatting sqref="AE29">
    <cfRule type="expression" dxfId="17" priority="18" stopIfTrue="1">
      <formula>$AE$11=7</formula>
    </cfRule>
  </conditionalFormatting>
  <conditionalFormatting sqref="AE43">
    <cfRule type="expression" dxfId="16" priority="17" stopIfTrue="1">
      <formula>$AE$11=41</formula>
    </cfRule>
  </conditionalFormatting>
  <conditionalFormatting sqref="AE30">
    <cfRule type="expression" dxfId="15" priority="16" stopIfTrue="1">
      <formula>$AE$11=13</formula>
    </cfRule>
  </conditionalFormatting>
  <conditionalFormatting sqref="AE31">
    <cfRule type="expression" dxfId="14" priority="15" stopIfTrue="1">
      <formula>$AE$11=37</formula>
    </cfRule>
  </conditionalFormatting>
  <conditionalFormatting sqref="AE32">
    <cfRule type="expression" dxfId="13" priority="14" stopIfTrue="1">
      <formula>$AE$11=8</formula>
    </cfRule>
  </conditionalFormatting>
  <conditionalFormatting sqref="AE33">
    <cfRule type="expression" dxfId="12" priority="13" stopIfTrue="1">
      <formula>$AE$11=14</formula>
    </cfRule>
  </conditionalFormatting>
  <conditionalFormatting sqref="AE34">
    <cfRule type="expression" dxfId="11" priority="12" stopIfTrue="1">
      <formula>$AE$11=38</formula>
    </cfRule>
  </conditionalFormatting>
  <conditionalFormatting sqref="AE35">
    <cfRule type="expression" dxfId="10" priority="11" stopIfTrue="1">
      <formula>$AE$11=9</formula>
    </cfRule>
  </conditionalFormatting>
  <conditionalFormatting sqref="AE36">
    <cfRule type="expression" dxfId="9" priority="10" stopIfTrue="1">
      <formula>$AE$11=15</formula>
    </cfRule>
  </conditionalFormatting>
  <conditionalFormatting sqref="AE37">
    <cfRule type="expression" dxfId="8" priority="9" stopIfTrue="1">
      <formula>$AE$11=39</formula>
    </cfRule>
  </conditionalFormatting>
  <conditionalFormatting sqref="AE38">
    <cfRule type="expression" dxfId="7" priority="8" stopIfTrue="1">
      <formula>$AE$11=10</formula>
    </cfRule>
  </conditionalFormatting>
  <conditionalFormatting sqref="AE39">
    <cfRule type="expression" dxfId="6" priority="7" stopIfTrue="1">
      <formula>$AE$11=16</formula>
    </cfRule>
  </conditionalFormatting>
  <conditionalFormatting sqref="AE40">
    <cfRule type="expression" dxfId="5" priority="6" stopIfTrue="1">
      <formula>$AE$11=40</formula>
    </cfRule>
  </conditionalFormatting>
  <conditionalFormatting sqref="AE41">
    <cfRule type="expression" dxfId="4" priority="5" stopIfTrue="1">
      <formula>$AE$11=11</formula>
    </cfRule>
  </conditionalFormatting>
  <conditionalFormatting sqref="AE42">
    <cfRule type="expression" dxfId="3" priority="4" stopIfTrue="1">
      <formula>$AE$11=17</formula>
    </cfRule>
  </conditionalFormatting>
  <conditionalFormatting sqref="AC18:AF18">
    <cfRule type="expression" dxfId="2" priority="1" stopIfTrue="1">
      <formula>$AE$10=46</formula>
    </cfRule>
  </conditionalFormatting>
  <conditionalFormatting sqref="AC19:AF19">
    <cfRule type="expression" dxfId="1" priority="2" stopIfTrue="1">
      <formula>$AE$10=52</formula>
    </cfRule>
  </conditionalFormatting>
  <conditionalFormatting sqref="AC20:AF20">
    <cfRule type="expression" dxfId="0" priority="3" stopIfTrue="1">
      <formula>$AE$10=76</formula>
    </cfRule>
  </conditionalFormatting>
  <pageMargins left="0.74803149606299213" right="0.35433070866141736" top="0.39370078740157483" bottom="0.43307086614173229" header="0.31496062992125984" footer="0.2755905511811023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AEDEB-3AB2-4C66-AB1F-B632D0724D0F}">
  <dimension ref="A1:O27"/>
  <sheetViews>
    <sheetView zoomScale="85" zoomScaleNormal="85" workbookViewId="0">
      <pane ySplit="4" topLeftCell="A5" activePane="bottomLeft" state="frozen"/>
      <selection pane="bottomLeft" activeCell="A5" sqref="A5"/>
    </sheetView>
  </sheetViews>
  <sheetFormatPr defaultRowHeight="32.1" customHeight="1" x14ac:dyDescent="0.3"/>
  <cols>
    <col min="1" max="1" width="37.625" style="1" customWidth="1"/>
    <col min="2" max="2" width="6.125" style="1" hidden="1" customWidth="1"/>
    <col min="3" max="4" width="6.625" style="1" customWidth="1"/>
    <col min="5" max="12" width="18.625" style="1" customWidth="1"/>
    <col min="13" max="13" width="11.625" style="1" customWidth="1"/>
    <col min="14" max="16384" width="9" style="1"/>
  </cols>
  <sheetData>
    <row r="1" spans="1:15" ht="32.1" customHeight="1" x14ac:dyDescent="0.3">
      <c r="A1" s="38" t="s">
        <v>94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5" ht="32.1" customHeight="1" x14ac:dyDescent="0.3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21"/>
      <c r="K2" s="21"/>
      <c r="L2" s="21"/>
      <c r="M2" s="21"/>
    </row>
    <row r="3" spans="1:15" ht="32.1" customHeight="1" x14ac:dyDescent="0.3">
      <c r="A3" s="40" t="s">
        <v>79</v>
      </c>
      <c r="B3" s="40" t="s">
        <v>3</v>
      </c>
      <c r="C3" s="40" t="s">
        <v>4</v>
      </c>
      <c r="D3" s="40" t="s">
        <v>49</v>
      </c>
      <c r="E3" s="42" t="s">
        <v>5</v>
      </c>
      <c r="F3" s="43"/>
      <c r="G3" s="42" t="s">
        <v>6</v>
      </c>
      <c r="H3" s="43"/>
      <c r="I3" s="42" t="s">
        <v>7</v>
      </c>
      <c r="J3" s="43"/>
      <c r="K3" s="42" t="s">
        <v>8</v>
      </c>
      <c r="L3" s="43"/>
      <c r="M3" s="40" t="s">
        <v>103</v>
      </c>
    </row>
    <row r="4" spans="1:15" ht="32.1" customHeight="1" x14ac:dyDescent="0.3">
      <c r="A4" s="41"/>
      <c r="B4" s="41"/>
      <c r="C4" s="41"/>
      <c r="D4" s="41"/>
      <c r="E4" s="7" t="s">
        <v>50</v>
      </c>
      <c r="F4" s="7" t="s">
        <v>51</v>
      </c>
      <c r="G4" s="7" t="s">
        <v>50</v>
      </c>
      <c r="H4" s="7" t="s">
        <v>51</v>
      </c>
      <c r="I4" s="7" t="s">
        <v>50</v>
      </c>
      <c r="J4" s="7" t="s">
        <v>51</v>
      </c>
      <c r="K4" s="7" t="s">
        <v>50</v>
      </c>
      <c r="L4" s="7" t="s">
        <v>51</v>
      </c>
      <c r="M4" s="41"/>
    </row>
    <row r="5" spans="1:15" ht="32.1" customHeight="1" x14ac:dyDescent="0.3">
      <c r="A5" s="13" t="s">
        <v>104</v>
      </c>
      <c r="B5" s="14"/>
      <c r="C5" s="13" t="s">
        <v>82</v>
      </c>
      <c r="D5" s="14">
        <v>1</v>
      </c>
      <c r="E5" s="31">
        <f>TRUNC(공종별집계표!G27,0)</f>
        <v>0</v>
      </c>
      <c r="F5" s="31">
        <f>D5*E5</f>
        <v>0</v>
      </c>
      <c r="G5" s="31">
        <f>TRUNC(공종별집계표!I27,0)</f>
        <v>0</v>
      </c>
      <c r="H5" s="31">
        <f>D5*G5</f>
        <v>0</v>
      </c>
      <c r="I5" s="31">
        <f>TRUNC(공종별집계표!K27,0)</f>
        <v>203613028</v>
      </c>
      <c r="J5" s="31">
        <f>D5*I5</f>
        <v>203613028</v>
      </c>
      <c r="K5" s="31">
        <f>E5+G5+I5</f>
        <v>203613028</v>
      </c>
      <c r="L5" s="31">
        <f>F5+H5+J5</f>
        <v>203613028</v>
      </c>
      <c r="M5" s="14"/>
      <c r="N5" s="2" t="s">
        <v>59</v>
      </c>
      <c r="O5" s="1" t="s">
        <v>56</v>
      </c>
    </row>
    <row r="6" spans="1:15" ht="32.1" customHeight="1" x14ac:dyDescent="0.3">
      <c r="A6" s="13"/>
      <c r="B6" s="14"/>
      <c r="C6" s="13"/>
      <c r="D6" s="14"/>
      <c r="E6" s="31"/>
      <c r="F6" s="31"/>
      <c r="G6" s="31"/>
      <c r="H6" s="31"/>
      <c r="I6" s="31"/>
      <c r="J6" s="31"/>
      <c r="K6" s="31"/>
      <c r="L6" s="31"/>
      <c r="M6" s="14"/>
      <c r="N6" s="2"/>
    </row>
    <row r="7" spans="1:15" ht="32.1" customHeight="1" x14ac:dyDescent="0.3">
      <c r="A7" s="14"/>
      <c r="B7" s="14"/>
      <c r="C7" s="14"/>
      <c r="D7" s="14"/>
      <c r="E7" s="31"/>
      <c r="F7" s="31"/>
      <c r="G7" s="31"/>
      <c r="H7" s="31"/>
      <c r="I7" s="31"/>
      <c r="J7" s="31"/>
      <c r="K7" s="31"/>
      <c r="L7" s="31"/>
      <c r="M7" s="14"/>
    </row>
    <row r="8" spans="1:15" ht="32.1" customHeight="1" x14ac:dyDescent="0.3">
      <c r="A8" s="14"/>
      <c r="B8" s="14"/>
      <c r="C8" s="14"/>
      <c r="D8" s="14"/>
      <c r="E8" s="31"/>
      <c r="F8" s="31"/>
      <c r="G8" s="31"/>
      <c r="H8" s="31"/>
      <c r="I8" s="31"/>
      <c r="J8" s="31"/>
      <c r="K8" s="31"/>
      <c r="L8" s="31"/>
      <c r="M8" s="14"/>
    </row>
    <row r="9" spans="1:15" ht="32.1" customHeight="1" x14ac:dyDescent="0.3">
      <c r="A9" s="14"/>
      <c r="B9" s="14"/>
      <c r="C9" s="14"/>
      <c r="D9" s="14"/>
      <c r="E9" s="31"/>
      <c r="F9" s="31"/>
      <c r="G9" s="31"/>
      <c r="H9" s="31"/>
      <c r="I9" s="31"/>
      <c r="J9" s="31"/>
      <c r="K9" s="31"/>
      <c r="L9" s="31"/>
      <c r="M9" s="14"/>
    </row>
    <row r="10" spans="1:15" ht="32.1" customHeight="1" x14ac:dyDescent="0.3">
      <c r="A10" s="14"/>
      <c r="B10" s="14"/>
      <c r="C10" s="14"/>
      <c r="D10" s="14"/>
      <c r="E10" s="31"/>
      <c r="F10" s="31"/>
      <c r="G10" s="31"/>
      <c r="H10" s="31"/>
      <c r="I10" s="31"/>
      <c r="J10" s="31"/>
      <c r="K10" s="31"/>
      <c r="L10" s="31"/>
      <c r="M10" s="14"/>
    </row>
    <row r="11" spans="1:15" ht="32.1" customHeight="1" x14ac:dyDescent="0.3">
      <c r="A11" s="14"/>
      <c r="B11" s="14"/>
      <c r="C11" s="14"/>
      <c r="D11" s="14"/>
      <c r="E11" s="31"/>
      <c r="F11" s="31"/>
      <c r="G11" s="31"/>
      <c r="H11" s="31"/>
      <c r="I11" s="31"/>
      <c r="J11" s="31"/>
      <c r="K11" s="31"/>
      <c r="L11" s="31"/>
      <c r="M11" s="14"/>
    </row>
    <row r="12" spans="1:15" ht="32.1" customHeight="1" x14ac:dyDescent="0.3">
      <c r="A12" s="14"/>
      <c r="B12" s="14"/>
      <c r="C12" s="14"/>
      <c r="D12" s="14"/>
      <c r="E12" s="31"/>
      <c r="F12" s="31"/>
      <c r="G12" s="31"/>
      <c r="H12" s="31"/>
      <c r="I12" s="31"/>
      <c r="J12" s="31"/>
      <c r="K12" s="31"/>
      <c r="L12" s="31"/>
      <c r="M12" s="14"/>
    </row>
    <row r="13" spans="1:15" ht="32.1" customHeight="1" x14ac:dyDescent="0.3">
      <c r="A13" s="14"/>
      <c r="B13" s="14"/>
      <c r="C13" s="14"/>
      <c r="D13" s="14"/>
      <c r="E13" s="31"/>
      <c r="F13" s="31"/>
      <c r="G13" s="31"/>
      <c r="H13" s="31"/>
      <c r="I13" s="31"/>
      <c r="J13" s="31"/>
      <c r="K13" s="31"/>
      <c r="L13" s="31"/>
      <c r="M13" s="14"/>
    </row>
    <row r="14" spans="1:15" ht="32.1" customHeight="1" x14ac:dyDescent="0.3">
      <c r="A14" s="14"/>
      <c r="B14" s="14"/>
      <c r="C14" s="14"/>
      <c r="D14" s="14"/>
      <c r="E14" s="31"/>
      <c r="F14" s="31"/>
      <c r="G14" s="31"/>
      <c r="H14" s="31"/>
      <c r="I14" s="31"/>
      <c r="J14" s="31"/>
      <c r="K14" s="31"/>
      <c r="L14" s="31"/>
      <c r="M14" s="14"/>
    </row>
    <row r="15" spans="1:15" ht="32.1" customHeight="1" x14ac:dyDescent="0.3">
      <c r="A15" s="14"/>
      <c r="B15" s="14"/>
      <c r="C15" s="14"/>
      <c r="D15" s="14"/>
      <c r="E15" s="31"/>
      <c r="F15" s="31"/>
      <c r="G15" s="31"/>
      <c r="H15" s="31"/>
      <c r="I15" s="31"/>
      <c r="J15" s="31"/>
      <c r="K15" s="31"/>
      <c r="L15" s="31"/>
      <c r="M15" s="14"/>
    </row>
    <row r="16" spans="1:15" ht="32.1" customHeight="1" x14ac:dyDescent="0.3">
      <c r="A16" s="14"/>
      <c r="B16" s="14"/>
      <c r="C16" s="14"/>
      <c r="D16" s="14"/>
      <c r="E16" s="31"/>
      <c r="F16" s="31"/>
      <c r="G16" s="31"/>
      <c r="H16" s="31"/>
      <c r="I16" s="31"/>
      <c r="J16" s="31"/>
      <c r="K16" s="31"/>
      <c r="L16" s="31"/>
      <c r="M16" s="14"/>
    </row>
    <row r="17" spans="1:13" ht="32.1" customHeight="1" x14ac:dyDescent="0.3">
      <c r="A17" s="14"/>
      <c r="B17" s="14"/>
      <c r="C17" s="14"/>
      <c r="D17" s="14"/>
      <c r="E17" s="31"/>
      <c r="F17" s="31"/>
      <c r="G17" s="31"/>
      <c r="H17" s="31"/>
      <c r="I17" s="31"/>
      <c r="J17" s="31"/>
      <c r="K17" s="31"/>
      <c r="L17" s="31"/>
      <c r="M17" s="14"/>
    </row>
    <row r="18" spans="1:13" ht="32.1" customHeight="1" x14ac:dyDescent="0.3">
      <c r="A18" s="14"/>
      <c r="B18" s="14"/>
      <c r="C18" s="14"/>
      <c r="D18" s="14"/>
      <c r="E18" s="31"/>
      <c r="F18" s="31"/>
      <c r="G18" s="31"/>
      <c r="H18" s="31"/>
      <c r="I18" s="31"/>
      <c r="J18" s="31"/>
      <c r="K18" s="31"/>
      <c r="L18" s="31"/>
      <c r="M18" s="14"/>
    </row>
    <row r="19" spans="1:13" ht="32.1" customHeight="1" x14ac:dyDescent="0.3">
      <c r="A19" s="14"/>
      <c r="B19" s="14"/>
      <c r="C19" s="14"/>
      <c r="D19" s="14"/>
      <c r="E19" s="31"/>
      <c r="F19" s="31"/>
      <c r="G19" s="31"/>
      <c r="H19" s="31"/>
      <c r="I19" s="31"/>
      <c r="J19" s="31"/>
      <c r="K19" s="31"/>
      <c r="L19" s="31"/>
      <c r="M19" s="14"/>
    </row>
    <row r="20" spans="1:13" ht="32.1" customHeight="1" x14ac:dyDescent="0.3">
      <c r="A20" s="14"/>
      <c r="B20" s="14"/>
      <c r="C20" s="14"/>
      <c r="D20" s="14"/>
      <c r="E20" s="31"/>
      <c r="F20" s="31"/>
      <c r="G20" s="31"/>
      <c r="H20" s="31"/>
      <c r="I20" s="31"/>
      <c r="J20" s="31"/>
      <c r="K20" s="31"/>
      <c r="L20" s="31"/>
      <c r="M20" s="14"/>
    </row>
    <row r="21" spans="1:13" ht="32.1" customHeight="1" x14ac:dyDescent="0.3">
      <c r="A21" s="14"/>
      <c r="B21" s="14"/>
      <c r="C21" s="14"/>
      <c r="D21" s="14"/>
      <c r="E21" s="31"/>
      <c r="F21" s="31"/>
      <c r="G21" s="31"/>
      <c r="H21" s="31"/>
      <c r="I21" s="31"/>
      <c r="J21" s="31"/>
      <c r="K21" s="31"/>
      <c r="L21" s="31"/>
      <c r="M21" s="14"/>
    </row>
    <row r="22" spans="1:13" ht="32.1" customHeight="1" x14ac:dyDescent="0.3">
      <c r="A22" s="14"/>
      <c r="B22" s="14"/>
      <c r="C22" s="14"/>
      <c r="D22" s="14"/>
      <c r="E22" s="31"/>
      <c r="F22" s="31"/>
      <c r="G22" s="31"/>
      <c r="H22" s="31"/>
      <c r="I22" s="31"/>
      <c r="J22" s="31"/>
      <c r="K22" s="31"/>
      <c r="L22" s="31"/>
      <c r="M22" s="14"/>
    </row>
    <row r="23" spans="1:13" ht="32.1" customHeight="1" x14ac:dyDescent="0.3">
      <c r="A23" s="14"/>
      <c r="B23" s="14"/>
      <c r="C23" s="14"/>
      <c r="D23" s="14"/>
      <c r="E23" s="31"/>
      <c r="F23" s="31"/>
      <c r="G23" s="31"/>
      <c r="H23" s="31"/>
      <c r="I23" s="31"/>
      <c r="J23" s="31"/>
      <c r="K23" s="31"/>
      <c r="L23" s="31"/>
      <c r="M23" s="14"/>
    </row>
    <row r="24" spans="1:13" ht="32.1" customHeight="1" x14ac:dyDescent="0.3">
      <c r="A24" s="14"/>
      <c r="B24" s="14"/>
      <c r="C24" s="14"/>
      <c r="D24" s="14"/>
      <c r="E24" s="31"/>
      <c r="F24" s="31"/>
      <c r="G24" s="31"/>
      <c r="H24" s="31"/>
      <c r="I24" s="31"/>
      <c r="J24" s="31"/>
      <c r="K24" s="31"/>
      <c r="L24" s="31"/>
      <c r="M24" s="14"/>
    </row>
    <row r="25" spans="1:13" ht="32.1" customHeight="1" x14ac:dyDescent="0.3">
      <c r="A25" s="14"/>
      <c r="B25" s="14"/>
      <c r="C25" s="14"/>
      <c r="D25" s="14"/>
      <c r="E25" s="31"/>
      <c r="F25" s="31"/>
      <c r="G25" s="31"/>
      <c r="H25" s="31"/>
      <c r="I25" s="31"/>
      <c r="J25" s="31"/>
      <c r="K25" s="31"/>
      <c r="L25" s="31"/>
      <c r="M25" s="14"/>
    </row>
    <row r="26" spans="1:13" ht="32.1" customHeight="1" x14ac:dyDescent="0.3">
      <c r="A26" s="14"/>
      <c r="B26" s="14"/>
      <c r="C26" s="14"/>
      <c r="D26" s="14"/>
      <c r="E26" s="31"/>
      <c r="F26" s="31"/>
      <c r="G26" s="31"/>
      <c r="H26" s="31"/>
      <c r="I26" s="31"/>
      <c r="J26" s="31"/>
      <c r="K26" s="31"/>
      <c r="L26" s="31"/>
      <c r="M26" s="14"/>
    </row>
    <row r="27" spans="1:13" ht="32.1" customHeight="1" x14ac:dyDescent="0.3">
      <c r="A27" s="37" t="s">
        <v>68</v>
      </c>
      <c r="B27" s="14"/>
      <c r="C27" s="14"/>
      <c r="D27" s="14"/>
      <c r="E27" s="31"/>
      <c r="F27" s="31">
        <f>SUMIF(O5:O26,"=S",F5:F26)</f>
        <v>0</v>
      </c>
      <c r="G27" s="31"/>
      <c r="H27" s="31">
        <f>SUMIF(O5:O26,"=S",H5:H26)</f>
        <v>0</v>
      </c>
      <c r="I27" s="31"/>
      <c r="J27" s="31">
        <f>SUMIF(O5:O26,"=S",J5:J26)</f>
        <v>203613028</v>
      </c>
      <c r="K27" s="31"/>
      <c r="L27" s="31">
        <f>SUMIF(O5:O26,"=S",L5:L26)</f>
        <v>203613028</v>
      </c>
      <c r="M27" s="14"/>
    </row>
  </sheetData>
  <mergeCells count="11">
    <mergeCell ref="M3:M4"/>
    <mergeCell ref="A1:M1"/>
    <mergeCell ref="A2:I2"/>
    <mergeCell ref="A3:A4"/>
    <mergeCell ref="B3:B4"/>
    <mergeCell ref="C3:C4"/>
    <mergeCell ref="D3:D4"/>
    <mergeCell ref="E3:F3"/>
    <mergeCell ref="G3:H3"/>
    <mergeCell ref="I3:J3"/>
    <mergeCell ref="K3:L3"/>
  </mergeCells>
  <phoneticPr fontId="5" type="noConversion"/>
  <conditionalFormatting sqref="A5:M27">
    <cfRule type="expression" dxfId="57" priority="4" stopIfTrue="1">
      <formula>$O5="s"</formula>
    </cfRule>
    <cfRule type="expression" dxfId="56" priority="3" stopIfTrue="1">
      <formula>$O5="z"</formula>
    </cfRule>
    <cfRule type="expression" dxfId="55" priority="2" stopIfTrue="1">
      <formula>$O5="p"</formula>
    </cfRule>
    <cfRule type="expression" dxfId="54" priority="1" stopIfTrue="1">
      <formula>$O5="g"</formula>
    </cfRule>
  </conditionalFormatting>
  <pageMargins left="0.7" right="0" top="0.59055118110236215" bottom="0.39370078740157477" header="0" footer="0"/>
  <pageSetup paperSize="9" scale="58" orientation="landscape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093B5-A3DB-400F-916B-C19E8BCBAD62}">
  <dimension ref="A1:P700"/>
  <sheetViews>
    <sheetView topLeftCell="B1" zoomScale="85" zoomScaleNormal="85" workbookViewId="0">
      <pane ySplit="4" topLeftCell="A5" activePane="bottomLeft" state="frozen"/>
      <selection activeCell="B1" sqref="B1"/>
      <selection pane="bottomLeft" activeCell="N6" sqref="N6"/>
    </sheetView>
  </sheetViews>
  <sheetFormatPr defaultRowHeight="32.1" customHeight="1" x14ac:dyDescent="0.3"/>
  <cols>
    <col min="1" max="1" width="0" style="1" hidden="1" customWidth="1"/>
    <col min="2" max="2" width="37.625" style="1" customWidth="1"/>
    <col min="3" max="3" width="6.125" style="1" hidden="1" customWidth="1"/>
    <col min="4" max="5" width="6.625" style="1" customWidth="1"/>
    <col min="6" max="13" width="18.625" style="1" customWidth="1"/>
    <col min="14" max="14" width="11.625" style="1" customWidth="1"/>
    <col min="15" max="15" width="9" style="1"/>
    <col min="16" max="16" width="2.625" style="1" bestFit="1" customWidth="1"/>
    <col min="17" max="16384" width="9" style="1"/>
  </cols>
  <sheetData>
    <row r="1" spans="2:16" ht="32.1" customHeight="1" x14ac:dyDescent="0.3">
      <c r="B1" s="38" t="s">
        <v>78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2:16" ht="32.1" customHeight="1" x14ac:dyDescent="0.3">
      <c r="B2" s="50" t="s">
        <v>0</v>
      </c>
      <c r="C2" s="50"/>
      <c r="D2" s="50"/>
      <c r="E2" s="50"/>
      <c r="F2" s="50"/>
      <c r="G2" s="50"/>
      <c r="H2" s="50"/>
      <c r="I2" s="50"/>
      <c r="J2" s="50"/>
      <c r="K2" s="21"/>
      <c r="L2" s="21"/>
      <c r="M2" s="21"/>
      <c r="N2" s="21"/>
    </row>
    <row r="3" spans="2:16" ht="32.1" customHeight="1" x14ac:dyDescent="0.3">
      <c r="B3" s="40" t="s">
        <v>79</v>
      </c>
      <c r="C3" s="40" t="s">
        <v>3</v>
      </c>
      <c r="D3" s="40" t="s">
        <v>4</v>
      </c>
      <c r="E3" s="40" t="s">
        <v>49</v>
      </c>
      <c r="F3" s="42" t="s">
        <v>5</v>
      </c>
      <c r="G3" s="43"/>
      <c r="H3" s="42" t="s">
        <v>6</v>
      </c>
      <c r="I3" s="43"/>
      <c r="J3" s="42" t="s">
        <v>7</v>
      </c>
      <c r="K3" s="43"/>
      <c r="L3" s="42" t="s">
        <v>8</v>
      </c>
      <c r="M3" s="43"/>
      <c r="N3" s="40" t="s">
        <v>103</v>
      </c>
    </row>
    <row r="4" spans="2:16" ht="32.1" customHeight="1" x14ac:dyDescent="0.3">
      <c r="B4" s="41"/>
      <c r="C4" s="41"/>
      <c r="D4" s="41"/>
      <c r="E4" s="41"/>
      <c r="F4" s="7" t="s">
        <v>50</v>
      </c>
      <c r="G4" s="7" t="s">
        <v>51</v>
      </c>
      <c r="H4" s="7" t="s">
        <v>50</v>
      </c>
      <c r="I4" s="7" t="s">
        <v>51</v>
      </c>
      <c r="J4" s="7" t="s">
        <v>50</v>
      </c>
      <c r="K4" s="7" t="s">
        <v>51</v>
      </c>
      <c r="L4" s="7" t="s">
        <v>50</v>
      </c>
      <c r="M4" s="7" t="s">
        <v>51</v>
      </c>
      <c r="N4" s="41"/>
    </row>
    <row r="5" spans="2:16" ht="32.1" customHeight="1" x14ac:dyDescent="0.3">
      <c r="B5" s="60" t="s">
        <v>80</v>
      </c>
      <c r="C5" s="61"/>
      <c r="D5" s="61"/>
      <c r="E5" s="61"/>
      <c r="F5" s="62"/>
      <c r="G5" s="62"/>
      <c r="H5" s="62"/>
      <c r="I5" s="62"/>
      <c r="J5" s="62"/>
      <c r="K5" s="62"/>
      <c r="L5" s="62"/>
      <c r="M5" s="62"/>
      <c r="N5" s="61"/>
    </row>
    <row r="6" spans="2:16" ht="32.1" customHeight="1" x14ac:dyDescent="0.3">
      <c r="B6" s="13" t="s">
        <v>81</v>
      </c>
      <c r="C6" s="14"/>
      <c r="D6" s="13" t="s">
        <v>82</v>
      </c>
      <c r="E6" s="14">
        <v>1</v>
      </c>
      <c r="F6" s="31">
        <f>F7</f>
        <v>0</v>
      </c>
      <c r="G6" s="31">
        <f t="shared" ref="G6:G13" si="0">E6*F6</f>
        <v>0</v>
      </c>
      <c r="H6" s="31">
        <f>H7</f>
        <v>0</v>
      </c>
      <c r="I6" s="31">
        <f t="shared" ref="I6:I13" si="1">E6*H6</f>
        <v>0</v>
      </c>
      <c r="J6" s="31">
        <f>J7</f>
        <v>199270488</v>
      </c>
      <c r="K6" s="31">
        <f t="shared" ref="K6:K13" si="2">E6*J6</f>
        <v>199270488</v>
      </c>
      <c r="L6" s="31">
        <f t="shared" ref="L6:M13" si="3">F6+H6+J6</f>
        <v>199270488</v>
      </c>
      <c r="M6" s="31">
        <f t="shared" si="3"/>
        <v>199270488</v>
      </c>
      <c r="N6" s="348"/>
      <c r="O6" s="2" t="s">
        <v>83</v>
      </c>
      <c r="P6" s="1" t="s">
        <v>56</v>
      </c>
    </row>
    <row r="7" spans="2:16" ht="32.1" customHeight="1" x14ac:dyDescent="0.3">
      <c r="B7" s="13" t="s">
        <v>84</v>
      </c>
      <c r="C7" s="14"/>
      <c r="D7" s="13" t="s">
        <v>82</v>
      </c>
      <c r="E7" s="14">
        <v>1</v>
      </c>
      <c r="F7" s="31">
        <f>TRUNC('건축공사 내역'!H27,0)</f>
        <v>0</v>
      </c>
      <c r="G7" s="31">
        <f t="shared" si="0"/>
        <v>0</v>
      </c>
      <c r="H7" s="31">
        <f>TRUNC('건축공사 내역'!J27,0)</f>
        <v>0</v>
      </c>
      <c r="I7" s="31">
        <f t="shared" si="1"/>
        <v>0</v>
      </c>
      <c r="J7" s="31">
        <f>TRUNC('건축공사 내역'!L27,0)</f>
        <v>199270488</v>
      </c>
      <c r="K7" s="31">
        <f t="shared" si="2"/>
        <v>199270488</v>
      </c>
      <c r="L7" s="31">
        <f t="shared" si="3"/>
        <v>199270488</v>
      </c>
      <c r="M7" s="31">
        <f t="shared" si="3"/>
        <v>199270488</v>
      </c>
      <c r="N7" s="348"/>
      <c r="O7" s="2" t="s">
        <v>67</v>
      </c>
    </row>
    <row r="8" spans="2:16" ht="32.1" customHeight="1" x14ac:dyDescent="0.3">
      <c r="B8" s="13" t="s">
        <v>85</v>
      </c>
      <c r="C8" s="14"/>
      <c r="D8" s="13" t="s">
        <v>82</v>
      </c>
      <c r="E8" s="14">
        <v>1</v>
      </c>
      <c r="F8" s="31">
        <f>F9</f>
        <v>0</v>
      </c>
      <c r="G8" s="31">
        <f t="shared" si="0"/>
        <v>0</v>
      </c>
      <c r="H8" s="31">
        <f>H9</f>
        <v>0</v>
      </c>
      <c r="I8" s="31">
        <f t="shared" si="1"/>
        <v>0</v>
      </c>
      <c r="J8" s="31">
        <f>J9</f>
        <v>4233440</v>
      </c>
      <c r="K8" s="31">
        <f t="shared" si="2"/>
        <v>4233440</v>
      </c>
      <c r="L8" s="31">
        <f t="shared" si="3"/>
        <v>4233440</v>
      </c>
      <c r="M8" s="31">
        <f t="shared" si="3"/>
        <v>4233440</v>
      </c>
      <c r="N8" s="348"/>
      <c r="O8" s="2" t="s">
        <v>86</v>
      </c>
      <c r="P8" s="1" t="s">
        <v>56</v>
      </c>
    </row>
    <row r="9" spans="2:16" ht="32.1" customHeight="1" x14ac:dyDescent="0.3">
      <c r="B9" s="13" t="s">
        <v>87</v>
      </c>
      <c r="C9" s="14"/>
      <c r="D9" s="13" t="s">
        <v>82</v>
      </c>
      <c r="E9" s="14">
        <v>1</v>
      </c>
      <c r="F9" s="31">
        <f>TRUNC('건축공사 내역'!H50,0)</f>
        <v>0</v>
      </c>
      <c r="G9" s="31">
        <f t="shared" si="0"/>
        <v>0</v>
      </c>
      <c r="H9" s="31">
        <f>TRUNC('건축공사 내역'!J50,0)</f>
        <v>0</v>
      </c>
      <c r="I9" s="31">
        <f t="shared" si="1"/>
        <v>0</v>
      </c>
      <c r="J9" s="31">
        <f>TRUNC('건축공사 내역'!L50,0)</f>
        <v>4233440</v>
      </c>
      <c r="K9" s="31">
        <f t="shared" si="2"/>
        <v>4233440</v>
      </c>
      <c r="L9" s="31">
        <f t="shared" si="3"/>
        <v>4233440</v>
      </c>
      <c r="M9" s="31">
        <f t="shared" si="3"/>
        <v>4233440</v>
      </c>
      <c r="N9" s="348"/>
      <c r="O9" s="2" t="s">
        <v>71</v>
      </c>
    </row>
    <row r="10" spans="2:16" ht="32.1" customHeight="1" x14ac:dyDescent="0.3">
      <c r="B10" s="13" t="s">
        <v>88</v>
      </c>
      <c r="C10" s="14"/>
      <c r="D10" s="13" t="s">
        <v>82</v>
      </c>
      <c r="E10" s="14">
        <v>1</v>
      </c>
      <c r="F10" s="31">
        <f>F11</f>
        <v>0</v>
      </c>
      <c r="G10" s="31">
        <f t="shared" si="0"/>
        <v>0</v>
      </c>
      <c r="H10" s="31">
        <f>H11</f>
        <v>0</v>
      </c>
      <c r="I10" s="31">
        <f t="shared" si="1"/>
        <v>0</v>
      </c>
      <c r="J10" s="31">
        <f>J11</f>
        <v>38463</v>
      </c>
      <c r="K10" s="31">
        <f t="shared" si="2"/>
        <v>38463</v>
      </c>
      <c r="L10" s="31">
        <f t="shared" si="3"/>
        <v>38463</v>
      </c>
      <c r="M10" s="31">
        <f t="shared" si="3"/>
        <v>38463</v>
      </c>
      <c r="N10" s="348"/>
      <c r="O10" s="2" t="s">
        <v>89</v>
      </c>
      <c r="P10" s="1" t="s">
        <v>56</v>
      </c>
    </row>
    <row r="11" spans="2:16" ht="32.1" customHeight="1" x14ac:dyDescent="0.3">
      <c r="B11" s="13" t="s">
        <v>90</v>
      </c>
      <c r="C11" s="14"/>
      <c r="D11" s="13" t="s">
        <v>82</v>
      </c>
      <c r="E11" s="14">
        <v>1</v>
      </c>
      <c r="F11" s="31">
        <f>TRUNC('건축공사 내역'!H73,0)</f>
        <v>0</v>
      </c>
      <c r="G11" s="31">
        <f t="shared" si="0"/>
        <v>0</v>
      </c>
      <c r="H11" s="31">
        <f>TRUNC('건축공사 내역'!J73,0)</f>
        <v>0</v>
      </c>
      <c r="I11" s="31">
        <f t="shared" si="1"/>
        <v>0</v>
      </c>
      <c r="J11" s="31">
        <f>TRUNC('건축공사 내역'!L73,0)</f>
        <v>38463</v>
      </c>
      <c r="K11" s="31">
        <f t="shared" si="2"/>
        <v>38463</v>
      </c>
      <c r="L11" s="31">
        <f t="shared" si="3"/>
        <v>38463</v>
      </c>
      <c r="M11" s="31">
        <f t="shared" si="3"/>
        <v>38463</v>
      </c>
      <c r="N11" s="348"/>
      <c r="O11" s="2" t="s">
        <v>74</v>
      </c>
    </row>
    <row r="12" spans="2:16" ht="32.1" customHeight="1" x14ac:dyDescent="0.3">
      <c r="B12" s="13" t="s">
        <v>91</v>
      </c>
      <c r="C12" s="14"/>
      <c r="D12" s="13" t="s">
        <v>82</v>
      </c>
      <c r="E12" s="14">
        <v>1</v>
      </c>
      <c r="F12" s="31">
        <f>F13</f>
        <v>0</v>
      </c>
      <c r="G12" s="31">
        <f t="shared" si="0"/>
        <v>0</v>
      </c>
      <c r="H12" s="31">
        <f>H13</f>
        <v>0</v>
      </c>
      <c r="I12" s="31">
        <f t="shared" si="1"/>
        <v>0</v>
      </c>
      <c r="J12" s="31">
        <f>J13</f>
        <v>70637</v>
      </c>
      <c r="K12" s="31">
        <f t="shared" si="2"/>
        <v>70637</v>
      </c>
      <c r="L12" s="31">
        <f t="shared" si="3"/>
        <v>70637</v>
      </c>
      <c r="M12" s="31">
        <f t="shared" si="3"/>
        <v>70637</v>
      </c>
      <c r="N12" s="348"/>
      <c r="O12" s="2" t="s">
        <v>92</v>
      </c>
      <c r="P12" s="1" t="s">
        <v>56</v>
      </c>
    </row>
    <row r="13" spans="2:16" ht="32.1" customHeight="1" x14ac:dyDescent="0.3">
      <c r="B13" s="13" t="s">
        <v>93</v>
      </c>
      <c r="C13" s="14"/>
      <c r="D13" s="13" t="s">
        <v>82</v>
      </c>
      <c r="E13" s="14">
        <v>1</v>
      </c>
      <c r="F13" s="31">
        <f>TRUNC('건축공사 내역'!H96,0)</f>
        <v>0</v>
      </c>
      <c r="G13" s="31">
        <f t="shared" si="0"/>
        <v>0</v>
      </c>
      <c r="H13" s="31">
        <f>TRUNC('건축공사 내역'!J96,0)</f>
        <v>0</v>
      </c>
      <c r="I13" s="31">
        <f t="shared" si="1"/>
        <v>0</v>
      </c>
      <c r="J13" s="31">
        <f>TRUNC('건축공사 내역'!L96,0)</f>
        <v>70637</v>
      </c>
      <c r="K13" s="31">
        <f t="shared" si="2"/>
        <v>70637</v>
      </c>
      <c r="L13" s="31">
        <f t="shared" si="3"/>
        <v>70637</v>
      </c>
      <c r="M13" s="31">
        <f t="shared" si="3"/>
        <v>70637</v>
      </c>
      <c r="N13" s="348"/>
      <c r="O13" s="2" t="s">
        <v>77</v>
      </c>
    </row>
    <row r="14" spans="2:16" ht="32.1" customHeight="1" x14ac:dyDescent="0.3">
      <c r="B14" s="14"/>
      <c r="C14" s="14"/>
      <c r="D14" s="14"/>
      <c r="E14" s="14"/>
      <c r="F14" s="31"/>
      <c r="G14" s="31"/>
      <c r="H14" s="31"/>
      <c r="I14" s="31"/>
      <c r="J14" s="31"/>
      <c r="K14" s="31"/>
      <c r="L14" s="31"/>
      <c r="M14" s="31"/>
      <c r="N14" s="348"/>
    </row>
    <row r="15" spans="2:16" ht="32.1" customHeight="1" x14ac:dyDescent="0.3">
      <c r="B15" s="14"/>
      <c r="C15" s="14"/>
      <c r="D15" s="14"/>
      <c r="E15" s="14"/>
      <c r="F15" s="31"/>
      <c r="G15" s="31"/>
      <c r="H15" s="31"/>
      <c r="I15" s="31"/>
      <c r="J15" s="31"/>
      <c r="K15" s="31"/>
      <c r="L15" s="31"/>
      <c r="M15" s="31"/>
      <c r="N15" s="348"/>
    </row>
    <row r="16" spans="2:16" ht="32.1" customHeight="1" x14ac:dyDescent="0.3">
      <c r="B16" s="14"/>
      <c r="C16" s="14"/>
      <c r="D16" s="14"/>
      <c r="E16" s="14"/>
      <c r="F16" s="31"/>
      <c r="G16" s="31"/>
      <c r="H16" s="31"/>
      <c r="I16" s="31"/>
      <c r="J16" s="31"/>
      <c r="K16" s="31"/>
      <c r="L16" s="31"/>
      <c r="M16" s="31"/>
      <c r="N16" s="348"/>
    </row>
    <row r="17" spans="1:15" ht="32.1" customHeight="1" x14ac:dyDescent="0.3">
      <c r="B17" s="14"/>
      <c r="C17" s="14"/>
      <c r="D17" s="14"/>
      <c r="E17" s="14"/>
      <c r="F17" s="31"/>
      <c r="G17" s="31"/>
      <c r="H17" s="31"/>
      <c r="I17" s="31"/>
      <c r="J17" s="31"/>
      <c r="K17" s="31"/>
      <c r="L17" s="31"/>
      <c r="M17" s="31"/>
      <c r="N17" s="348"/>
    </row>
    <row r="18" spans="1:15" ht="32.1" customHeight="1" x14ac:dyDescent="0.3">
      <c r="B18" s="14"/>
      <c r="C18" s="14"/>
      <c r="D18" s="14"/>
      <c r="E18" s="14"/>
      <c r="F18" s="31"/>
      <c r="G18" s="31"/>
      <c r="H18" s="31"/>
      <c r="I18" s="31"/>
      <c r="J18" s="31"/>
      <c r="K18" s="31"/>
      <c r="L18" s="31"/>
      <c r="M18" s="31"/>
      <c r="N18" s="348"/>
    </row>
    <row r="19" spans="1:15" ht="32.1" customHeight="1" x14ac:dyDescent="0.3">
      <c r="B19" s="14"/>
      <c r="C19" s="14"/>
      <c r="D19" s="14"/>
      <c r="E19" s="14"/>
      <c r="F19" s="31"/>
      <c r="G19" s="31"/>
      <c r="H19" s="31"/>
      <c r="I19" s="31"/>
      <c r="J19" s="31"/>
      <c r="K19" s="31"/>
      <c r="L19" s="31"/>
      <c r="M19" s="31"/>
      <c r="N19" s="348"/>
    </row>
    <row r="20" spans="1:15" ht="32.1" customHeight="1" x14ac:dyDescent="0.3">
      <c r="B20" s="14"/>
      <c r="C20" s="14"/>
      <c r="D20" s="14"/>
      <c r="E20" s="14"/>
      <c r="F20" s="31"/>
      <c r="G20" s="31"/>
      <c r="H20" s="31"/>
      <c r="I20" s="31"/>
      <c r="J20" s="31"/>
      <c r="K20" s="31"/>
      <c r="L20" s="31"/>
      <c r="M20" s="31"/>
      <c r="N20" s="348"/>
    </row>
    <row r="21" spans="1:15" ht="32.1" customHeight="1" x14ac:dyDescent="0.3">
      <c r="B21" s="14"/>
      <c r="C21" s="14"/>
      <c r="D21" s="14"/>
      <c r="E21" s="14"/>
      <c r="F21" s="31"/>
      <c r="G21" s="31"/>
      <c r="H21" s="31"/>
      <c r="I21" s="31"/>
      <c r="J21" s="31"/>
      <c r="K21" s="31"/>
      <c r="L21" s="31"/>
      <c r="M21" s="31"/>
      <c r="N21" s="348"/>
    </row>
    <row r="22" spans="1:15" ht="32.1" customHeight="1" x14ac:dyDescent="0.3">
      <c r="B22" s="14"/>
      <c r="C22" s="14"/>
      <c r="D22" s="14"/>
      <c r="E22" s="14"/>
      <c r="F22" s="31"/>
      <c r="G22" s="31"/>
      <c r="H22" s="31"/>
      <c r="I22" s="31"/>
      <c r="J22" s="31"/>
      <c r="K22" s="31"/>
      <c r="L22" s="31"/>
      <c r="M22" s="31"/>
      <c r="N22" s="348"/>
    </row>
    <row r="23" spans="1:15" ht="32.1" customHeight="1" x14ac:dyDescent="0.3">
      <c r="B23" s="14"/>
      <c r="C23" s="14"/>
      <c r="D23" s="14"/>
      <c r="E23" s="14"/>
      <c r="F23" s="31"/>
      <c r="G23" s="31"/>
      <c r="H23" s="31"/>
      <c r="I23" s="31"/>
      <c r="J23" s="31"/>
      <c r="K23" s="31"/>
      <c r="L23" s="31"/>
      <c r="M23" s="31"/>
      <c r="N23" s="348"/>
    </row>
    <row r="24" spans="1:15" ht="32.1" customHeight="1" x14ac:dyDescent="0.3">
      <c r="B24" s="14"/>
      <c r="C24" s="14"/>
      <c r="D24" s="14"/>
      <c r="E24" s="14"/>
      <c r="F24" s="31"/>
      <c r="G24" s="31"/>
      <c r="H24" s="31"/>
      <c r="I24" s="31"/>
      <c r="J24" s="31"/>
      <c r="K24" s="31"/>
      <c r="L24" s="31"/>
      <c r="M24" s="31"/>
      <c r="N24" s="348"/>
    </row>
    <row r="25" spans="1:15" ht="32.1" customHeight="1" x14ac:dyDescent="0.3">
      <c r="B25" s="14"/>
      <c r="C25" s="14"/>
      <c r="D25" s="14"/>
      <c r="E25" s="14"/>
      <c r="F25" s="31"/>
      <c r="G25" s="31"/>
      <c r="H25" s="31"/>
      <c r="I25" s="31"/>
      <c r="J25" s="31"/>
      <c r="K25" s="31"/>
      <c r="L25" s="31"/>
      <c r="M25" s="31"/>
      <c r="N25" s="348"/>
    </row>
    <row r="26" spans="1:15" ht="32.1" customHeight="1" x14ac:dyDescent="0.3">
      <c r="B26" s="14"/>
      <c r="C26" s="14"/>
      <c r="D26" s="14"/>
      <c r="E26" s="14"/>
      <c r="F26" s="31"/>
      <c r="G26" s="31"/>
      <c r="H26" s="31"/>
      <c r="I26" s="31"/>
      <c r="J26" s="31"/>
      <c r="K26" s="31"/>
      <c r="L26" s="31"/>
      <c r="M26" s="31"/>
      <c r="N26" s="348"/>
    </row>
    <row r="27" spans="1:15" ht="32.1" customHeight="1" x14ac:dyDescent="0.3">
      <c r="A27" s="2" t="s">
        <v>59</v>
      </c>
      <c r="B27" s="37" t="s">
        <v>68</v>
      </c>
      <c r="C27" s="14"/>
      <c r="D27" s="14"/>
      <c r="E27" s="14"/>
      <c r="F27" s="31"/>
      <c r="G27" s="31">
        <f>SUMIF(P5:P26,"=S",G5:G26)</f>
        <v>0</v>
      </c>
      <c r="H27" s="31"/>
      <c r="I27" s="31">
        <f>SUMIF(P5:P26,"=S",I5:I26)</f>
        <v>0</v>
      </c>
      <c r="J27" s="31"/>
      <c r="K27" s="31">
        <f>SUMIF(P5:P26,"=S",K5:K26)</f>
        <v>203613028</v>
      </c>
      <c r="L27" s="31"/>
      <c r="M27" s="31">
        <f>SUMIF(P5:P26,"=S",M5:M26)</f>
        <v>203613028</v>
      </c>
      <c r="N27" s="348"/>
      <c r="O27" s="2" t="s">
        <v>59</v>
      </c>
    </row>
    <row r="28" spans="1:15" ht="32.1" customHeight="1" x14ac:dyDescent="0.3">
      <c r="N28" s="349"/>
    </row>
    <row r="29" spans="1:15" ht="32.1" customHeight="1" x14ac:dyDescent="0.3">
      <c r="N29" s="349"/>
    </row>
    <row r="30" spans="1:15" ht="32.1" customHeight="1" x14ac:dyDescent="0.3">
      <c r="N30" s="349"/>
    </row>
    <row r="31" spans="1:15" ht="32.1" customHeight="1" x14ac:dyDescent="0.3">
      <c r="N31" s="349"/>
    </row>
    <row r="32" spans="1:15" ht="32.1" customHeight="1" x14ac:dyDescent="0.3">
      <c r="N32" s="349"/>
    </row>
    <row r="33" spans="14:14" ht="32.1" customHeight="1" x14ac:dyDescent="0.3">
      <c r="N33" s="349"/>
    </row>
    <row r="34" spans="14:14" ht="32.1" customHeight="1" x14ac:dyDescent="0.3">
      <c r="N34" s="349"/>
    </row>
    <row r="35" spans="14:14" ht="32.1" customHeight="1" x14ac:dyDescent="0.3">
      <c r="N35" s="349"/>
    </row>
    <row r="36" spans="14:14" ht="32.1" customHeight="1" x14ac:dyDescent="0.3">
      <c r="N36" s="349"/>
    </row>
    <row r="37" spans="14:14" ht="32.1" customHeight="1" x14ac:dyDescent="0.3">
      <c r="N37" s="349"/>
    </row>
    <row r="38" spans="14:14" ht="32.1" customHeight="1" x14ac:dyDescent="0.3">
      <c r="N38" s="349"/>
    </row>
    <row r="39" spans="14:14" ht="32.1" customHeight="1" x14ac:dyDescent="0.3">
      <c r="N39" s="349"/>
    </row>
    <row r="40" spans="14:14" ht="32.1" customHeight="1" x14ac:dyDescent="0.3">
      <c r="N40" s="349"/>
    </row>
    <row r="41" spans="14:14" ht="32.1" customHeight="1" x14ac:dyDescent="0.3">
      <c r="N41" s="349"/>
    </row>
    <row r="42" spans="14:14" ht="32.1" customHeight="1" x14ac:dyDescent="0.3">
      <c r="N42" s="349"/>
    </row>
    <row r="43" spans="14:14" ht="32.1" customHeight="1" x14ac:dyDescent="0.3">
      <c r="N43" s="349"/>
    </row>
    <row r="44" spans="14:14" ht="32.1" customHeight="1" x14ac:dyDescent="0.3">
      <c r="N44" s="349"/>
    </row>
    <row r="45" spans="14:14" ht="32.1" customHeight="1" x14ac:dyDescent="0.3">
      <c r="N45" s="349"/>
    </row>
    <row r="46" spans="14:14" ht="32.1" customHeight="1" x14ac:dyDescent="0.3">
      <c r="N46" s="349"/>
    </row>
    <row r="47" spans="14:14" ht="32.1" customHeight="1" x14ac:dyDescent="0.3">
      <c r="N47" s="349"/>
    </row>
    <row r="48" spans="14:14" ht="32.1" customHeight="1" x14ac:dyDescent="0.3">
      <c r="N48" s="349"/>
    </row>
    <row r="49" spans="14:14" ht="32.1" customHeight="1" x14ac:dyDescent="0.3">
      <c r="N49" s="349"/>
    </row>
    <row r="50" spans="14:14" ht="32.1" customHeight="1" x14ac:dyDescent="0.3">
      <c r="N50" s="349"/>
    </row>
    <row r="51" spans="14:14" ht="32.1" customHeight="1" x14ac:dyDescent="0.3">
      <c r="N51" s="349"/>
    </row>
    <row r="52" spans="14:14" ht="32.1" customHeight="1" x14ac:dyDescent="0.3">
      <c r="N52" s="349"/>
    </row>
    <row r="53" spans="14:14" ht="32.1" customHeight="1" x14ac:dyDescent="0.3">
      <c r="N53" s="349"/>
    </row>
    <row r="54" spans="14:14" ht="32.1" customHeight="1" x14ac:dyDescent="0.3">
      <c r="N54" s="349"/>
    </row>
    <row r="55" spans="14:14" ht="32.1" customHeight="1" x14ac:dyDescent="0.3">
      <c r="N55" s="349"/>
    </row>
    <row r="56" spans="14:14" ht="32.1" customHeight="1" x14ac:dyDescent="0.3">
      <c r="N56" s="349"/>
    </row>
    <row r="57" spans="14:14" ht="32.1" customHeight="1" x14ac:dyDescent="0.3">
      <c r="N57" s="349"/>
    </row>
    <row r="58" spans="14:14" ht="32.1" customHeight="1" x14ac:dyDescent="0.3">
      <c r="N58" s="349"/>
    </row>
    <row r="59" spans="14:14" ht="32.1" customHeight="1" x14ac:dyDescent="0.3">
      <c r="N59" s="349"/>
    </row>
    <row r="60" spans="14:14" ht="32.1" customHeight="1" x14ac:dyDescent="0.3">
      <c r="N60" s="349"/>
    </row>
    <row r="61" spans="14:14" ht="32.1" customHeight="1" x14ac:dyDescent="0.3">
      <c r="N61" s="349"/>
    </row>
    <row r="62" spans="14:14" ht="32.1" customHeight="1" x14ac:dyDescent="0.3">
      <c r="N62" s="349"/>
    </row>
    <row r="63" spans="14:14" ht="32.1" customHeight="1" x14ac:dyDescent="0.3">
      <c r="N63" s="349"/>
    </row>
    <row r="64" spans="14:14" ht="32.1" customHeight="1" x14ac:dyDescent="0.3">
      <c r="N64" s="349"/>
    </row>
    <row r="65" spans="14:14" ht="32.1" customHeight="1" x14ac:dyDescent="0.3">
      <c r="N65" s="349"/>
    </row>
    <row r="66" spans="14:14" ht="32.1" customHeight="1" x14ac:dyDescent="0.3">
      <c r="N66" s="349"/>
    </row>
    <row r="67" spans="14:14" ht="32.1" customHeight="1" x14ac:dyDescent="0.3">
      <c r="N67" s="349"/>
    </row>
    <row r="68" spans="14:14" ht="32.1" customHeight="1" x14ac:dyDescent="0.3">
      <c r="N68" s="349"/>
    </row>
    <row r="69" spans="14:14" ht="32.1" customHeight="1" x14ac:dyDescent="0.3">
      <c r="N69" s="349"/>
    </row>
    <row r="70" spans="14:14" ht="32.1" customHeight="1" x14ac:dyDescent="0.3">
      <c r="N70" s="349"/>
    </row>
    <row r="71" spans="14:14" ht="32.1" customHeight="1" x14ac:dyDescent="0.3">
      <c r="N71" s="349"/>
    </row>
    <row r="72" spans="14:14" ht="32.1" customHeight="1" x14ac:dyDescent="0.3">
      <c r="N72" s="349"/>
    </row>
    <row r="73" spans="14:14" ht="32.1" customHeight="1" x14ac:dyDescent="0.3">
      <c r="N73" s="349"/>
    </row>
    <row r="74" spans="14:14" ht="32.1" customHeight="1" x14ac:dyDescent="0.3">
      <c r="N74" s="349"/>
    </row>
    <row r="75" spans="14:14" ht="32.1" customHeight="1" x14ac:dyDescent="0.3">
      <c r="N75" s="349"/>
    </row>
    <row r="76" spans="14:14" ht="32.1" customHeight="1" x14ac:dyDescent="0.3">
      <c r="N76" s="349"/>
    </row>
    <row r="77" spans="14:14" ht="32.1" customHeight="1" x14ac:dyDescent="0.3">
      <c r="N77" s="349"/>
    </row>
    <row r="78" spans="14:14" ht="32.1" customHeight="1" x14ac:dyDescent="0.3">
      <c r="N78" s="349"/>
    </row>
    <row r="79" spans="14:14" ht="32.1" customHeight="1" x14ac:dyDescent="0.3">
      <c r="N79" s="349"/>
    </row>
    <row r="80" spans="14:14" ht="32.1" customHeight="1" x14ac:dyDescent="0.3">
      <c r="N80" s="349"/>
    </row>
    <row r="81" spans="14:14" ht="32.1" customHeight="1" x14ac:dyDescent="0.3">
      <c r="N81" s="349"/>
    </row>
    <row r="82" spans="14:14" ht="32.1" customHeight="1" x14ac:dyDescent="0.3">
      <c r="N82" s="349"/>
    </row>
    <row r="83" spans="14:14" ht="32.1" customHeight="1" x14ac:dyDescent="0.3">
      <c r="N83" s="349"/>
    </row>
    <row r="84" spans="14:14" ht="32.1" customHeight="1" x14ac:dyDescent="0.3">
      <c r="N84" s="349"/>
    </row>
    <row r="85" spans="14:14" ht="32.1" customHeight="1" x14ac:dyDescent="0.3">
      <c r="N85" s="349"/>
    </row>
    <row r="86" spans="14:14" ht="32.1" customHeight="1" x14ac:dyDescent="0.3">
      <c r="N86" s="349"/>
    </row>
    <row r="87" spans="14:14" ht="32.1" customHeight="1" x14ac:dyDescent="0.3">
      <c r="N87" s="349"/>
    </row>
    <row r="88" spans="14:14" ht="32.1" customHeight="1" x14ac:dyDescent="0.3">
      <c r="N88" s="349"/>
    </row>
    <row r="89" spans="14:14" ht="32.1" customHeight="1" x14ac:dyDescent="0.3">
      <c r="N89" s="349"/>
    </row>
    <row r="90" spans="14:14" ht="32.1" customHeight="1" x14ac:dyDescent="0.3">
      <c r="N90" s="349"/>
    </row>
    <row r="91" spans="14:14" ht="32.1" customHeight="1" x14ac:dyDescent="0.3">
      <c r="N91" s="349"/>
    </row>
    <row r="92" spans="14:14" ht="32.1" customHeight="1" x14ac:dyDescent="0.3">
      <c r="N92" s="349"/>
    </row>
    <row r="93" spans="14:14" ht="32.1" customHeight="1" x14ac:dyDescent="0.3">
      <c r="N93" s="349"/>
    </row>
    <row r="94" spans="14:14" ht="32.1" customHeight="1" x14ac:dyDescent="0.3">
      <c r="N94" s="349"/>
    </row>
    <row r="95" spans="14:14" ht="32.1" customHeight="1" x14ac:dyDescent="0.3">
      <c r="N95" s="349"/>
    </row>
    <row r="96" spans="14:14" ht="32.1" customHeight="1" x14ac:dyDescent="0.3">
      <c r="N96" s="349"/>
    </row>
    <row r="97" spans="14:14" ht="32.1" customHeight="1" x14ac:dyDescent="0.3">
      <c r="N97" s="349"/>
    </row>
    <row r="98" spans="14:14" ht="32.1" customHeight="1" x14ac:dyDescent="0.3">
      <c r="N98" s="349"/>
    </row>
    <row r="99" spans="14:14" ht="32.1" customHeight="1" x14ac:dyDescent="0.3">
      <c r="N99" s="349"/>
    </row>
    <row r="100" spans="14:14" ht="32.1" customHeight="1" x14ac:dyDescent="0.3">
      <c r="N100" s="349"/>
    </row>
    <row r="101" spans="14:14" ht="32.1" customHeight="1" x14ac:dyDescent="0.3">
      <c r="N101" s="349"/>
    </row>
    <row r="102" spans="14:14" ht="32.1" customHeight="1" x14ac:dyDescent="0.3">
      <c r="N102" s="349"/>
    </row>
    <row r="103" spans="14:14" ht="32.1" customHeight="1" x14ac:dyDescent="0.3">
      <c r="N103" s="349"/>
    </row>
    <row r="104" spans="14:14" ht="32.1" customHeight="1" x14ac:dyDescent="0.3">
      <c r="N104" s="349"/>
    </row>
    <row r="105" spans="14:14" ht="32.1" customHeight="1" x14ac:dyDescent="0.3">
      <c r="N105" s="349"/>
    </row>
    <row r="106" spans="14:14" ht="32.1" customHeight="1" x14ac:dyDescent="0.3">
      <c r="N106" s="349"/>
    </row>
    <row r="107" spans="14:14" ht="32.1" customHeight="1" x14ac:dyDescent="0.3">
      <c r="N107" s="349"/>
    </row>
    <row r="108" spans="14:14" ht="32.1" customHeight="1" x14ac:dyDescent="0.3">
      <c r="N108" s="349"/>
    </row>
    <row r="109" spans="14:14" ht="32.1" customHeight="1" x14ac:dyDescent="0.3">
      <c r="N109" s="349"/>
    </row>
    <row r="110" spans="14:14" ht="32.1" customHeight="1" x14ac:dyDescent="0.3">
      <c r="N110" s="349"/>
    </row>
    <row r="111" spans="14:14" ht="32.1" customHeight="1" x14ac:dyDescent="0.3">
      <c r="N111" s="349"/>
    </row>
    <row r="112" spans="14:14" ht="32.1" customHeight="1" x14ac:dyDescent="0.3">
      <c r="N112" s="349"/>
    </row>
    <row r="113" spans="14:14" ht="32.1" customHeight="1" x14ac:dyDescent="0.3">
      <c r="N113" s="349"/>
    </row>
    <row r="114" spans="14:14" ht="32.1" customHeight="1" x14ac:dyDescent="0.3">
      <c r="N114" s="349"/>
    </row>
    <row r="115" spans="14:14" ht="32.1" customHeight="1" x14ac:dyDescent="0.3">
      <c r="N115" s="349"/>
    </row>
    <row r="116" spans="14:14" ht="32.1" customHeight="1" x14ac:dyDescent="0.3">
      <c r="N116" s="349"/>
    </row>
    <row r="117" spans="14:14" ht="32.1" customHeight="1" x14ac:dyDescent="0.3">
      <c r="N117" s="349"/>
    </row>
    <row r="118" spans="14:14" ht="32.1" customHeight="1" x14ac:dyDescent="0.3">
      <c r="N118" s="349"/>
    </row>
    <row r="119" spans="14:14" ht="32.1" customHeight="1" x14ac:dyDescent="0.3">
      <c r="N119" s="349"/>
    </row>
    <row r="120" spans="14:14" ht="32.1" customHeight="1" x14ac:dyDescent="0.3">
      <c r="N120" s="349"/>
    </row>
    <row r="121" spans="14:14" ht="32.1" customHeight="1" x14ac:dyDescent="0.3">
      <c r="N121" s="349"/>
    </row>
    <row r="122" spans="14:14" ht="32.1" customHeight="1" x14ac:dyDescent="0.3">
      <c r="N122" s="349"/>
    </row>
    <row r="123" spans="14:14" ht="32.1" customHeight="1" x14ac:dyDescent="0.3">
      <c r="N123" s="349"/>
    </row>
    <row r="124" spans="14:14" ht="32.1" customHeight="1" x14ac:dyDescent="0.3">
      <c r="N124" s="349"/>
    </row>
    <row r="125" spans="14:14" ht="32.1" customHeight="1" x14ac:dyDescent="0.3">
      <c r="N125" s="349"/>
    </row>
    <row r="126" spans="14:14" ht="32.1" customHeight="1" x14ac:dyDescent="0.3">
      <c r="N126" s="349"/>
    </row>
    <row r="127" spans="14:14" ht="32.1" customHeight="1" x14ac:dyDescent="0.3">
      <c r="N127" s="349"/>
    </row>
    <row r="128" spans="14:14" ht="32.1" customHeight="1" x14ac:dyDescent="0.3">
      <c r="N128" s="349"/>
    </row>
    <row r="129" spans="14:14" ht="32.1" customHeight="1" x14ac:dyDescent="0.3">
      <c r="N129" s="349"/>
    </row>
    <row r="130" spans="14:14" ht="32.1" customHeight="1" x14ac:dyDescent="0.3">
      <c r="N130" s="349"/>
    </row>
    <row r="131" spans="14:14" ht="32.1" customHeight="1" x14ac:dyDescent="0.3">
      <c r="N131" s="349"/>
    </row>
    <row r="132" spans="14:14" ht="32.1" customHeight="1" x14ac:dyDescent="0.3">
      <c r="N132" s="349"/>
    </row>
    <row r="133" spans="14:14" ht="32.1" customHeight="1" x14ac:dyDescent="0.3">
      <c r="N133" s="349"/>
    </row>
    <row r="134" spans="14:14" ht="32.1" customHeight="1" x14ac:dyDescent="0.3">
      <c r="N134" s="349"/>
    </row>
    <row r="135" spans="14:14" ht="32.1" customHeight="1" x14ac:dyDescent="0.3">
      <c r="N135" s="349"/>
    </row>
    <row r="136" spans="14:14" ht="32.1" customHeight="1" x14ac:dyDescent="0.3">
      <c r="N136" s="349"/>
    </row>
    <row r="137" spans="14:14" ht="32.1" customHeight="1" x14ac:dyDescent="0.3">
      <c r="N137" s="349"/>
    </row>
    <row r="138" spans="14:14" ht="32.1" customHeight="1" x14ac:dyDescent="0.3">
      <c r="N138" s="349"/>
    </row>
    <row r="139" spans="14:14" ht="32.1" customHeight="1" x14ac:dyDescent="0.3">
      <c r="N139" s="349"/>
    </row>
    <row r="140" spans="14:14" ht="32.1" customHeight="1" x14ac:dyDescent="0.3">
      <c r="N140" s="349"/>
    </row>
    <row r="141" spans="14:14" ht="32.1" customHeight="1" x14ac:dyDescent="0.3">
      <c r="N141" s="349"/>
    </row>
    <row r="142" spans="14:14" ht="32.1" customHeight="1" x14ac:dyDescent="0.3">
      <c r="N142" s="349"/>
    </row>
    <row r="143" spans="14:14" ht="32.1" customHeight="1" x14ac:dyDescent="0.3">
      <c r="N143" s="349"/>
    </row>
    <row r="144" spans="14:14" ht="32.1" customHeight="1" x14ac:dyDescent="0.3">
      <c r="N144" s="349"/>
    </row>
    <row r="145" spans="14:14" ht="32.1" customHeight="1" x14ac:dyDescent="0.3">
      <c r="N145" s="349"/>
    </row>
    <row r="146" spans="14:14" ht="32.1" customHeight="1" x14ac:dyDescent="0.3">
      <c r="N146" s="349"/>
    </row>
    <row r="147" spans="14:14" ht="32.1" customHeight="1" x14ac:dyDescent="0.3">
      <c r="N147" s="349"/>
    </row>
    <row r="148" spans="14:14" ht="32.1" customHeight="1" x14ac:dyDescent="0.3">
      <c r="N148" s="349"/>
    </row>
    <row r="149" spans="14:14" ht="32.1" customHeight="1" x14ac:dyDescent="0.3">
      <c r="N149" s="349"/>
    </row>
    <row r="150" spans="14:14" ht="32.1" customHeight="1" x14ac:dyDescent="0.3">
      <c r="N150" s="349"/>
    </row>
    <row r="151" spans="14:14" ht="32.1" customHeight="1" x14ac:dyDescent="0.3">
      <c r="N151" s="349"/>
    </row>
    <row r="152" spans="14:14" ht="32.1" customHeight="1" x14ac:dyDescent="0.3">
      <c r="N152" s="349"/>
    </row>
    <row r="153" spans="14:14" ht="32.1" customHeight="1" x14ac:dyDescent="0.3">
      <c r="N153" s="349"/>
    </row>
    <row r="154" spans="14:14" ht="32.1" customHeight="1" x14ac:dyDescent="0.3">
      <c r="N154" s="349"/>
    </row>
    <row r="155" spans="14:14" ht="32.1" customHeight="1" x14ac:dyDescent="0.3">
      <c r="N155" s="349"/>
    </row>
    <row r="156" spans="14:14" ht="32.1" customHeight="1" x14ac:dyDescent="0.3">
      <c r="N156" s="349"/>
    </row>
    <row r="157" spans="14:14" ht="32.1" customHeight="1" x14ac:dyDescent="0.3">
      <c r="N157" s="349"/>
    </row>
    <row r="158" spans="14:14" ht="32.1" customHeight="1" x14ac:dyDescent="0.3">
      <c r="N158" s="349"/>
    </row>
    <row r="159" spans="14:14" ht="32.1" customHeight="1" x14ac:dyDescent="0.3">
      <c r="N159" s="349"/>
    </row>
    <row r="160" spans="14:14" ht="32.1" customHeight="1" x14ac:dyDescent="0.3">
      <c r="N160" s="349"/>
    </row>
    <row r="161" spans="14:14" ht="32.1" customHeight="1" x14ac:dyDescent="0.3">
      <c r="N161" s="349"/>
    </row>
    <row r="162" spans="14:14" ht="32.1" customHeight="1" x14ac:dyDescent="0.3">
      <c r="N162" s="349"/>
    </row>
    <row r="163" spans="14:14" ht="32.1" customHeight="1" x14ac:dyDescent="0.3">
      <c r="N163" s="349"/>
    </row>
    <row r="164" spans="14:14" ht="32.1" customHeight="1" x14ac:dyDescent="0.3">
      <c r="N164" s="349"/>
    </row>
    <row r="165" spans="14:14" ht="32.1" customHeight="1" x14ac:dyDescent="0.3">
      <c r="N165" s="349"/>
    </row>
    <row r="166" spans="14:14" ht="32.1" customHeight="1" x14ac:dyDescent="0.3">
      <c r="N166" s="349"/>
    </row>
    <row r="167" spans="14:14" ht="32.1" customHeight="1" x14ac:dyDescent="0.3">
      <c r="N167" s="349"/>
    </row>
    <row r="168" spans="14:14" ht="32.1" customHeight="1" x14ac:dyDescent="0.3">
      <c r="N168" s="349"/>
    </row>
    <row r="169" spans="14:14" ht="32.1" customHeight="1" x14ac:dyDescent="0.3">
      <c r="N169" s="349"/>
    </row>
    <row r="170" spans="14:14" ht="32.1" customHeight="1" x14ac:dyDescent="0.3">
      <c r="N170" s="349"/>
    </row>
    <row r="171" spans="14:14" ht="32.1" customHeight="1" x14ac:dyDescent="0.3">
      <c r="N171" s="349"/>
    </row>
    <row r="172" spans="14:14" ht="32.1" customHeight="1" x14ac:dyDescent="0.3">
      <c r="N172" s="349"/>
    </row>
    <row r="173" spans="14:14" ht="32.1" customHeight="1" x14ac:dyDescent="0.3">
      <c r="N173" s="349"/>
    </row>
    <row r="174" spans="14:14" ht="32.1" customHeight="1" x14ac:dyDescent="0.3">
      <c r="N174" s="349"/>
    </row>
    <row r="175" spans="14:14" ht="32.1" customHeight="1" x14ac:dyDescent="0.3">
      <c r="N175" s="349"/>
    </row>
    <row r="176" spans="14:14" ht="32.1" customHeight="1" x14ac:dyDescent="0.3">
      <c r="N176" s="349"/>
    </row>
    <row r="177" spans="14:14" ht="32.1" customHeight="1" x14ac:dyDescent="0.3">
      <c r="N177" s="349"/>
    </row>
    <row r="178" spans="14:14" ht="32.1" customHeight="1" x14ac:dyDescent="0.3">
      <c r="N178" s="349"/>
    </row>
    <row r="179" spans="14:14" ht="32.1" customHeight="1" x14ac:dyDescent="0.3">
      <c r="N179" s="349"/>
    </row>
    <row r="180" spans="14:14" ht="32.1" customHeight="1" x14ac:dyDescent="0.3">
      <c r="N180" s="349"/>
    </row>
    <row r="181" spans="14:14" ht="32.1" customHeight="1" x14ac:dyDescent="0.3">
      <c r="N181" s="349"/>
    </row>
    <row r="182" spans="14:14" ht="32.1" customHeight="1" x14ac:dyDescent="0.3">
      <c r="N182" s="349"/>
    </row>
    <row r="183" spans="14:14" ht="32.1" customHeight="1" x14ac:dyDescent="0.3">
      <c r="N183" s="349"/>
    </row>
    <row r="184" spans="14:14" ht="32.1" customHeight="1" x14ac:dyDescent="0.3">
      <c r="N184" s="349"/>
    </row>
    <row r="185" spans="14:14" ht="32.1" customHeight="1" x14ac:dyDescent="0.3">
      <c r="N185" s="349"/>
    </row>
    <row r="186" spans="14:14" ht="32.1" customHeight="1" x14ac:dyDescent="0.3">
      <c r="N186" s="349"/>
    </row>
    <row r="187" spans="14:14" ht="32.1" customHeight="1" x14ac:dyDescent="0.3">
      <c r="N187" s="349"/>
    </row>
    <row r="188" spans="14:14" ht="32.1" customHeight="1" x14ac:dyDescent="0.3">
      <c r="N188" s="349"/>
    </row>
    <row r="189" spans="14:14" ht="32.1" customHeight="1" x14ac:dyDescent="0.3">
      <c r="N189" s="349"/>
    </row>
    <row r="190" spans="14:14" ht="32.1" customHeight="1" x14ac:dyDescent="0.3">
      <c r="N190" s="349"/>
    </row>
    <row r="191" spans="14:14" ht="32.1" customHeight="1" x14ac:dyDescent="0.3">
      <c r="N191" s="349"/>
    </row>
    <row r="192" spans="14:14" ht="32.1" customHeight="1" x14ac:dyDescent="0.3">
      <c r="N192" s="349"/>
    </row>
    <row r="193" spans="14:14" ht="32.1" customHeight="1" x14ac:dyDescent="0.3">
      <c r="N193" s="349"/>
    </row>
    <row r="194" spans="14:14" ht="32.1" customHeight="1" x14ac:dyDescent="0.3">
      <c r="N194" s="349"/>
    </row>
    <row r="195" spans="14:14" ht="32.1" customHeight="1" x14ac:dyDescent="0.3">
      <c r="N195" s="349"/>
    </row>
    <row r="196" spans="14:14" ht="32.1" customHeight="1" x14ac:dyDescent="0.3">
      <c r="N196" s="349"/>
    </row>
    <row r="197" spans="14:14" ht="32.1" customHeight="1" x14ac:dyDescent="0.3">
      <c r="N197" s="349"/>
    </row>
    <row r="198" spans="14:14" ht="32.1" customHeight="1" x14ac:dyDescent="0.3">
      <c r="N198" s="349"/>
    </row>
    <row r="199" spans="14:14" ht="32.1" customHeight="1" x14ac:dyDescent="0.3">
      <c r="N199" s="349"/>
    </row>
    <row r="200" spans="14:14" ht="32.1" customHeight="1" x14ac:dyDescent="0.3">
      <c r="N200" s="349"/>
    </row>
    <row r="201" spans="14:14" ht="32.1" customHeight="1" x14ac:dyDescent="0.3">
      <c r="N201" s="349"/>
    </row>
    <row r="202" spans="14:14" ht="32.1" customHeight="1" x14ac:dyDescent="0.3">
      <c r="N202" s="349"/>
    </row>
    <row r="203" spans="14:14" ht="32.1" customHeight="1" x14ac:dyDescent="0.3">
      <c r="N203" s="349"/>
    </row>
    <row r="204" spans="14:14" ht="32.1" customHeight="1" x14ac:dyDescent="0.3">
      <c r="N204" s="349"/>
    </row>
    <row r="205" spans="14:14" ht="32.1" customHeight="1" x14ac:dyDescent="0.3">
      <c r="N205" s="349"/>
    </row>
    <row r="206" spans="14:14" ht="32.1" customHeight="1" x14ac:dyDescent="0.3">
      <c r="N206" s="349"/>
    </row>
    <row r="207" spans="14:14" ht="32.1" customHeight="1" x14ac:dyDescent="0.3">
      <c r="N207" s="349"/>
    </row>
    <row r="208" spans="14:14" ht="32.1" customHeight="1" x14ac:dyDescent="0.3">
      <c r="N208" s="349"/>
    </row>
    <row r="209" spans="14:14" ht="32.1" customHeight="1" x14ac:dyDescent="0.3">
      <c r="N209" s="349"/>
    </row>
    <row r="210" spans="14:14" ht="32.1" customHeight="1" x14ac:dyDescent="0.3">
      <c r="N210" s="349"/>
    </row>
    <row r="211" spans="14:14" ht="32.1" customHeight="1" x14ac:dyDescent="0.3">
      <c r="N211" s="349"/>
    </row>
    <row r="212" spans="14:14" ht="32.1" customHeight="1" x14ac:dyDescent="0.3">
      <c r="N212" s="349"/>
    </row>
    <row r="213" spans="14:14" ht="32.1" customHeight="1" x14ac:dyDescent="0.3">
      <c r="N213" s="349"/>
    </row>
    <row r="214" spans="14:14" ht="32.1" customHeight="1" x14ac:dyDescent="0.3">
      <c r="N214" s="349"/>
    </row>
    <row r="215" spans="14:14" ht="32.1" customHeight="1" x14ac:dyDescent="0.3">
      <c r="N215" s="349"/>
    </row>
    <row r="216" spans="14:14" ht="32.1" customHeight="1" x14ac:dyDescent="0.3">
      <c r="N216" s="349"/>
    </row>
    <row r="217" spans="14:14" ht="32.1" customHeight="1" x14ac:dyDescent="0.3">
      <c r="N217" s="349"/>
    </row>
    <row r="218" spans="14:14" ht="32.1" customHeight="1" x14ac:dyDescent="0.3">
      <c r="N218" s="349"/>
    </row>
    <row r="219" spans="14:14" ht="32.1" customHeight="1" x14ac:dyDescent="0.3">
      <c r="N219" s="349"/>
    </row>
    <row r="220" spans="14:14" ht="32.1" customHeight="1" x14ac:dyDescent="0.3">
      <c r="N220" s="349"/>
    </row>
    <row r="221" spans="14:14" ht="32.1" customHeight="1" x14ac:dyDescent="0.3">
      <c r="N221" s="349"/>
    </row>
    <row r="222" spans="14:14" ht="32.1" customHeight="1" x14ac:dyDescent="0.3">
      <c r="N222" s="349"/>
    </row>
    <row r="223" spans="14:14" ht="32.1" customHeight="1" x14ac:dyDescent="0.3">
      <c r="N223" s="349"/>
    </row>
    <row r="224" spans="14:14" ht="32.1" customHeight="1" x14ac:dyDescent="0.3">
      <c r="N224" s="349"/>
    </row>
    <row r="225" spans="14:14" ht="32.1" customHeight="1" x14ac:dyDescent="0.3">
      <c r="N225" s="349"/>
    </row>
    <row r="226" spans="14:14" ht="32.1" customHeight="1" x14ac:dyDescent="0.3">
      <c r="N226" s="349"/>
    </row>
    <row r="227" spans="14:14" ht="32.1" customHeight="1" x14ac:dyDescent="0.3">
      <c r="N227" s="349"/>
    </row>
    <row r="228" spans="14:14" ht="32.1" customHeight="1" x14ac:dyDescent="0.3">
      <c r="N228" s="349"/>
    </row>
    <row r="229" spans="14:14" ht="32.1" customHeight="1" x14ac:dyDescent="0.3">
      <c r="N229" s="349"/>
    </row>
    <row r="230" spans="14:14" ht="32.1" customHeight="1" x14ac:dyDescent="0.3">
      <c r="N230" s="349"/>
    </row>
    <row r="231" spans="14:14" ht="32.1" customHeight="1" x14ac:dyDescent="0.3">
      <c r="N231" s="349"/>
    </row>
    <row r="232" spans="14:14" ht="32.1" customHeight="1" x14ac:dyDescent="0.3">
      <c r="N232" s="349"/>
    </row>
    <row r="233" spans="14:14" ht="32.1" customHeight="1" x14ac:dyDescent="0.3">
      <c r="N233" s="349"/>
    </row>
    <row r="234" spans="14:14" ht="32.1" customHeight="1" x14ac:dyDescent="0.3">
      <c r="N234" s="349"/>
    </row>
    <row r="235" spans="14:14" ht="32.1" customHeight="1" x14ac:dyDescent="0.3">
      <c r="N235" s="349"/>
    </row>
    <row r="236" spans="14:14" ht="32.1" customHeight="1" x14ac:dyDescent="0.3">
      <c r="N236" s="349"/>
    </row>
    <row r="237" spans="14:14" ht="32.1" customHeight="1" x14ac:dyDescent="0.3">
      <c r="N237" s="349"/>
    </row>
    <row r="238" spans="14:14" ht="32.1" customHeight="1" x14ac:dyDescent="0.3">
      <c r="N238" s="349"/>
    </row>
    <row r="239" spans="14:14" ht="32.1" customHeight="1" x14ac:dyDescent="0.3">
      <c r="N239" s="349"/>
    </row>
    <row r="240" spans="14:14" ht="32.1" customHeight="1" x14ac:dyDescent="0.3">
      <c r="N240" s="349"/>
    </row>
    <row r="241" spans="14:14" ht="32.1" customHeight="1" x14ac:dyDescent="0.3">
      <c r="N241" s="349"/>
    </row>
    <row r="242" spans="14:14" ht="32.1" customHeight="1" x14ac:dyDescent="0.3">
      <c r="N242" s="349"/>
    </row>
    <row r="243" spans="14:14" ht="32.1" customHeight="1" x14ac:dyDescent="0.3">
      <c r="N243" s="349"/>
    </row>
    <row r="244" spans="14:14" ht="32.1" customHeight="1" x14ac:dyDescent="0.3">
      <c r="N244" s="349"/>
    </row>
    <row r="245" spans="14:14" ht="32.1" customHeight="1" x14ac:dyDescent="0.3">
      <c r="N245" s="349"/>
    </row>
    <row r="246" spans="14:14" ht="32.1" customHeight="1" x14ac:dyDescent="0.3">
      <c r="N246" s="349"/>
    </row>
    <row r="247" spans="14:14" ht="32.1" customHeight="1" x14ac:dyDescent="0.3">
      <c r="N247" s="349"/>
    </row>
    <row r="248" spans="14:14" ht="32.1" customHeight="1" x14ac:dyDescent="0.3">
      <c r="N248" s="349"/>
    </row>
    <row r="249" spans="14:14" ht="32.1" customHeight="1" x14ac:dyDescent="0.3">
      <c r="N249" s="349"/>
    </row>
    <row r="250" spans="14:14" ht="32.1" customHeight="1" x14ac:dyDescent="0.3">
      <c r="N250" s="349"/>
    </row>
    <row r="251" spans="14:14" ht="32.1" customHeight="1" x14ac:dyDescent="0.3">
      <c r="N251" s="349"/>
    </row>
    <row r="252" spans="14:14" ht="32.1" customHeight="1" x14ac:dyDescent="0.3">
      <c r="N252" s="349"/>
    </row>
    <row r="253" spans="14:14" ht="32.1" customHeight="1" x14ac:dyDescent="0.3">
      <c r="N253" s="349"/>
    </row>
    <row r="254" spans="14:14" ht="32.1" customHeight="1" x14ac:dyDescent="0.3">
      <c r="N254" s="349"/>
    </row>
    <row r="255" spans="14:14" ht="32.1" customHeight="1" x14ac:dyDescent="0.3">
      <c r="N255" s="349"/>
    </row>
    <row r="256" spans="14:14" ht="32.1" customHeight="1" x14ac:dyDescent="0.3">
      <c r="N256" s="349"/>
    </row>
    <row r="257" spans="14:14" ht="32.1" customHeight="1" x14ac:dyDescent="0.3">
      <c r="N257" s="349"/>
    </row>
    <row r="258" spans="14:14" ht="32.1" customHeight="1" x14ac:dyDescent="0.3">
      <c r="N258" s="349"/>
    </row>
    <row r="259" spans="14:14" ht="32.1" customHeight="1" x14ac:dyDescent="0.3">
      <c r="N259" s="349"/>
    </row>
    <row r="260" spans="14:14" ht="32.1" customHeight="1" x14ac:dyDescent="0.3">
      <c r="N260" s="349"/>
    </row>
    <row r="261" spans="14:14" ht="32.1" customHeight="1" x14ac:dyDescent="0.3">
      <c r="N261" s="349"/>
    </row>
    <row r="262" spans="14:14" ht="32.1" customHeight="1" x14ac:dyDescent="0.3">
      <c r="N262" s="349"/>
    </row>
    <row r="263" spans="14:14" ht="32.1" customHeight="1" x14ac:dyDescent="0.3">
      <c r="N263" s="349"/>
    </row>
    <row r="264" spans="14:14" ht="32.1" customHeight="1" x14ac:dyDescent="0.3">
      <c r="N264" s="349"/>
    </row>
    <row r="265" spans="14:14" ht="32.1" customHeight="1" x14ac:dyDescent="0.3">
      <c r="N265" s="349"/>
    </row>
    <row r="266" spans="14:14" ht="32.1" customHeight="1" x14ac:dyDescent="0.3">
      <c r="N266" s="349"/>
    </row>
    <row r="267" spans="14:14" ht="32.1" customHeight="1" x14ac:dyDescent="0.3">
      <c r="N267" s="349"/>
    </row>
    <row r="268" spans="14:14" ht="32.1" customHeight="1" x14ac:dyDescent="0.3">
      <c r="N268" s="349"/>
    </row>
    <row r="269" spans="14:14" ht="32.1" customHeight="1" x14ac:dyDescent="0.3">
      <c r="N269" s="349"/>
    </row>
    <row r="270" spans="14:14" ht="32.1" customHeight="1" x14ac:dyDescent="0.3">
      <c r="N270" s="349"/>
    </row>
    <row r="271" spans="14:14" ht="32.1" customHeight="1" x14ac:dyDescent="0.3">
      <c r="N271" s="349"/>
    </row>
    <row r="272" spans="14:14" ht="32.1" customHeight="1" x14ac:dyDescent="0.3">
      <c r="N272" s="349"/>
    </row>
    <row r="273" spans="14:14" ht="32.1" customHeight="1" x14ac:dyDescent="0.3">
      <c r="N273" s="349"/>
    </row>
    <row r="274" spans="14:14" ht="32.1" customHeight="1" x14ac:dyDescent="0.3">
      <c r="N274" s="349"/>
    </row>
    <row r="275" spans="14:14" ht="32.1" customHeight="1" x14ac:dyDescent="0.3">
      <c r="N275" s="349"/>
    </row>
    <row r="276" spans="14:14" ht="32.1" customHeight="1" x14ac:dyDescent="0.3">
      <c r="N276" s="349"/>
    </row>
    <row r="277" spans="14:14" ht="32.1" customHeight="1" x14ac:dyDescent="0.3">
      <c r="N277" s="349"/>
    </row>
    <row r="278" spans="14:14" ht="32.1" customHeight="1" x14ac:dyDescent="0.3">
      <c r="N278" s="349"/>
    </row>
    <row r="279" spans="14:14" ht="32.1" customHeight="1" x14ac:dyDescent="0.3">
      <c r="N279" s="349"/>
    </row>
    <row r="280" spans="14:14" ht="32.1" customHeight="1" x14ac:dyDescent="0.3">
      <c r="N280" s="349"/>
    </row>
    <row r="281" spans="14:14" ht="32.1" customHeight="1" x14ac:dyDescent="0.3">
      <c r="N281" s="349"/>
    </row>
    <row r="282" spans="14:14" ht="32.1" customHeight="1" x14ac:dyDescent="0.3">
      <c r="N282" s="349"/>
    </row>
    <row r="283" spans="14:14" ht="32.1" customHeight="1" x14ac:dyDescent="0.3">
      <c r="N283" s="349"/>
    </row>
    <row r="284" spans="14:14" ht="32.1" customHeight="1" x14ac:dyDescent="0.3">
      <c r="N284" s="349"/>
    </row>
    <row r="285" spans="14:14" ht="32.1" customHeight="1" x14ac:dyDescent="0.3">
      <c r="N285" s="349"/>
    </row>
    <row r="286" spans="14:14" ht="32.1" customHeight="1" x14ac:dyDescent="0.3">
      <c r="N286" s="349"/>
    </row>
    <row r="287" spans="14:14" ht="32.1" customHeight="1" x14ac:dyDescent="0.3">
      <c r="N287" s="349"/>
    </row>
    <row r="288" spans="14:14" ht="32.1" customHeight="1" x14ac:dyDescent="0.3">
      <c r="N288" s="349"/>
    </row>
    <row r="289" spans="14:14" ht="32.1" customHeight="1" x14ac:dyDescent="0.3">
      <c r="N289" s="349"/>
    </row>
    <row r="290" spans="14:14" ht="32.1" customHeight="1" x14ac:dyDescent="0.3">
      <c r="N290" s="349"/>
    </row>
    <row r="291" spans="14:14" ht="32.1" customHeight="1" x14ac:dyDescent="0.3">
      <c r="N291" s="349"/>
    </row>
    <row r="292" spans="14:14" ht="32.1" customHeight="1" x14ac:dyDescent="0.3">
      <c r="N292" s="349"/>
    </row>
    <row r="293" spans="14:14" ht="32.1" customHeight="1" x14ac:dyDescent="0.3">
      <c r="N293" s="349"/>
    </row>
    <row r="294" spans="14:14" ht="32.1" customHeight="1" x14ac:dyDescent="0.3">
      <c r="N294" s="349"/>
    </row>
    <row r="295" spans="14:14" ht="32.1" customHeight="1" x14ac:dyDescent="0.3">
      <c r="N295" s="349"/>
    </row>
    <row r="296" spans="14:14" ht="32.1" customHeight="1" x14ac:dyDescent="0.3">
      <c r="N296" s="349"/>
    </row>
    <row r="297" spans="14:14" ht="32.1" customHeight="1" x14ac:dyDescent="0.3">
      <c r="N297" s="349"/>
    </row>
    <row r="298" spans="14:14" ht="32.1" customHeight="1" x14ac:dyDescent="0.3">
      <c r="N298" s="349"/>
    </row>
    <row r="299" spans="14:14" ht="32.1" customHeight="1" x14ac:dyDescent="0.3">
      <c r="N299" s="349"/>
    </row>
    <row r="300" spans="14:14" ht="32.1" customHeight="1" x14ac:dyDescent="0.3">
      <c r="N300" s="349"/>
    </row>
    <row r="301" spans="14:14" ht="32.1" customHeight="1" x14ac:dyDescent="0.3">
      <c r="N301" s="349"/>
    </row>
    <row r="302" spans="14:14" ht="32.1" customHeight="1" x14ac:dyDescent="0.3">
      <c r="N302" s="349"/>
    </row>
    <row r="303" spans="14:14" ht="32.1" customHeight="1" x14ac:dyDescent="0.3">
      <c r="N303" s="349"/>
    </row>
    <row r="304" spans="14:14" ht="32.1" customHeight="1" x14ac:dyDescent="0.3">
      <c r="N304" s="349"/>
    </row>
    <row r="305" spans="14:14" ht="32.1" customHeight="1" x14ac:dyDescent="0.3">
      <c r="N305" s="349"/>
    </row>
    <row r="306" spans="14:14" ht="32.1" customHeight="1" x14ac:dyDescent="0.3">
      <c r="N306" s="349"/>
    </row>
    <row r="307" spans="14:14" ht="32.1" customHeight="1" x14ac:dyDescent="0.3">
      <c r="N307" s="349"/>
    </row>
    <row r="308" spans="14:14" ht="32.1" customHeight="1" x14ac:dyDescent="0.3">
      <c r="N308" s="349"/>
    </row>
    <row r="309" spans="14:14" ht="32.1" customHeight="1" x14ac:dyDescent="0.3">
      <c r="N309" s="349"/>
    </row>
    <row r="310" spans="14:14" ht="32.1" customHeight="1" x14ac:dyDescent="0.3">
      <c r="N310" s="349"/>
    </row>
    <row r="311" spans="14:14" ht="32.1" customHeight="1" x14ac:dyDescent="0.3">
      <c r="N311" s="349"/>
    </row>
    <row r="312" spans="14:14" ht="32.1" customHeight="1" x14ac:dyDescent="0.3">
      <c r="N312" s="349"/>
    </row>
    <row r="313" spans="14:14" ht="32.1" customHeight="1" x14ac:dyDescent="0.3">
      <c r="N313" s="349"/>
    </row>
    <row r="314" spans="14:14" ht="32.1" customHeight="1" x14ac:dyDescent="0.3">
      <c r="N314" s="349"/>
    </row>
    <row r="315" spans="14:14" ht="32.1" customHeight="1" x14ac:dyDescent="0.3">
      <c r="N315" s="349"/>
    </row>
    <row r="316" spans="14:14" ht="32.1" customHeight="1" x14ac:dyDescent="0.3">
      <c r="N316" s="349"/>
    </row>
    <row r="317" spans="14:14" ht="32.1" customHeight="1" x14ac:dyDescent="0.3">
      <c r="N317" s="349"/>
    </row>
    <row r="318" spans="14:14" ht="32.1" customHeight="1" x14ac:dyDescent="0.3">
      <c r="N318" s="349"/>
    </row>
    <row r="319" spans="14:14" ht="32.1" customHeight="1" x14ac:dyDescent="0.3">
      <c r="N319" s="349"/>
    </row>
    <row r="320" spans="14:14" ht="32.1" customHeight="1" x14ac:dyDescent="0.3">
      <c r="N320" s="349"/>
    </row>
    <row r="321" spans="14:14" ht="32.1" customHeight="1" x14ac:dyDescent="0.3">
      <c r="N321" s="349"/>
    </row>
    <row r="322" spans="14:14" ht="32.1" customHeight="1" x14ac:dyDescent="0.3">
      <c r="N322" s="349"/>
    </row>
    <row r="323" spans="14:14" ht="32.1" customHeight="1" x14ac:dyDescent="0.3">
      <c r="N323" s="349"/>
    </row>
    <row r="324" spans="14:14" ht="32.1" customHeight="1" x14ac:dyDescent="0.3">
      <c r="N324" s="349"/>
    </row>
    <row r="325" spans="14:14" ht="32.1" customHeight="1" x14ac:dyDescent="0.3">
      <c r="N325" s="349"/>
    </row>
    <row r="326" spans="14:14" ht="32.1" customHeight="1" x14ac:dyDescent="0.3">
      <c r="N326" s="349"/>
    </row>
    <row r="327" spans="14:14" ht="32.1" customHeight="1" x14ac:dyDescent="0.3">
      <c r="N327" s="349"/>
    </row>
    <row r="328" spans="14:14" ht="32.1" customHeight="1" x14ac:dyDescent="0.3">
      <c r="N328" s="349"/>
    </row>
    <row r="329" spans="14:14" ht="32.1" customHeight="1" x14ac:dyDescent="0.3">
      <c r="N329" s="349"/>
    </row>
    <row r="330" spans="14:14" ht="32.1" customHeight="1" x14ac:dyDescent="0.3">
      <c r="N330" s="349"/>
    </row>
    <row r="331" spans="14:14" ht="32.1" customHeight="1" x14ac:dyDescent="0.3">
      <c r="N331" s="349"/>
    </row>
    <row r="332" spans="14:14" ht="32.1" customHeight="1" x14ac:dyDescent="0.3">
      <c r="N332" s="349"/>
    </row>
    <row r="333" spans="14:14" ht="32.1" customHeight="1" x14ac:dyDescent="0.3">
      <c r="N333" s="349"/>
    </row>
    <row r="334" spans="14:14" ht="32.1" customHeight="1" x14ac:dyDescent="0.3">
      <c r="N334" s="349"/>
    </row>
    <row r="335" spans="14:14" ht="32.1" customHeight="1" x14ac:dyDescent="0.3">
      <c r="N335" s="349"/>
    </row>
    <row r="336" spans="14:14" ht="32.1" customHeight="1" x14ac:dyDescent="0.3">
      <c r="N336" s="349"/>
    </row>
    <row r="337" spans="14:14" ht="32.1" customHeight="1" x14ac:dyDescent="0.3">
      <c r="N337" s="349"/>
    </row>
    <row r="338" spans="14:14" ht="32.1" customHeight="1" x14ac:dyDescent="0.3">
      <c r="N338" s="349"/>
    </row>
    <row r="339" spans="14:14" ht="32.1" customHeight="1" x14ac:dyDescent="0.3">
      <c r="N339" s="349"/>
    </row>
    <row r="340" spans="14:14" ht="32.1" customHeight="1" x14ac:dyDescent="0.3">
      <c r="N340" s="349"/>
    </row>
    <row r="341" spans="14:14" ht="32.1" customHeight="1" x14ac:dyDescent="0.3">
      <c r="N341" s="349"/>
    </row>
    <row r="342" spans="14:14" ht="32.1" customHeight="1" x14ac:dyDescent="0.3">
      <c r="N342" s="349"/>
    </row>
    <row r="343" spans="14:14" ht="32.1" customHeight="1" x14ac:dyDescent="0.3">
      <c r="N343" s="349"/>
    </row>
    <row r="344" spans="14:14" ht="32.1" customHeight="1" x14ac:dyDescent="0.3">
      <c r="N344" s="349"/>
    </row>
    <row r="345" spans="14:14" ht="32.1" customHeight="1" x14ac:dyDescent="0.3">
      <c r="N345" s="349"/>
    </row>
    <row r="346" spans="14:14" ht="32.1" customHeight="1" x14ac:dyDescent="0.3">
      <c r="N346" s="349"/>
    </row>
    <row r="347" spans="14:14" ht="32.1" customHeight="1" x14ac:dyDescent="0.3">
      <c r="N347" s="349"/>
    </row>
    <row r="348" spans="14:14" ht="32.1" customHeight="1" x14ac:dyDescent="0.3">
      <c r="N348" s="349"/>
    </row>
    <row r="349" spans="14:14" ht="32.1" customHeight="1" x14ac:dyDescent="0.3">
      <c r="N349" s="349"/>
    </row>
    <row r="350" spans="14:14" ht="32.1" customHeight="1" x14ac:dyDescent="0.3">
      <c r="N350" s="349"/>
    </row>
    <row r="351" spans="14:14" ht="32.1" customHeight="1" x14ac:dyDescent="0.3">
      <c r="N351" s="349"/>
    </row>
    <row r="352" spans="14:14" ht="32.1" customHeight="1" x14ac:dyDescent="0.3">
      <c r="N352" s="349"/>
    </row>
    <row r="353" spans="14:14" ht="32.1" customHeight="1" x14ac:dyDescent="0.3">
      <c r="N353" s="349"/>
    </row>
    <row r="354" spans="14:14" ht="32.1" customHeight="1" x14ac:dyDescent="0.3">
      <c r="N354" s="349"/>
    </row>
    <row r="355" spans="14:14" ht="32.1" customHeight="1" x14ac:dyDescent="0.3">
      <c r="N355" s="349"/>
    </row>
    <row r="356" spans="14:14" ht="32.1" customHeight="1" x14ac:dyDescent="0.3">
      <c r="N356" s="349"/>
    </row>
    <row r="357" spans="14:14" ht="32.1" customHeight="1" x14ac:dyDescent="0.3">
      <c r="N357" s="349"/>
    </row>
    <row r="358" spans="14:14" ht="32.1" customHeight="1" x14ac:dyDescent="0.3">
      <c r="N358" s="349"/>
    </row>
    <row r="359" spans="14:14" ht="32.1" customHeight="1" x14ac:dyDescent="0.3">
      <c r="N359" s="349"/>
    </row>
    <row r="360" spans="14:14" ht="32.1" customHeight="1" x14ac:dyDescent="0.3">
      <c r="N360" s="349"/>
    </row>
    <row r="361" spans="14:14" ht="32.1" customHeight="1" x14ac:dyDescent="0.3">
      <c r="N361" s="349"/>
    </row>
    <row r="362" spans="14:14" ht="32.1" customHeight="1" x14ac:dyDescent="0.3">
      <c r="N362" s="349"/>
    </row>
    <row r="363" spans="14:14" ht="32.1" customHeight="1" x14ac:dyDescent="0.3">
      <c r="N363" s="349"/>
    </row>
    <row r="364" spans="14:14" ht="32.1" customHeight="1" x14ac:dyDescent="0.3">
      <c r="N364" s="349"/>
    </row>
    <row r="365" spans="14:14" ht="32.1" customHeight="1" x14ac:dyDescent="0.3">
      <c r="N365" s="349"/>
    </row>
    <row r="366" spans="14:14" ht="32.1" customHeight="1" x14ac:dyDescent="0.3">
      <c r="N366" s="349"/>
    </row>
    <row r="367" spans="14:14" ht="32.1" customHeight="1" x14ac:dyDescent="0.3">
      <c r="N367" s="349"/>
    </row>
    <row r="368" spans="14:14" ht="32.1" customHeight="1" x14ac:dyDescent="0.3">
      <c r="N368" s="349"/>
    </row>
    <row r="369" spans="14:14" ht="32.1" customHeight="1" x14ac:dyDescent="0.3">
      <c r="N369" s="349"/>
    </row>
    <row r="370" spans="14:14" ht="32.1" customHeight="1" x14ac:dyDescent="0.3">
      <c r="N370" s="349"/>
    </row>
    <row r="371" spans="14:14" ht="32.1" customHeight="1" x14ac:dyDescent="0.3">
      <c r="N371" s="349"/>
    </row>
    <row r="372" spans="14:14" ht="32.1" customHeight="1" x14ac:dyDescent="0.3">
      <c r="N372" s="349"/>
    </row>
    <row r="373" spans="14:14" ht="32.1" customHeight="1" x14ac:dyDescent="0.3">
      <c r="N373" s="349"/>
    </row>
    <row r="374" spans="14:14" ht="32.1" customHeight="1" x14ac:dyDescent="0.3">
      <c r="N374" s="349"/>
    </row>
    <row r="375" spans="14:14" ht="32.1" customHeight="1" x14ac:dyDescent="0.3">
      <c r="N375" s="349"/>
    </row>
    <row r="376" spans="14:14" ht="32.1" customHeight="1" x14ac:dyDescent="0.3">
      <c r="N376" s="349"/>
    </row>
    <row r="377" spans="14:14" ht="32.1" customHeight="1" x14ac:dyDescent="0.3">
      <c r="N377" s="349"/>
    </row>
    <row r="378" spans="14:14" ht="32.1" customHeight="1" x14ac:dyDescent="0.3">
      <c r="N378" s="349"/>
    </row>
    <row r="379" spans="14:14" ht="32.1" customHeight="1" x14ac:dyDescent="0.3">
      <c r="N379" s="349"/>
    </row>
    <row r="380" spans="14:14" ht="32.1" customHeight="1" x14ac:dyDescent="0.3">
      <c r="N380" s="349"/>
    </row>
    <row r="381" spans="14:14" ht="32.1" customHeight="1" x14ac:dyDescent="0.3">
      <c r="N381" s="349"/>
    </row>
    <row r="382" spans="14:14" ht="32.1" customHeight="1" x14ac:dyDescent="0.3">
      <c r="N382" s="349"/>
    </row>
    <row r="383" spans="14:14" ht="32.1" customHeight="1" x14ac:dyDescent="0.3">
      <c r="N383" s="349"/>
    </row>
    <row r="384" spans="14:14" ht="32.1" customHeight="1" x14ac:dyDescent="0.3">
      <c r="N384" s="349"/>
    </row>
    <row r="385" spans="14:14" ht="32.1" customHeight="1" x14ac:dyDescent="0.3">
      <c r="N385" s="349"/>
    </row>
    <row r="386" spans="14:14" ht="32.1" customHeight="1" x14ac:dyDescent="0.3">
      <c r="N386" s="349"/>
    </row>
    <row r="387" spans="14:14" ht="32.1" customHeight="1" x14ac:dyDescent="0.3">
      <c r="N387" s="349"/>
    </row>
    <row r="388" spans="14:14" ht="32.1" customHeight="1" x14ac:dyDescent="0.3">
      <c r="N388" s="349"/>
    </row>
    <row r="389" spans="14:14" ht="32.1" customHeight="1" x14ac:dyDescent="0.3">
      <c r="N389" s="349"/>
    </row>
    <row r="390" spans="14:14" ht="32.1" customHeight="1" x14ac:dyDescent="0.3">
      <c r="N390" s="349"/>
    </row>
    <row r="391" spans="14:14" ht="32.1" customHeight="1" x14ac:dyDescent="0.3">
      <c r="N391" s="349"/>
    </row>
    <row r="392" spans="14:14" ht="32.1" customHeight="1" x14ac:dyDescent="0.3">
      <c r="N392" s="349"/>
    </row>
    <row r="393" spans="14:14" ht="32.1" customHeight="1" x14ac:dyDescent="0.3">
      <c r="N393" s="349"/>
    </row>
    <row r="394" spans="14:14" ht="32.1" customHeight="1" x14ac:dyDescent="0.3">
      <c r="N394" s="349"/>
    </row>
    <row r="395" spans="14:14" ht="32.1" customHeight="1" x14ac:dyDescent="0.3">
      <c r="N395" s="349"/>
    </row>
    <row r="396" spans="14:14" ht="32.1" customHeight="1" x14ac:dyDescent="0.3">
      <c r="N396" s="349"/>
    </row>
    <row r="397" spans="14:14" ht="32.1" customHeight="1" x14ac:dyDescent="0.3">
      <c r="N397" s="349"/>
    </row>
    <row r="398" spans="14:14" ht="32.1" customHeight="1" x14ac:dyDescent="0.3">
      <c r="N398" s="349"/>
    </row>
    <row r="399" spans="14:14" ht="32.1" customHeight="1" x14ac:dyDescent="0.3">
      <c r="N399" s="349"/>
    </row>
    <row r="400" spans="14:14" ht="32.1" customHeight="1" x14ac:dyDescent="0.3">
      <c r="N400" s="349"/>
    </row>
    <row r="401" spans="14:14" ht="32.1" customHeight="1" x14ac:dyDescent="0.3">
      <c r="N401" s="349"/>
    </row>
    <row r="402" spans="14:14" ht="32.1" customHeight="1" x14ac:dyDescent="0.3">
      <c r="N402" s="349"/>
    </row>
    <row r="403" spans="14:14" ht="32.1" customHeight="1" x14ac:dyDescent="0.3">
      <c r="N403" s="349"/>
    </row>
    <row r="404" spans="14:14" ht="32.1" customHeight="1" x14ac:dyDescent="0.3">
      <c r="N404" s="349"/>
    </row>
    <row r="405" spans="14:14" ht="32.1" customHeight="1" x14ac:dyDescent="0.3">
      <c r="N405" s="349"/>
    </row>
    <row r="406" spans="14:14" ht="32.1" customHeight="1" x14ac:dyDescent="0.3">
      <c r="N406" s="349"/>
    </row>
    <row r="407" spans="14:14" ht="32.1" customHeight="1" x14ac:dyDescent="0.3">
      <c r="N407" s="349"/>
    </row>
    <row r="408" spans="14:14" ht="32.1" customHeight="1" x14ac:dyDescent="0.3">
      <c r="N408" s="349"/>
    </row>
    <row r="409" spans="14:14" ht="32.1" customHeight="1" x14ac:dyDescent="0.3">
      <c r="N409" s="349"/>
    </row>
    <row r="410" spans="14:14" ht="32.1" customHeight="1" x14ac:dyDescent="0.3">
      <c r="N410" s="349"/>
    </row>
    <row r="411" spans="14:14" ht="32.1" customHeight="1" x14ac:dyDescent="0.3">
      <c r="N411" s="349"/>
    </row>
    <row r="412" spans="14:14" ht="32.1" customHeight="1" x14ac:dyDescent="0.3">
      <c r="N412" s="349"/>
    </row>
    <row r="413" spans="14:14" ht="32.1" customHeight="1" x14ac:dyDescent="0.3">
      <c r="N413" s="349"/>
    </row>
    <row r="414" spans="14:14" ht="32.1" customHeight="1" x14ac:dyDescent="0.3">
      <c r="N414" s="349"/>
    </row>
    <row r="415" spans="14:14" ht="32.1" customHeight="1" x14ac:dyDescent="0.3">
      <c r="N415" s="349"/>
    </row>
    <row r="416" spans="14:14" ht="32.1" customHeight="1" x14ac:dyDescent="0.3">
      <c r="N416" s="349"/>
    </row>
    <row r="417" spans="14:14" ht="32.1" customHeight="1" x14ac:dyDescent="0.3">
      <c r="N417" s="349"/>
    </row>
    <row r="418" spans="14:14" ht="32.1" customHeight="1" x14ac:dyDescent="0.3">
      <c r="N418" s="349"/>
    </row>
    <row r="419" spans="14:14" ht="32.1" customHeight="1" x14ac:dyDescent="0.3">
      <c r="N419" s="349"/>
    </row>
    <row r="420" spans="14:14" ht="32.1" customHeight="1" x14ac:dyDescent="0.3">
      <c r="N420" s="349"/>
    </row>
    <row r="421" spans="14:14" ht="32.1" customHeight="1" x14ac:dyDescent="0.3">
      <c r="N421" s="349"/>
    </row>
    <row r="422" spans="14:14" ht="32.1" customHeight="1" x14ac:dyDescent="0.3">
      <c r="N422" s="349"/>
    </row>
    <row r="423" spans="14:14" ht="32.1" customHeight="1" x14ac:dyDescent="0.3">
      <c r="N423" s="349"/>
    </row>
    <row r="424" spans="14:14" ht="32.1" customHeight="1" x14ac:dyDescent="0.3">
      <c r="N424" s="349"/>
    </row>
    <row r="425" spans="14:14" ht="32.1" customHeight="1" x14ac:dyDescent="0.3">
      <c r="N425" s="349"/>
    </row>
    <row r="426" spans="14:14" ht="32.1" customHeight="1" x14ac:dyDescent="0.3">
      <c r="N426" s="349"/>
    </row>
    <row r="427" spans="14:14" ht="32.1" customHeight="1" x14ac:dyDescent="0.3">
      <c r="N427" s="349"/>
    </row>
    <row r="428" spans="14:14" ht="32.1" customHeight="1" x14ac:dyDescent="0.3">
      <c r="N428" s="349"/>
    </row>
    <row r="429" spans="14:14" ht="32.1" customHeight="1" x14ac:dyDescent="0.3">
      <c r="N429" s="349"/>
    </row>
    <row r="430" spans="14:14" ht="32.1" customHeight="1" x14ac:dyDescent="0.3">
      <c r="N430" s="349"/>
    </row>
    <row r="431" spans="14:14" ht="32.1" customHeight="1" x14ac:dyDescent="0.3">
      <c r="N431" s="349"/>
    </row>
    <row r="432" spans="14:14" ht="32.1" customHeight="1" x14ac:dyDescent="0.3">
      <c r="N432" s="349"/>
    </row>
    <row r="433" spans="14:14" ht="32.1" customHeight="1" x14ac:dyDescent="0.3">
      <c r="N433" s="349"/>
    </row>
    <row r="434" spans="14:14" ht="32.1" customHeight="1" x14ac:dyDescent="0.3">
      <c r="N434" s="349"/>
    </row>
    <row r="435" spans="14:14" ht="32.1" customHeight="1" x14ac:dyDescent="0.3">
      <c r="N435" s="349"/>
    </row>
    <row r="436" spans="14:14" ht="32.1" customHeight="1" x14ac:dyDescent="0.3">
      <c r="N436" s="349"/>
    </row>
    <row r="437" spans="14:14" ht="32.1" customHeight="1" x14ac:dyDescent="0.3">
      <c r="N437" s="349"/>
    </row>
    <row r="438" spans="14:14" ht="32.1" customHeight="1" x14ac:dyDescent="0.3">
      <c r="N438" s="349"/>
    </row>
    <row r="439" spans="14:14" ht="32.1" customHeight="1" x14ac:dyDescent="0.3">
      <c r="N439" s="349"/>
    </row>
    <row r="440" spans="14:14" ht="32.1" customHeight="1" x14ac:dyDescent="0.3">
      <c r="N440" s="349"/>
    </row>
    <row r="441" spans="14:14" ht="32.1" customHeight="1" x14ac:dyDescent="0.3">
      <c r="N441" s="349"/>
    </row>
    <row r="442" spans="14:14" ht="32.1" customHeight="1" x14ac:dyDescent="0.3">
      <c r="N442" s="349"/>
    </row>
    <row r="443" spans="14:14" ht="32.1" customHeight="1" x14ac:dyDescent="0.3">
      <c r="N443" s="349"/>
    </row>
    <row r="444" spans="14:14" ht="32.1" customHeight="1" x14ac:dyDescent="0.3">
      <c r="N444" s="349"/>
    </row>
    <row r="445" spans="14:14" ht="32.1" customHeight="1" x14ac:dyDescent="0.3">
      <c r="N445" s="349"/>
    </row>
    <row r="446" spans="14:14" ht="32.1" customHeight="1" x14ac:dyDescent="0.3">
      <c r="N446" s="349"/>
    </row>
    <row r="447" spans="14:14" ht="32.1" customHeight="1" x14ac:dyDescent="0.3">
      <c r="N447" s="349"/>
    </row>
    <row r="448" spans="14:14" ht="32.1" customHeight="1" x14ac:dyDescent="0.3">
      <c r="N448" s="349"/>
    </row>
    <row r="449" spans="14:14" ht="32.1" customHeight="1" x14ac:dyDescent="0.3">
      <c r="N449" s="349"/>
    </row>
    <row r="450" spans="14:14" ht="32.1" customHeight="1" x14ac:dyDescent="0.3">
      <c r="N450" s="349"/>
    </row>
    <row r="451" spans="14:14" ht="32.1" customHeight="1" x14ac:dyDescent="0.3">
      <c r="N451" s="349"/>
    </row>
    <row r="452" spans="14:14" ht="32.1" customHeight="1" x14ac:dyDescent="0.3">
      <c r="N452" s="349"/>
    </row>
    <row r="453" spans="14:14" ht="32.1" customHeight="1" x14ac:dyDescent="0.3">
      <c r="N453" s="349"/>
    </row>
    <row r="454" spans="14:14" ht="32.1" customHeight="1" x14ac:dyDescent="0.3">
      <c r="N454" s="349"/>
    </row>
    <row r="455" spans="14:14" ht="32.1" customHeight="1" x14ac:dyDescent="0.3">
      <c r="N455" s="349"/>
    </row>
    <row r="456" spans="14:14" ht="32.1" customHeight="1" x14ac:dyDescent="0.3">
      <c r="N456" s="349"/>
    </row>
    <row r="457" spans="14:14" ht="32.1" customHeight="1" x14ac:dyDescent="0.3">
      <c r="N457" s="349"/>
    </row>
    <row r="458" spans="14:14" ht="32.1" customHeight="1" x14ac:dyDescent="0.3">
      <c r="N458" s="349"/>
    </row>
    <row r="459" spans="14:14" ht="32.1" customHeight="1" x14ac:dyDescent="0.3">
      <c r="N459" s="349"/>
    </row>
    <row r="460" spans="14:14" ht="32.1" customHeight="1" x14ac:dyDescent="0.3">
      <c r="N460" s="349"/>
    </row>
    <row r="461" spans="14:14" ht="32.1" customHeight="1" x14ac:dyDescent="0.3">
      <c r="N461" s="349"/>
    </row>
    <row r="462" spans="14:14" ht="32.1" customHeight="1" x14ac:dyDescent="0.3">
      <c r="N462" s="349"/>
    </row>
    <row r="463" spans="14:14" ht="32.1" customHeight="1" x14ac:dyDescent="0.3">
      <c r="N463" s="349"/>
    </row>
    <row r="464" spans="14:14" ht="32.1" customHeight="1" x14ac:dyDescent="0.3">
      <c r="N464" s="349"/>
    </row>
    <row r="465" spans="14:14" ht="32.1" customHeight="1" x14ac:dyDescent="0.3">
      <c r="N465" s="349"/>
    </row>
    <row r="466" spans="14:14" ht="32.1" customHeight="1" x14ac:dyDescent="0.3">
      <c r="N466" s="349"/>
    </row>
    <row r="467" spans="14:14" ht="32.1" customHeight="1" x14ac:dyDescent="0.3">
      <c r="N467" s="349"/>
    </row>
    <row r="468" spans="14:14" ht="32.1" customHeight="1" x14ac:dyDescent="0.3">
      <c r="N468" s="349"/>
    </row>
    <row r="469" spans="14:14" ht="32.1" customHeight="1" x14ac:dyDescent="0.3">
      <c r="N469" s="349"/>
    </row>
    <row r="470" spans="14:14" ht="32.1" customHeight="1" x14ac:dyDescent="0.3">
      <c r="N470" s="349"/>
    </row>
    <row r="471" spans="14:14" ht="32.1" customHeight="1" x14ac:dyDescent="0.3">
      <c r="N471" s="349"/>
    </row>
    <row r="472" spans="14:14" ht="32.1" customHeight="1" x14ac:dyDescent="0.3">
      <c r="N472" s="349"/>
    </row>
    <row r="473" spans="14:14" ht="32.1" customHeight="1" x14ac:dyDescent="0.3">
      <c r="N473" s="349"/>
    </row>
    <row r="474" spans="14:14" ht="32.1" customHeight="1" x14ac:dyDescent="0.3">
      <c r="N474" s="349"/>
    </row>
    <row r="475" spans="14:14" ht="32.1" customHeight="1" x14ac:dyDescent="0.3">
      <c r="N475" s="349"/>
    </row>
    <row r="476" spans="14:14" ht="32.1" customHeight="1" x14ac:dyDescent="0.3">
      <c r="N476" s="349"/>
    </row>
    <row r="477" spans="14:14" ht="32.1" customHeight="1" x14ac:dyDescent="0.3">
      <c r="N477" s="349"/>
    </row>
    <row r="478" spans="14:14" ht="32.1" customHeight="1" x14ac:dyDescent="0.3">
      <c r="N478" s="349"/>
    </row>
    <row r="479" spans="14:14" ht="32.1" customHeight="1" x14ac:dyDescent="0.3">
      <c r="N479" s="349"/>
    </row>
    <row r="480" spans="14:14" ht="32.1" customHeight="1" x14ac:dyDescent="0.3">
      <c r="N480" s="349"/>
    </row>
    <row r="481" spans="14:14" ht="32.1" customHeight="1" x14ac:dyDescent="0.3">
      <c r="N481" s="349"/>
    </row>
    <row r="482" spans="14:14" ht="32.1" customHeight="1" x14ac:dyDescent="0.3">
      <c r="N482" s="349"/>
    </row>
    <row r="483" spans="14:14" ht="32.1" customHeight="1" x14ac:dyDescent="0.3">
      <c r="N483" s="349"/>
    </row>
    <row r="484" spans="14:14" ht="32.1" customHeight="1" x14ac:dyDescent="0.3">
      <c r="N484" s="349"/>
    </row>
    <row r="485" spans="14:14" ht="32.1" customHeight="1" x14ac:dyDescent="0.3">
      <c r="N485" s="349"/>
    </row>
    <row r="486" spans="14:14" ht="32.1" customHeight="1" x14ac:dyDescent="0.3">
      <c r="N486" s="349"/>
    </row>
    <row r="487" spans="14:14" ht="32.1" customHeight="1" x14ac:dyDescent="0.3">
      <c r="N487" s="349"/>
    </row>
    <row r="488" spans="14:14" ht="32.1" customHeight="1" x14ac:dyDescent="0.3">
      <c r="N488" s="349"/>
    </row>
    <row r="489" spans="14:14" ht="32.1" customHeight="1" x14ac:dyDescent="0.3">
      <c r="N489" s="349"/>
    </row>
    <row r="490" spans="14:14" ht="32.1" customHeight="1" x14ac:dyDescent="0.3">
      <c r="N490" s="349"/>
    </row>
    <row r="491" spans="14:14" ht="32.1" customHeight="1" x14ac:dyDescent="0.3">
      <c r="N491" s="349"/>
    </row>
    <row r="492" spans="14:14" ht="32.1" customHeight="1" x14ac:dyDescent="0.3">
      <c r="N492" s="349"/>
    </row>
    <row r="493" spans="14:14" ht="32.1" customHeight="1" x14ac:dyDescent="0.3">
      <c r="N493" s="349"/>
    </row>
    <row r="494" spans="14:14" ht="32.1" customHeight="1" x14ac:dyDescent="0.3">
      <c r="N494" s="349"/>
    </row>
    <row r="495" spans="14:14" ht="32.1" customHeight="1" x14ac:dyDescent="0.3">
      <c r="N495" s="349"/>
    </row>
    <row r="496" spans="14:14" ht="32.1" customHeight="1" x14ac:dyDescent="0.3">
      <c r="N496" s="349"/>
    </row>
    <row r="497" spans="14:14" ht="32.1" customHeight="1" x14ac:dyDescent="0.3">
      <c r="N497" s="349"/>
    </row>
    <row r="498" spans="14:14" ht="32.1" customHeight="1" x14ac:dyDescent="0.3">
      <c r="N498" s="349"/>
    </row>
    <row r="499" spans="14:14" ht="32.1" customHeight="1" x14ac:dyDescent="0.3">
      <c r="N499" s="349"/>
    </row>
    <row r="500" spans="14:14" ht="32.1" customHeight="1" x14ac:dyDescent="0.3">
      <c r="N500" s="349"/>
    </row>
    <row r="501" spans="14:14" ht="32.1" customHeight="1" x14ac:dyDescent="0.3">
      <c r="N501" s="349"/>
    </row>
    <row r="502" spans="14:14" ht="32.1" customHeight="1" x14ac:dyDescent="0.3">
      <c r="N502" s="349"/>
    </row>
    <row r="503" spans="14:14" ht="32.1" customHeight="1" x14ac:dyDescent="0.3">
      <c r="N503" s="349"/>
    </row>
    <row r="504" spans="14:14" ht="32.1" customHeight="1" x14ac:dyDescent="0.3">
      <c r="N504" s="349"/>
    </row>
    <row r="505" spans="14:14" ht="32.1" customHeight="1" x14ac:dyDescent="0.3">
      <c r="N505" s="349"/>
    </row>
    <row r="506" spans="14:14" ht="32.1" customHeight="1" x14ac:dyDescent="0.3">
      <c r="N506" s="349"/>
    </row>
    <row r="507" spans="14:14" ht="32.1" customHeight="1" x14ac:dyDescent="0.3">
      <c r="N507" s="349"/>
    </row>
    <row r="508" spans="14:14" ht="32.1" customHeight="1" x14ac:dyDescent="0.3">
      <c r="N508" s="349"/>
    </row>
    <row r="509" spans="14:14" ht="32.1" customHeight="1" x14ac:dyDescent="0.3">
      <c r="N509" s="349"/>
    </row>
    <row r="510" spans="14:14" ht="32.1" customHeight="1" x14ac:dyDescent="0.3">
      <c r="N510" s="349"/>
    </row>
    <row r="511" spans="14:14" ht="32.1" customHeight="1" x14ac:dyDescent="0.3">
      <c r="N511" s="349"/>
    </row>
    <row r="512" spans="14:14" ht="32.1" customHeight="1" x14ac:dyDescent="0.3">
      <c r="N512" s="349"/>
    </row>
    <row r="513" spans="14:14" ht="32.1" customHeight="1" x14ac:dyDescent="0.3">
      <c r="N513" s="349"/>
    </row>
    <row r="514" spans="14:14" ht="32.1" customHeight="1" x14ac:dyDescent="0.3">
      <c r="N514" s="349"/>
    </row>
    <row r="515" spans="14:14" ht="32.1" customHeight="1" x14ac:dyDescent="0.3">
      <c r="N515" s="349"/>
    </row>
    <row r="516" spans="14:14" ht="32.1" customHeight="1" x14ac:dyDescent="0.3">
      <c r="N516" s="349"/>
    </row>
    <row r="517" spans="14:14" ht="32.1" customHeight="1" x14ac:dyDescent="0.3">
      <c r="N517" s="349"/>
    </row>
    <row r="518" spans="14:14" ht="32.1" customHeight="1" x14ac:dyDescent="0.3">
      <c r="N518" s="349"/>
    </row>
    <row r="519" spans="14:14" ht="32.1" customHeight="1" x14ac:dyDescent="0.3">
      <c r="N519" s="349"/>
    </row>
    <row r="520" spans="14:14" ht="32.1" customHeight="1" x14ac:dyDescent="0.3">
      <c r="N520" s="349"/>
    </row>
    <row r="521" spans="14:14" ht="32.1" customHeight="1" x14ac:dyDescent="0.3">
      <c r="N521" s="349"/>
    </row>
    <row r="522" spans="14:14" ht="32.1" customHeight="1" x14ac:dyDescent="0.3">
      <c r="N522" s="349"/>
    </row>
    <row r="523" spans="14:14" ht="32.1" customHeight="1" x14ac:dyDescent="0.3">
      <c r="N523" s="349"/>
    </row>
    <row r="524" spans="14:14" ht="32.1" customHeight="1" x14ac:dyDescent="0.3">
      <c r="N524" s="349"/>
    </row>
    <row r="525" spans="14:14" ht="32.1" customHeight="1" x14ac:dyDescent="0.3">
      <c r="N525" s="349"/>
    </row>
    <row r="526" spans="14:14" ht="32.1" customHeight="1" x14ac:dyDescent="0.3">
      <c r="N526" s="349"/>
    </row>
    <row r="527" spans="14:14" ht="32.1" customHeight="1" x14ac:dyDescent="0.3">
      <c r="N527" s="349"/>
    </row>
    <row r="528" spans="14:14" ht="32.1" customHeight="1" x14ac:dyDescent="0.3">
      <c r="N528" s="349"/>
    </row>
    <row r="529" spans="14:14" ht="32.1" customHeight="1" x14ac:dyDescent="0.3">
      <c r="N529" s="349"/>
    </row>
    <row r="530" spans="14:14" ht="32.1" customHeight="1" x14ac:dyDescent="0.3">
      <c r="N530" s="349"/>
    </row>
    <row r="531" spans="14:14" ht="32.1" customHeight="1" x14ac:dyDescent="0.3">
      <c r="N531" s="349"/>
    </row>
    <row r="532" spans="14:14" ht="32.1" customHeight="1" x14ac:dyDescent="0.3">
      <c r="N532" s="349"/>
    </row>
    <row r="533" spans="14:14" ht="32.1" customHeight="1" x14ac:dyDescent="0.3">
      <c r="N533" s="349"/>
    </row>
    <row r="534" spans="14:14" ht="32.1" customHeight="1" x14ac:dyDescent="0.3">
      <c r="N534" s="349"/>
    </row>
    <row r="535" spans="14:14" ht="32.1" customHeight="1" x14ac:dyDescent="0.3">
      <c r="N535" s="349"/>
    </row>
    <row r="536" spans="14:14" ht="32.1" customHeight="1" x14ac:dyDescent="0.3">
      <c r="N536" s="349"/>
    </row>
    <row r="537" spans="14:14" ht="32.1" customHeight="1" x14ac:dyDescent="0.3">
      <c r="N537" s="349"/>
    </row>
    <row r="538" spans="14:14" ht="32.1" customHeight="1" x14ac:dyDescent="0.3">
      <c r="N538" s="349"/>
    </row>
    <row r="539" spans="14:14" ht="32.1" customHeight="1" x14ac:dyDescent="0.3">
      <c r="N539" s="349"/>
    </row>
    <row r="540" spans="14:14" ht="32.1" customHeight="1" x14ac:dyDescent="0.3">
      <c r="N540" s="349"/>
    </row>
    <row r="541" spans="14:14" ht="32.1" customHeight="1" x14ac:dyDescent="0.3">
      <c r="N541" s="349"/>
    </row>
    <row r="542" spans="14:14" ht="32.1" customHeight="1" x14ac:dyDescent="0.3">
      <c r="N542" s="349"/>
    </row>
    <row r="543" spans="14:14" ht="32.1" customHeight="1" x14ac:dyDescent="0.3">
      <c r="N543" s="349"/>
    </row>
    <row r="544" spans="14:14" ht="32.1" customHeight="1" x14ac:dyDescent="0.3">
      <c r="N544" s="349"/>
    </row>
    <row r="545" spans="14:14" ht="32.1" customHeight="1" x14ac:dyDescent="0.3">
      <c r="N545" s="349"/>
    </row>
    <row r="546" spans="14:14" ht="32.1" customHeight="1" x14ac:dyDescent="0.3">
      <c r="N546" s="349"/>
    </row>
    <row r="547" spans="14:14" ht="32.1" customHeight="1" x14ac:dyDescent="0.3">
      <c r="N547" s="349"/>
    </row>
    <row r="548" spans="14:14" ht="32.1" customHeight="1" x14ac:dyDescent="0.3">
      <c r="N548" s="349"/>
    </row>
    <row r="549" spans="14:14" ht="32.1" customHeight="1" x14ac:dyDescent="0.3">
      <c r="N549" s="349"/>
    </row>
    <row r="550" spans="14:14" ht="32.1" customHeight="1" x14ac:dyDescent="0.3">
      <c r="N550" s="349"/>
    </row>
    <row r="551" spans="14:14" ht="32.1" customHeight="1" x14ac:dyDescent="0.3">
      <c r="N551" s="349"/>
    </row>
    <row r="552" spans="14:14" ht="32.1" customHeight="1" x14ac:dyDescent="0.3">
      <c r="N552" s="349"/>
    </row>
    <row r="553" spans="14:14" ht="32.1" customHeight="1" x14ac:dyDescent="0.3">
      <c r="N553" s="349"/>
    </row>
    <row r="554" spans="14:14" ht="32.1" customHeight="1" x14ac:dyDescent="0.3">
      <c r="N554" s="349"/>
    </row>
    <row r="555" spans="14:14" ht="32.1" customHeight="1" x14ac:dyDescent="0.3">
      <c r="N555" s="349"/>
    </row>
    <row r="556" spans="14:14" ht="32.1" customHeight="1" x14ac:dyDescent="0.3">
      <c r="N556" s="349"/>
    </row>
    <row r="557" spans="14:14" ht="32.1" customHeight="1" x14ac:dyDescent="0.3">
      <c r="N557" s="349"/>
    </row>
    <row r="558" spans="14:14" ht="32.1" customHeight="1" x14ac:dyDescent="0.3">
      <c r="N558" s="349"/>
    </row>
    <row r="559" spans="14:14" ht="32.1" customHeight="1" x14ac:dyDescent="0.3">
      <c r="N559" s="349"/>
    </row>
    <row r="560" spans="14:14" ht="32.1" customHeight="1" x14ac:dyDescent="0.3">
      <c r="N560" s="349"/>
    </row>
    <row r="561" spans="14:14" ht="32.1" customHeight="1" x14ac:dyDescent="0.3">
      <c r="N561" s="349"/>
    </row>
    <row r="562" spans="14:14" ht="32.1" customHeight="1" x14ac:dyDescent="0.3">
      <c r="N562" s="349"/>
    </row>
    <row r="563" spans="14:14" ht="32.1" customHeight="1" x14ac:dyDescent="0.3">
      <c r="N563" s="349"/>
    </row>
    <row r="564" spans="14:14" ht="32.1" customHeight="1" x14ac:dyDescent="0.3">
      <c r="N564" s="349"/>
    </row>
    <row r="565" spans="14:14" ht="32.1" customHeight="1" x14ac:dyDescent="0.3">
      <c r="N565" s="349"/>
    </row>
    <row r="566" spans="14:14" ht="32.1" customHeight="1" x14ac:dyDescent="0.3">
      <c r="N566" s="349"/>
    </row>
    <row r="567" spans="14:14" ht="32.1" customHeight="1" x14ac:dyDescent="0.3">
      <c r="N567" s="349"/>
    </row>
    <row r="568" spans="14:14" ht="32.1" customHeight="1" x14ac:dyDescent="0.3">
      <c r="N568" s="349"/>
    </row>
    <row r="569" spans="14:14" ht="32.1" customHeight="1" x14ac:dyDescent="0.3">
      <c r="N569" s="349"/>
    </row>
    <row r="570" spans="14:14" ht="32.1" customHeight="1" x14ac:dyDescent="0.3">
      <c r="N570" s="349"/>
    </row>
    <row r="571" spans="14:14" ht="32.1" customHeight="1" x14ac:dyDescent="0.3">
      <c r="N571" s="349"/>
    </row>
    <row r="572" spans="14:14" ht="32.1" customHeight="1" x14ac:dyDescent="0.3">
      <c r="N572" s="349"/>
    </row>
    <row r="573" spans="14:14" ht="32.1" customHeight="1" x14ac:dyDescent="0.3">
      <c r="N573" s="349"/>
    </row>
    <row r="574" spans="14:14" ht="32.1" customHeight="1" x14ac:dyDescent="0.3">
      <c r="N574" s="349"/>
    </row>
    <row r="575" spans="14:14" ht="32.1" customHeight="1" x14ac:dyDescent="0.3">
      <c r="N575" s="349"/>
    </row>
    <row r="576" spans="14:14" ht="32.1" customHeight="1" x14ac:dyDescent="0.3">
      <c r="N576" s="349"/>
    </row>
    <row r="577" spans="14:14" ht="32.1" customHeight="1" x14ac:dyDescent="0.3">
      <c r="N577" s="349"/>
    </row>
    <row r="578" spans="14:14" ht="32.1" customHeight="1" x14ac:dyDescent="0.3">
      <c r="N578" s="349"/>
    </row>
    <row r="579" spans="14:14" ht="32.1" customHeight="1" x14ac:dyDescent="0.3">
      <c r="N579" s="349"/>
    </row>
    <row r="580" spans="14:14" ht="32.1" customHeight="1" x14ac:dyDescent="0.3">
      <c r="N580" s="349"/>
    </row>
    <row r="581" spans="14:14" ht="32.1" customHeight="1" x14ac:dyDescent="0.3">
      <c r="N581" s="349"/>
    </row>
    <row r="582" spans="14:14" ht="32.1" customHeight="1" x14ac:dyDescent="0.3">
      <c r="N582" s="349"/>
    </row>
    <row r="583" spans="14:14" ht="32.1" customHeight="1" x14ac:dyDescent="0.3">
      <c r="N583" s="349"/>
    </row>
    <row r="584" spans="14:14" ht="32.1" customHeight="1" x14ac:dyDescent="0.3">
      <c r="N584" s="349"/>
    </row>
    <row r="585" spans="14:14" ht="32.1" customHeight="1" x14ac:dyDescent="0.3">
      <c r="N585" s="349"/>
    </row>
    <row r="586" spans="14:14" ht="32.1" customHeight="1" x14ac:dyDescent="0.3">
      <c r="N586" s="349"/>
    </row>
    <row r="587" spans="14:14" ht="32.1" customHeight="1" x14ac:dyDescent="0.3">
      <c r="N587" s="349"/>
    </row>
    <row r="588" spans="14:14" ht="32.1" customHeight="1" x14ac:dyDescent="0.3">
      <c r="N588" s="349"/>
    </row>
    <row r="589" spans="14:14" ht="32.1" customHeight="1" x14ac:dyDescent="0.3">
      <c r="N589" s="349"/>
    </row>
    <row r="590" spans="14:14" ht="32.1" customHeight="1" x14ac:dyDescent="0.3">
      <c r="N590" s="349"/>
    </row>
    <row r="591" spans="14:14" ht="32.1" customHeight="1" x14ac:dyDescent="0.3">
      <c r="N591" s="349"/>
    </row>
    <row r="592" spans="14:14" ht="32.1" customHeight="1" x14ac:dyDescent="0.3">
      <c r="N592" s="349"/>
    </row>
    <row r="593" spans="14:14" ht="32.1" customHeight="1" x14ac:dyDescent="0.3">
      <c r="N593" s="349"/>
    </row>
    <row r="594" spans="14:14" ht="32.1" customHeight="1" x14ac:dyDescent="0.3">
      <c r="N594" s="349"/>
    </row>
    <row r="595" spans="14:14" ht="32.1" customHeight="1" x14ac:dyDescent="0.3">
      <c r="N595" s="349"/>
    </row>
    <row r="596" spans="14:14" ht="32.1" customHeight="1" x14ac:dyDescent="0.3">
      <c r="N596" s="349"/>
    </row>
    <row r="597" spans="14:14" ht="32.1" customHeight="1" x14ac:dyDescent="0.3">
      <c r="N597" s="349"/>
    </row>
    <row r="598" spans="14:14" ht="32.1" customHeight="1" x14ac:dyDescent="0.3">
      <c r="N598" s="349"/>
    </row>
    <row r="599" spans="14:14" ht="32.1" customHeight="1" x14ac:dyDescent="0.3">
      <c r="N599" s="349"/>
    </row>
    <row r="600" spans="14:14" ht="32.1" customHeight="1" x14ac:dyDescent="0.3">
      <c r="N600" s="349"/>
    </row>
    <row r="601" spans="14:14" ht="32.1" customHeight="1" x14ac:dyDescent="0.3">
      <c r="N601" s="349"/>
    </row>
    <row r="602" spans="14:14" ht="32.1" customHeight="1" x14ac:dyDescent="0.3">
      <c r="N602" s="349"/>
    </row>
    <row r="603" spans="14:14" ht="32.1" customHeight="1" x14ac:dyDescent="0.3">
      <c r="N603" s="349"/>
    </row>
    <row r="604" spans="14:14" ht="32.1" customHeight="1" x14ac:dyDescent="0.3">
      <c r="N604" s="349"/>
    </row>
    <row r="605" spans="14:14" ht="32.1" customHeight="1" x14ac:dyDescent="0.3">
      <c r="N605" s="349"/>
    </row>
    <row r="606" spans="14:14" ht="32.1" customHeight="1" x14ac:dyDescent="0.3">
      <c r="N606" s="349"/>
    </row>
    <row r="607" spans="14:14" ht="32.1" customHeight="1" x14ac:dyDescent="0.3">
      <c r="N607" s="349"/>
    </row>
    <row r="608" spans="14:14" ht="32.1" customHeight="1" x14ac:dyDescent="0.3">
      <c r="N608" s="349"/>
    </row>
    <row r="609" spans="14:14" ht="32.1" customHeight="1" x14ac:dyDescent="0.3">
      <c r="N609" s="349"/>
    </row>
    <row r="610" spans="14:14" ht="32.1" customHeight="1" x14ac:dyDescent="0.3">
      <c r="N610" s="349"/>
    </row>
    <row r="611" spans="14:14" ht="32.1" customHeight="1" x14ac:dyDescent="0.3">
      <c r="N611" s="349"/>
    </row>
    <row r="612" spans="14:14" ht="32.1" customHeight="1" x14ac:dyDescent="0.3">
      <c r="N612" s="349"/>
    </row>
    <row r="613" spans="14:14" ht="32.1" customHeight="1" x14ac:dyDescent="0.3">
      <c r="N613" s="349"/>
    </row>
    <row r="614" spans="14:14" ht="32.1" customHeight="1" x14ac:dyDescent="0.3">
      <c r="N614" s="349"/>
    </row>
    <row r="615" spans="14:14" ht="32.1" customHeight="1" x14ac:dyDescent="0.3">
      <c r="N615" s="349"/>
    </row>
    <row r="616" spans="14:14" ht="32.1" customHeight="1" x14ac:dyDescent="0.3">
      <c r="N616" s="349"/>
    </row>
    <row r="617" spans="14:14" ht="32.1" customHeight="1" x14ac:dyDescent="0.3">
      <c r="N617" s="349"/>
    </row>
    <row r="618" spans="14:14" ht="32.1" customHeight="1" x14ac:dyDescent="0.3">
      <c r="N618" s="349"/>
    </row>
    <row r="619" spans="14:14" ht="32.1" customHeight="1" x14ac:dyDescent="0.3">
      <c r="N619" s="349"/>
    </row>
    <row r="620" spans="14:14" ht="32.1" customHeight="1" x14ac:dyDescent="0.3">
      <c r="N620" s="349"/>
    </row>
    <row r="621" spans="14:14" ht="32.1" customHeight="1" x14ac:dyDescent="0.3">
      <c r="N621" s="349"/>
    </row>
    <row r="622" spans="14:14" ht="32.1" customHeight="1" x14ac:dyDescent="0.3">
      <c r="N622" s="349"/>
    </row>
    <row r="623" spans="14:14" ht="32.1" customHeight="1" x14ac:dyDescent="0.3">
      <c r="N623" s="349"/>
    </row>
    <row r="624" spans="14:14" ht="32.1" customHeight="1" x14ac:dyDescent="0.3">
      <c r="N624" s="349"/>
    </row>
    <row r="625" spans="14:14" ht="32.1" customHeight="1" x14ac:dyDescent="0.3">
      <c r="N625" s="349"/>
    </row>
    <row r="626" spans="14:14" ht="32.1" customHeight="1" x14ac:dyDescent="0.3">
      <c r="N626" s="349"/>
    </row>
    <row r="627" spans="14:14" ht="32.1" customHeight="1" x14ac:dyDescent="0.3">
      <c r="N627" s="349"/>
    </row>
    <row r="628" spans="14:14" ht="32.1" customHeight="1" x14ac:dyDescent="0.3">
      <c r="N628" s="349"/>
    </row>
    <row r="629" spans="14:14" ht="32.1" customHeight="1" x14ac:dyDescent="0.3">
      <c r="N629" s="349"/>
    </row>
    <row r="630" spans="14:14" ht="32.1" customHeight="1" x14ac:dyDescent="0.3">
      <c r="N630" s="349"/>
    </row>
    <row r="631" spans="14:14" ht="32.1" customHeight="1" x14ac:dyDescent="0.3">
      <c r="N631" s="349"/>
    </row>
    <row r="632" spans="14:14" ht="32.1" customHeight="1" x14ac:dyDescent="0.3">
      <c r="N632" s="349"/>
    </row>
    <row r="633" spans="14:14" ht="32.1" customHeight="1" x14ac:dyDescent="0.3">
      <c r="N633" s="349"/>
    </row>
    <row r="634" spans="14:14" ht="32.1" customHeight="1" x14ac:dyDescent="0.3">
      <c r="N634" s="349"/>
    </row>
    <row r="635" spans="14:14" ht="32.1" customHeight="1" x14ac:dyDescent="0.3">
      <c r="N635" s="349"/>
    </row>
    <row r="636" spans="14:14" ht="32.1" customHeight="1" x14ac:dyDescent="0.3">
      <c r="N636" s="349"/>
    </row>
    <row r="637" spans="14:14" ht="32.1" customHeight="1" x14ac:dyDescent="0.3">
      <c r="N637" s="349"/>
    </row>
    <row r="638" spans="14:14" ht="32.1" customHeight="1" x14ac:dyDescent="0.3">
      <c r="N638" s="349"/>
    </row>
    <row r="639" spans="14:14" ht="32.1" customHeight="1" x14ac:dyDescent="0.3">
      <c r="N639" s="349"/>
    </row>
    <row r="640" spans="14:14" ht="32.1" customHeight="1" x14ac:dyDescent="0.3">
      <c r="N640" s="349"/>
    </row>
    <row r="641" spans="14:14" ht="32.1" customHeight="1" x14ac:dyDescent="0.3">
      <c r="N641" s="349"/>
    </row>
    <row r="642" spans="14:14" ht="32.1" customHeight="1" x14ac:dyDescent="0.3">
      <c r="N642" s="349"/>
    </row>
    <row r="643" spans="14:14" ht="32.1" customHeight="1" x14ac:dyDescent="0.3">
      <c r="N643" s="349"/>
    </row>
    <row r="644" spans="14:14" ht="32.1" customHeight="1" x14ac:dyDescent="0.3">
      <c r="N644" s="349"/>
    </row>
    <row r="645" spans="14:14" ht="32.1" customHeight="1" x14ac:dyDescent="0.3">
      <c r="N645" s="349"/>
    </row>
    <row r="646" spans="14:14" ht="32.1" customHeight="1" x14ac:dyDescent="0.3">
      <c r="N646" s="349"/>
    </row>
    <row r="647" spans="14:14" ht="32.1" customHeight="1" x14ac:dyDescent="0.3">
      <c r="N647" s="349"/>
    </row>
    <row r="648" spans="14:14" ht="32.1" customHeight="1" x14ac:dyDescent="0.3">
      <c r="N648" s="349"/>
    </row>
    <row r="649" spans="14:14" ht="32.1" customHeight="1" x14ac:dyDescent="0.3">
      <c r="N649" s="349"/>
    </row>
    <row r="650" spans="14:14" ht="32.1" customHeight="1" x14ac:dyDescent="0.3">
      <c r="N650" s="349"/>
    </row>
    <row r="651" spans="14:14" ht="32.1" customHeight="1" x14ac:dyDescent="0.3">
      <c r="N651" s="349"/>
    </row>
    <row r="652" spans="14:14" ht="32.1" customHeight="1" x14ac:dyDescent="0.3">
      <c r="N652" s="349"/>
    </row>
    <row r="653" spans="14:14" ht="32.1" customHeight="1" x14ac:dyDescent="0.3">
      <c r="N653" s="349"/>
    </row>
    <row r="654" spans="14:14" ht="32.1" customHeight="1" x14ac:dyDescent="0.3">
      <c r="N654" s="349"/>
    </row>
    <row r="655" spans="14:14" ht="32.1" customHeight="1" x14ac:dyDescent="0.3">
      <c r="N655" s="349"/>
    </row>
    <row r="656" spans="14:14" ht="32.1" customHeight="1" x14ac:dyDescent="0.3">
      <c r="N656" s="349"/>
    </row>
    <row r="657" spans="14:14" ht="32.1" customHeight="1" x14ac:dyDescent="0.3">
      <c r="N657" s="349"/>
    </row>
    <row r="658" spans="14:14" ht="32.1" customHeight="1" x14ac:dyDescent="0.3">
      <c r="N658" s="349"/>
    </row>
    <row r="659" spans="14:14" ht="32.1" customHeight="1" x14ac:dyDescent="0.3">
      <c r="N659" s="349"/>
    </row>
    <row r="660" spans="14:14" ht="32.1" customHeight="1" x14ac:dyDescent="0.3">
      <c r="N660" s="349"/>
    </row>
    <row r="661" spans="14:14" ht="32.1" customHeight="1" x14ac:dyDescent="0.3">
      <c r="N661" s="349"/>
    </row>
    <row r="662" spans="14:14" ht="32.1" customHeight="1" x14ac:dyDescent="0.3">
      <c r="N662" s="349"/>
    </row>
    <row r="663" spans="14:14" ht="32.1" customHeight="1" x14ac:dyDescent="0.3">
      <c r="N663" s="349"/>
    </row>
    <row r="664" spans="14:14" ht="32.1" customHeight="1" x14ac:dyDescent="0.3">
      <c r="N664" s="349"/>
    </row>
    <row r="665" spans="14:14" ht="32.1" customHeight="1" x14ac:dyDescent="0.3">
      <c r="N665" s="349"/>
    </row>
    <row r="666" spans="14:14" ht="32.1" customHeight="1" x14ac:dyDescent="0.3">
      <c r="N666" s="349"/>
    </row>
    <row r="667" spans="14:14" ht="32.1" customHeight="1" x14ac:dyDescent="0.3">
      <c r="N667" s="349"/>
    </row>
    <row r="668" spans="14:14" ht="32.1" customHeight="1" x14ac:dyDescent="0.3">
      <c r="N668" s="349"/>
    </row>
    <row r="669" spans="14:14" ht="32.1" customHeight="1" x14ac:dyDescent="0.3">
      <c r="N669" s="349"/>
    </row>
    <row r="670" spans="14:14" ht="32.1" customHeight="1" x14ac:dyDescent="0.3">
      <c r="N670" s="349"/>
    </row>
    <row r="671" spans="14:14" ht="32.1" customHeight="1" x14ac:dyDescent="0.3">
      <c r="N671" s="349"/>
    </row>
    <row r="672" spans="14:14" ht="32.1" customHeight="1" x14ac:dyDescent="0.3">
      <c r="N672" s="349"/>
    </row>
    <row r="673" spans="14:14" ht="32.1" customHeight="1" x14ac:dyDescent="0.3">
      <c r="N673" s="349"/>
    </row>
    <row r="674" spans="14:14" ht="32.1" customHeight="1" x14ac:dyDescent="0.3">
      <c r="N674" s="349"/>
    </row>
    <row r="675" spans="14:14" ht="32.1" customHeight="1" x14ac:dyDescent="0.3">
      <c r="N675" s="349"/>
    </row>
    <row r="676" spans="14:14" ht="32.1" customHeight="1" x14ac:dyDescent="0.3">
      <c r="N676" s="349"/>
    </row>
    <row r="677" spans="14:14" ht="32.1" customHeight="1" x14ac:dyDescent="0.3">
      <c r="N677" s="349"/>
    </row>
    <row r="678" spans="14:14" ht="32.1" customHeight="1" x14ac:dyDescent="0.3">
      <c r="N678" s="349"/>
    </row>
    <row r="679" spans="14:14" ht="32.1" customHeight="1" x14ac:dyDescent="0.3">
      <c r="N679" s="349"/>
    </row>
    <row r="680" spans="14:14" ht="32.1" customHeight="1" x14ac:dyDescent="0.3">
      <c r="N680" s="349"/>
    </row>
    <row r="681" spans="14:14" ht="32.1" customHeight="1" x14ac:dyDescent="0.3">
      <c r="N681" s="349"/>
    </row>
    <row r="682" spans="14:14" ht="32.1" customHeight="1" x14ac:dyDescent="0.3">
      <c r="N682" s="349"/>
    </row>
    <row r="683" spans="14:14" ht="32.1" customHeight="1" x14ac:dyDescent="0.3">
      <c r="N683" s="349"/>
    </row>
    <row r="684" spans="14:14" ht="32.1" customHeight="1" x14ac:dyDescent="0.3">
      <c r="N684" s="349"/>
    </row>
    <row r="685" spans="14:14" ht="32.1" customHeight="1" x14ac:dyDescent="0.3">
      <c r="N685" s="349"/>
    </row>
    <row r="686" spans="14:14" ht="32.1" customHeight="1" x14ac:dyDescent="0.3">
      <c r="N686" s="349"/>
    </row>
    <row r="687" spans="14:14" ht="32.1" customHeight="1" x14ac:dyDescent="0.3">
      <c r="N687" s="349"/>
    </row>
    <row r="688" spans="14:14" ht="32.1" customHeight="1" x14ac:dyDescent="0.3">
      <c r="N688" s="349"/>
    </row>
    <row r="689" spans="14:14" ht="32.1" customHeight="1" x14ac:dyDescent="0.3">
      <c r="N689" s="349"/>
    </row>
    <row r="690" spans="14:14" ht="32.1" customHeight="1" x14ac:dyDescent="0.3">
      <c r="N690" s="349"/>
    </row>
    <row r="691" spans="14:14" ht="32.1" customHeight="1" x14ac:dyDescent="0.3">
      <c r="N691" s="349"/>
    </row>
    <row r="692" spans="14:14" ht="32.1" customHeight="1" x14ac:dyDescent="0.3">
      <c r="N692" s="349"/>
    </row>
    <row r="693" spans="14:14" ht="32.1" customHeight="1" x14ac:dyDescent="0.3">
      <c r="N693" s="349"/>
    </row>
    <row r="694" spans="14:14" ht="32.1" customHeight="1" x14ac:dyDescent="0.3">
      <c r="N694" s="349"/>
    </row>
    <row r="695" spans="14:14" ht="32.1" customHeight="1" x14ac:dyDescent="0.3">
      <c r="N695" s="349"/>
    </row>
    <row r="696" spans="14:14" ht="32.1" customHeight="1" x14ac:dyDescent="0.3">
      <c r="N696" s="349"/>
    </row>
    <row r="697" spans="14:14" ht="32.1" customHeight="1" x14ac:dyDescent="0.3">
      <c r="N697" s="349"/>
    </row>
    <row r="698" spans="14:14" ht="32.1" customHeight="1" x14ac:dyDescent="0.3">
      <c r="N698" s="349"/>
    </row>
    <row r="699" spans="14:14" ht="32.1" customHeight="1" x14ac:dyDescent="0.3">
      <c r="N699" s="349"/>
    </row>
    <row r="700" spans="14:14" ht="32.1" customHeight="1" x14ac:dyDescent="0.3">
      <c r="N700" s="349"/>
    </row>
  </sheetData>
  <mergeCells count="11">
    <mergeCell ref="N3:N4"/>
    <mergeCell ref="B1:N1"/>
    <mergeCell ref="B2:J2"/>
    <mergeCell ref="B3:B4"/>
    <mergeCell ref="C3:C4"/>
    <mergeCell ref="D3:D4"/>
    <mergeCell ref="E3:E4"/>
    <mergeCell ref="F3:G3"/>
    <mergeCell ref="H3:I3"/>
    <mergeCell ref="J3:K3"/>
    <mergeCell ref="L3:M3"/>
  </mergeCells>
  <phoneticPr fontId="5" type="noConversion"/>
  <conditionalFormatting sqref="B5:N500">
    <cfRule type="expression" dxfId="53" priority="1" stopIfTrue="1">
      <formula>$P5="s"</formula>
    </cfRule>
  </conditionalFormatting>
  <pageMargins left="0.7" right="0" top="0.59055118110236215" bottom="0.39370078740157477" header="0" footer="0"/>
  <pageSetup paperSize="9" scale="58" orientation="landscape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5E493-35A0-4EF0-ABD9-8B2B285B6C45}">
  <dimension ref="A1:BB96"/>
  <sheetViews>
    <sheetView topLeftCell="C1" zoomScale="85" zoomScaleNormal="85" workbookViewId="0">
      <pane ySplit="4" topLeftCell="A5" activePane="bottomLeft" state="frozen"/>
      <selection activeCell="C1" sqref="C1"/>
      <selection pane="bottomLeft" activeCell="C3" sqref="C3:C4"/>
    </sheetView>
  </sheetViews>
  <sheetFormatPr defaultRowHeight="32.1" customHeight="1" x14ac:dyDescent="0.3"/>
  <cols>
    <col min="1" max="2" width="0" style="1" hidden="1" customWidth="1"/>
    <col min="3" max="4" width="37.625" style="1" customWidth="1"/>
    <col min="5" max="5" width="6.375" style="1" customWidth="1"/>
    <col min="6" max="6" width="9" style="1" customWidth="1"/>
    <col min="7" max="13" width="14.125" style="1" customWidth="1"/>
    <col min="14" max="14" width="14.125" style="34" customWidth="1"/>
    <col min="15" max="15" width="9.625" style="1" customWidth="1"/>
    <col min="16" max="16384" width="9" style="1"/>
  </cols>
  <sheetData>
    <row r="1" spans="1:54" ht="32.1" customHeight="1" x14ac:dyDescent="0.3">
      <c r="A1" s="32" t="s">
        <v>60</v>
      </c>
      <c r="B1" s="33"/>
      <c r="C1" s="39" t="s">
        <v>101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54" ht="32.1" customHeight="1" x14ac:dyDescent="0.3">
      <c r="A2" s="21"/>
      <c r="B2" s="21"/>
      <c r="C2" s="50" t="s">
        <v>61</v>
      </c>
      <c r="D2" s="50"/>
      <c r="E2" s="50"/>
      <c r="F2" s="50"/>
      <c r="G2" s="50"/>
      <c r="H2" s="50"/>
      <c r="I2" s="50"/>
      <c r="J2" s="50"/>
      <c r="K2" s="50"/>
      <c r="L2" s="21"/>
      <c r="M2" s="21"/>
      <c r="N2" s="35"/>
      <c r="O2" s="21"/>
    </row>
    <row r="3" spans="1:54" ht="32.1" customHeight="1" x14ac:dyDescent="0.3">
      <c r="A3" s="40" t="s">
        <v>62</v>
      </c>
      <c r="B3" s="40" t="s">
        <v>1</v>
      </c>
      <c r="C3" s="40" t="s">
        <v>63</v>
      </c>
      <c r="D3" s="40" t="s">
        <v>3</v>
      </c>
      <c r="E3" s="40" t="s">
        <v>4</v>
      </c>
      <c r="F3" s="40" t="s">
        <v>49</v>
      </c>
      <c r="G3" s="40" t="s">
        <v>5</v>
      </c>
      <c r="H3" s="41"/>
      <c r="I3" s="40" t="s">
        <v>6</v>
      </c>
      <c r="J3" s="41"/>
      <c r="K3" s="40" t="s">
        <v>7</v>
      </c>
      <c r="L3" s="41"/>
      <c r="M3" s="40" t="s">
        <v>8</v>
      </c>
      <c r="N3" s="41"/>
      <c r="O3" s="40" t="s">
        <v>103</v>
      </c>
    </row>
    <row r="4" spans="1:54" ht="32.1" customHeight="1" x14ac:dyDescent="0.3">
      <c r="A4" s="41"/>
      <c r="B4" s="41"/>
      <c r="C4" s="41"/>
      <c r="D4" s="41"/>
      <c r="E4" s="41"/>
      <c r="F4" s="41"/>
      <c r="G4" s="6" t="s">
        <v>50</v>
      </c>
      <c r="H4" s="6" t="s">
        <v>51</v>
      </c>
      <c r="I4" s="6" t="s">
        <v>50</v>
      </c>
      <c r="J4" s="6" t="s">
        <v>51</v>
      </c>
      <c r="K4" s="6" t="s">
        <v>50</v>
      </c>
      <c r="L4" s="6" t="s">
        <v>51</v>
      </c>
      <c r="M4" s="6" t="s">
        <v>50</v>
      </c>
      <c r="N4" s="6" t="s">
        <v>51</v>
      </c>
      <c r="O4" s="41"/>
    </row>
    <row r="5" spans="1:54" ht="32.1" customHeight="1" x14ac:dyDescent="0.3">
      <c r="A5" s="14"/>
      <c r="B5" s="14"/>
      <c r="C5" s="44" t="s">
        <v>64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1:54" ht="32.1" customHeight="1" x14ac:dyDescent="0.3">
      <c r="A6" s="13" t="s">
        <v>65</v>
      </c>
      <c r="B6" s="13" t="s">
        <v>21</v>
      </c>
      <c r="C6" s="13" t="s">
        <v>54</v>
      </c>
      <c r="D6" s="13" t="s">
        <v>23</v>
      </c>
      <c r="E6" s="13" t="s">
        <v>55</v>
      </c>
      <c r="F6" s="14">
        <v>122.94199999999999</v>
      </c>
      <c r="G6" s="31">
        <f>TRUNC(일위대가목록!E5,0)</f>
        <v>0</v>
      </c>
      <c r="H6" s="31">
        <f t="shared" ref="H6:H13" si="0">TRUNC(F6*G6,0)</f>
        <v>0</v>
      </c>
      <c r="I6" s="31">
        <f>TRUNC(일위대가목록!F5,0)</f>
        <v>0</v>
      </c>
      <c r="J6" s="31">
        <f t="shared" ref="J6:J13" si="1">TRUNC(F6*I6,0)</f>
        <v>0</v>
      </c>
      <c r="K6" s="31">
        <f>TRUNC(일위대가목록!G5,0)</f>
        <v>29396</v>
      </c>
      <c r="L6" s="31">
        <f t="shared" ref="L6:L13" si="2">TRUNC(F6*K6,0)</f>
        <v>3614003</v>
      </c>
      <c r="M6" s="31">
        <f t="shared" ref="M6:N13" si="3">G6+I6+K6</f>
        <v>29396</v>
      </c>
      <c r="N6" s="36">
        <f t="shared" si="3"/>
        <v>3614003</v>
      </c>
      <c r="O6" s="13" t="str">
        <f>일위대가목록!A5</f>
        <v>제 1호표</v>
      </c>
      <c r="P6" s="1" t="s">
        <v>56</v>
      </c>
      <c r="BB6" s="1" t="s">
        <v>66</v>
      </c>
    </row>
    <row r="7" spans="1:54" ht="32.1" customHeight="1" x14ac:dyDescent="0.3">
      <c r="A7" s="13" t="s">
        <v>65</v>
      </c>
      <c r="B7" s="13" t="s">
        <v>28</v>
      </c>
      <c r="C7" s="13" t="s">
        <v>29</v>
      </c>
      <c r="D7" s="13" t="s">
        <v>30</v>
      </c>
      <c r="E7" s="13" t="s">
        <v>24</v>
      </c>
      <c r="F7" s="14">
        <v>1196.9960000000001</v>
      </c>
      <c r="G7" s="31">
        <v>0</v>
      </c>
      <c r="H7" s="31">
        <f t="shared" si="0"/>
        <v>0</v>
      </c>
      <c r="I7" s="31">
        <v>0</v>
      </c>
      <c r="J7" s="31">
        <f t="shared" si="1"/>
        <v>0</v>
      </c>
      <c r="K7" s="31">
        <f>TRUNC(단가대비표!P6,0)</f>
        <v>31002</v>
      </c>
      <c r="L7" s="31">
        <f t="shared" si="2"/>
        <v>37109269</v>
      </c>
      <c r="M7" s="31">
        <f t="shared" si="3"/>
        <v>31002</v>
      </c>
      <c r="N7" s="36">
        <f t="shared" si="3"/>
        <v>37109269</v>
      </c>
      <c r="O7" s="13" t="s">
        <v>25</v>
      </c>
      <c r="P7" s="1" t="s">
        <v>56</v>
      </c>
      <c r="BB7" s="1" t="s">
        <v>57</v>
      </c>
    </row>
    <row r="8" spans="1:54" ht="32.1" customHeight="1" x14ac:dyDescent="0.3">
      <c r="A8" s="13" t="s">
        <v>65</v>
      </c>
      <c r="B8" s="13" t="s">
        <v>31</v>
      </c>
      <c r="C8" s="13" t="s">
        <v>32</v>
      </c>
      <c r="D8" s="13" t="s">
        <v>33</v>
      </c>
      <c r="E8" s="13" t="s">
        <v>24</v>
      </c>
      <c r="F8" s="14">
        <v>1829.52</v>
      </c>
      <c r="G8" s="31">
        <v>0</v>
      </c>
      <c r="H8" s="31">
        <f t="shared" si="0"/>
        <v>0</v>
      </c>
      <c r="I8" s="31">
        <v>0</v>
      </c>
      <c r="J8" s="31">
        <f t="shared" si="1"/>
        <v>0</v>
      </c>
      <c r="K8" s="31">
        <f>TRUNC(단가대비표!P7,0)</f>
        <v>48021</v>
      </c>
      <c r="L8" s="31">
        <f t="shared" si="2"/>
        <v>87855379</v>
      </c>
      <c r="M8" s="31">
        <f t="shared" si="3"/>
        <v>48021</v>
      </c>
      <c r="N8" s="36">
        <f t="shared" si="3"/>
        <v>87855379</v>
      </c>
      <c r="O8" s="13" t="s">
        <v>25</v>
      </c>
      <c r="P8" s="1" t="s">
        <v>56</v>
      </c>
      <c r="BB8" s="1" t="s">
        <v>57</v>
      </c>
    </row>
    <row r="9" spans="1:54" ht="32.1" customHeight="1" x14ac:dyDescent="0.3">
      <c r="A9" s="13" t="s">
        <v>65</v>
      </c>
      <c r="B9" s="13" t="s">
        <v>34</v>
      </c>
      <c r="C9" s="13" t="s">
        <v>35</v>
      </c>
      <c r="D9" s="13" t="s">
        <v>36</v>
      </c>
      <c r="E9" s="13" t="s">
        <v>24</v>
      </c>
      <c r="F9" s="14">
        <v>33.497999999999998</v>
      </c>
      <c r="G9" s="31">
        <v>0</v>
      </c>
      <c r="H9" s="31">
        <f t="shared" si="0"/>
        <v>0</v>
      </c>
      <c r="I9" s="31">
        <v>0</v>
      </c>
      <c r="J9" s="31">
        <f t="shared" si="1"/>
        <v>0</v>
      </c>
      <c r="K9" s="31">
        <f>TRUNC(단가대비표!P8,0)</f>
        <v>168424</v>
      </c>
      <c r="L9" s="31">
        <f t="shared" si="2"/>
        <v>5641867</v>
      </c>
      <c r="M9" s="31">
        <f t="shared" si="3"/>
        <v>168424</v>
      </c>
      <c r="N9" s="36">
        <f t="shared" si="3"/>
        <v>5641867</v>
      </c>
      <c r="O9" s="13" t="s">
        <v>25</v>
      </c>
      <c r="P9" s="1" t="s">
        <v>56</v>
      </c>
      <c r="BB9" s="1" t="s">
        <v>57</v>
      </c>
    </row>
    <row r="10" spans="1:54" ht="32.1" customHeight="1" x14ac:dyDescent="0.3">
      <c r="A10" s="13" t="s">
        <v>65</v>
      </c>
      <c r="B10" s="13" t="s">
        <v>37</v>
      </c>
      <c r="C10" s="13" t="s">
        <v>35</v>
      </c>
      <c r="D10" s="13" t="s">
        <v>38</v>
      </c>
      <c r="E10" s="13" t="s">
        <v>24</v>
      </c>
      <c r="F10" s="14">
        <v>4.6740000000000004</v>
      </c>
      <c r="G10" s="31">
        <v>0</v>
      </c>
      <c r="H10" s="31">
        <f t="shared" si="0"/>
        <v>0</v>
      </c>
      <c r="I10" s="31">
        <v>0</v>
      </c>
      <c r="J10" s="31">
        <f t="shared" si="1"/>
        <v>0</v>
      </c>
      <c r="K10" s="31">
        <f>TRUNC(단가대비표!P9,0)</f>
        <v>173154</v>
      </c>
      <c r="L10" s="31">
        <f t="shared" si="2"/>
        <v>809321</v>
      </c>
      <c r="M10" s="31">
        <f t="shared" si="3"/>
        <v>173154</v>
      </c>
      <c r="N10" s="36">
        <f t="shared" si="3"/>
        <v>809321</v>
      </c>
      <c r="O10" s="13" t="s">
        <v>25</v>
      </c>
      <c r="P10" s="1" t="s">
        <v>56</v>
      </c>
      <c r="BB10" s="1" t="s">
        <v>57</v>
      </c>
    </row>
    <row r="11" spans="1:54" ht="32.1" customHeight="1" x14ac:dyDescent="0.3">
      <c r="A11" s="13" t="s">
        <v>65</v>
      </c>
      <c r="B11" s="13" t="s">
        <v>39</v>
      </c>
      <c r="C11" s="13" t="s">
        <v>40</v>
      </c>
      <c r="D11" s="13" t="s">
        <v>41</v>
      </c>
      <c r="E11" s="13" t="s">
        <v>24</v>
      </c>
      <c r="F11" s="14">
        <v>8.7050000000000001</v>
      </c>
      <c r="G11" s="31">
        <v>0</v>
      </c>
      <c r="H11" s="31">
        <f t="shared" si="0"/>
        <v>0</v>
      </c>
      <c r="I11" s="31">
        <v>0</v>
      </c>
      <c r="J11" s="31">
        <f t="shared" si="1"/>
        <v>0</v>
      </c>
      <c r="K11" s="31">
        <f>TRUNC(단가대비표!P10,0)</f>
        <v>280000</v>
      </c>
      <c r="L11" s="31">
        <f t="shared" si="2"/>
        <v>2437400</v>
      </c>
      <c r="M11" s="31">
        <f t="shared" si="3"/>
        <v>280000</v>
      </c>
      <c r="N11" s="36">
        <f t="shared" si="3"/>
        <v>2437400</v>
      </c>
      <c r="O11" s="13" t="s">
        <v>25</v>
      </c>
      <c r="P11" s="1" t="s">
        <v>56</v>
      </c>
      <c r="BB11" s="1" t="s">
        <v>57</v>
      </c>
    </row>
    <row r="12" spans="1:54" ht="32.1" customHeight="1" x14ac:dyDescent="0.3">
      <c r="A12" s="13" t="s">
        <v>65</v>
      </c>
      <c r="B12" s="13" t="s">
        <v>42</v>
      </c>
      <c r="C12" s="13" t="s">
        <v>43</v>
      </c>
      <c r="D12" s="13" t="s">
        <v>44</v>
      </c>
      <c r="E12" s="13" t="s">
        <v>24</v>
      </c>
      <c r="F12" s="14">
        <v>3149.4580000000001</v>
      </c>
      <c r="G12" s="31">
        <v>0</v>
      </c>
      <c r="H12" s="31">
        <f t="shared" si="0"/>
        <v>0</v>
      </c>
      <c r="I12" s="31">
        <v>0</v>
      </c>
      <c r="J12" s="31">
        <f t="shared" si="1"/>
        <v>0</v>
      </c>
      <c r="K12" s="31">
        <f>TRUNC(단가대비표!P11,0)</f>
        <v>18600</v>
      </c>
      <c r="L12" s="31">
        <f t="shared" si="2"/>
        <v>58579918</v>
      </c>
      <c r="M12" s="31">
        <f t="shared" si="3"/>
        <v>18600</v>
      </c>
      <c r="N12" s="36">
        <f t="shared" si="3"/>
        <v>58579918</v>
      </c>
      <c r="O12" s="13" t="s">
        <v>25</v>
      </c>
      <c r="P12" s="1" t="s">
        <v>56</v>
      </c>
      <c r="BB12" s="1" t="s">
        <v>57</v>
      </c>
    </row>
    <row r="13" spans="1:54" ht="32.1" customHeight="1" x14ac:dyDescent="0.3">
      <c r="A13" s="13" t="s">
        <v>65</v>
      </c>
      <c r="B13" s="13" t="s">
        <v>45</v>
      </c>
      <c r="C13" s="13" t="s">
        <v>46</v>
      </c>
      <c r="D13" s="13" t="s">
        <v>47</v>
      </c>
      <c r="E13" s="13" t="s">
        <v>24</v>
      </c>
      <c r="F13" s="14">
        <v>46.878</v>
      </c>
      <c r="G13" s="31">
        <v>0</v>
      </c>
      <c r="H13" s="31">
        <f t="shared" si="0"/>
        <v>0</v>
      </c>
      <c r="I13" s="31">
        <v>0</v>
      </c>
      <c r="J13" s="31">
        <f t="shared" si="1"/>
        <v>0</v>
      </c>
      <c r="K13" s="31">
        <f>TRUNC(단가대비표!P12,0)</f>
        <v>68760</v>
      </c>
      <c r="L13" s="31">
        <f t="shared" si="2"/>
        <v>3223331</v>
      </c>
      <c r="M13" s="31">
        <f t="shared" si="3"/>
        <v>68760</v>
      </c>
      <c r="N13" s="36">
        <f t="shared" si="3"/>
        <v>3223331</v>
      </c>
      <c r="O13" s="13" t="s">
        <v>25</v>
      </c>
      <c r="P13" s="1" t="s">
        <v>56</v>
      </c>
      <c r="BB13" s="1" t="s">
        <v>57</v>
      </c>
    </row>
    <row r="14" spans="1:54" ht="32.1" customHeight="1" x14ac:dyDescent="0.3">
      <c r="A14" s="14"/>
      <c r="B14" s="14"/>
      <c r="C14" s="14"/>
      <c r="D14" s="14"/>
      <c r="E14" s="14"/>
      <c r="F14" s="14"/>
      <c r="G14" s="31"/>
      <c r="H14" s="31"/>
      <c r="I14" s="31"/>
      <c r="J14" s="31"/>
      <c r="K14" s="31"/>
      <c r="L14" s="31"/>
      <c r="M14" s="31"/>
      <c r="N14" s="36"/>
      <c r="O14" s="14"/>
    </row>
    <row r="15" spans="1:54" ht="32.1" customHeight="1" x14ac:dyDescent="0.3">
      <c r="A15" s="14"/>
      <c r="B15" s="14"/>
      <c r="C15" s="14"/>
      <c r="D15" s="14"/>
      <c r="E15" s="14"/>
      <c r="F15" s="14"/>
      <c r="G15" s="31"/>
      <c r="H15" s="31"/>
      <c r="I15" s="31"/>
      <c r="J15" s="31"/>
      <c r="K15" s="31"/>
      <c r="L15" s="31"/>
      <c r="M15" s="31"/>
      <c r="N15" s="36"/>
      <c r="O15" s="14"/>
    </row>
    <row r="16" spans="1:54" ht="32.1" customHeight="1" x14ac:dyDescent="0.3">
      <c r="A16" s="14"/>
      <c r="B16" s="14"/>
      <c r="C16" s="14"/>
      <c r="D16" s="14"/>
      <c r="E16" s="14"/>
      <c r="F16" s="14"/>
      <c r="G16" s="31"/>
      <c r="H16" s="31"/>
      <c r="I16" s="31"/>
      <c r="J16" s="31"/>
      <c r="K16" s="31"/>
      <c r="L16" s="31"/>
      <c r="M16" s="31"/>
      <c r="N16" s="36"/>
      <c r="O16" s="14"/>
    </row>
    <row r="17" spans="1:54" ht="32.1" customHeight="1" x14ac:dyDescent="0.3">
      <c r="A17" s="14"/>
      <c r="B17" s="14"/>
      <c r="C17" s="14"/>
      <c r="D17" s="14"/>
      <c r="E17" s="14"/>
      <c r="F17" s="14"/>
      <c r="G17" s="31"/>
      <c r="H17" s="31"/>
      <c r="I17" s="31"/>
      <c r="J17" s="31"/>
      <c r="K17" s="31"/>
      <c r="L17" s="31"/>
      <c r="M17" s="31"/>
      <c r="N17" s="36"/>
      <c r="O17" s="14"/>
    </row>
    <row r="18" spans="1:54" ht="32.1" customHeight="1" x14ac:dyDescent="0.3">
      <c r="A18" s="14"/>
      <c r="B18" s="14"/>
      <c r="C18" s="14"/>
      <c r="D18" s="14"/>
      <c r="E18" s="14"/>
      <c r="F18" s="14"/>
      <c r="G18" s="31"/>
      <c r="H18" s="31"/>
      <c r="I18" s="31"/>
      <c r="J18" s="31"/>
      <c r="K18" s="31"/>
      <c r="L18" s="31"/>
      <c r="M18" s="31"/>
      <c r="N18" s="36"/>
      <c r="O18" s="14"/>
    </row>
    <row r="19" spans="1:54" ht="32.1" customHeight="1" x14ac:dyDescent="0.3">
      <c r="A19" s="14"/>
      <c r="B19" s="14"/>
      <c r="C19" s="14"/>
      <c r="D19" s="14"/>
      <c r="E19" s="14"/>
      <c r="F19" s="14"/>
      <c r="G19" s="31"/>
      <c r="H19" s="31"/>
      <c r="I19" s="31"/>
      <c r="J19" s="31"/>
      <c r="K19" s="31"/>
      <c r="L19" s="31"/>
      <c r="M19" s="31"/>
      <c r="N19" s="36"/>
      <c r="O19" s="14"/>
    </row>
    <row r="20" spans="1:54" ht="32.1" customHeight="1" x14ac:dyDescent="0.3">
      <c r="A20" s="14"/>
      <c r="B20" s="14"/>
      <c r="C20" s="14"/>
      <c r="D20" s="14"/>
      <c r="E20" s="14"/>
      <c r="F20" s="14"/>
      <c r="G20" s="31"/>
      <c r="H20" s="31"/>
      <c r="I20" s="31"/>
      <c r="J20" s="31"/>
      <c r="K20" s="31"/>
      <c r="L20" s="31"/>
      <c r="M20" s="31"/>
      <c r="N20" s="36"/>
      <c r="O20" s="14"/>
    </row>
    <row r="21" spans="1:54" ht="32.1" customHeight="1" x14ac:dyDescent="0.3">
      <c r="A21" s="14"/>
      <c r="B21" s="14"/>
      <c r="C21" s="14"/>
      <c r="D21" s="14"/>
      <c r="E21" s="14"/>
      <c r="F21" s="14"/>
      <c r="G21" s="31"/>
      <c r="H21" s="31"/>
      <c r="I21" s="31"/>
      <c r="J21" s="31"/>
      <c r="K21" s="31"/>
      <c r="L21" s="31"/>
      <c r="M21" s="31"/>
      <c r="N21" s="36"/>
      <c r="O21" s="14"/>
    </row>
    <row r="22" spans="1:54" ht="32.1" customHeight="1" x14ac:dyDescent="0.3">
      <c r="A22" s="14"/>
      <c r="B22" s="14"/>
      <c r="C22" s="14"/>
      <c r="D22" s="14"/>
      <c r="E22" s="14"/>
      <c r="F22" s="14"/>
      <c r="G22" s="31"/>
      <c r="H22" s="31"/>
      <c r="I22" s="31"/>
      <c r="J22" s="31"/>
      <c r="K22" s="31"/>
      <c r="L22" s="31"/>
      <c r="M22" s="31"/>
      <c r="N22" s="36"/>
      <c r="O22" s="14"/>
    </row>
    <row r="23" spans="1:54" ht="32.1" customHeight="1" x14ac:dyDescent="0.3">
      <c r="A23" s="14"/>
      <c r="B23" s="14"/>
      <c r="C23" s="14"/>
      <c r="D23" s="14"/>
      <c r="E23" s="14"/>
      <c r="F23" s="14"/>
      <c r="G23" s="31"/>
      <c r="H23" s="31"/>
      <c r="I23" s="31"/>
      <c r="J23" s="31"/>
      <c r="K23" s="31"/>
      <c r="L23" s="31"/>
      <c r="M23" s="31"/>
      <c r="N23" s="36"/>
      <c r="O23" s="14"/>
    </row>
    <row r="24" spans="1:54" ht="32.1" customHeight="1" x14ac:dyDescent="0.3">
      <c r="A24" s="14"/>
      <c r="B24" s="14"/>
      <c r="C24" s="14"/>
      <c r="D24" s="14"/>
      <c r="E24" s="14"/>
      <c r="F24" s="14"/>
      <c r="G24" s="31"/>
      <c r="H24" s="31"/>
      <c r="I24" s="31"/>
      <c r="J24" s="31"/>
      <c r="K24" s="31"/>
      <c r="L24" s="31"/>
      <c r="M24" s="31"/>
      <c r="N24" s="36"/>
      <c r="O24" s="14"/>
    </row>
    <row r="25" spans="1:54" ht="32.1" customHeight="1" x14ac:dyDescent="0.3">
      <c r="A25" s="14"/>
      <c r="B25" s="14"/>
      <c r="C25" s="14"/>
      <c r="D25" s="14"/>
      <c r="E25" s="14"/>
      <c r="F25" s="14"/>
      <c r="G25" s="31"/>
      <c r="H25" s="31"/>
      <c r="I25" s="31"/>
      <c r="J25" s="31"/>
      <c r="K25" s="31"/>
      <c r="L25" s="31"/>
      <c r="M25" s="31"/>
      <c r="N25" s="36"/>
      <c r="O25" s="14"/>
    </row>
    <row r="26" spans="1:54" ht="32.1" customHeight="1" x14ac:dyDescent="0.3">
      <c r="A26" s="14"/>
      <c r="B26" s="14"/>
      <c r="C26" s="14"/>
      <c r="D26" s="14"/>
      <c r="E26" s="14"/>
      <c r="F26" s="14"/>
      <c r="G26" s="31"/>
      <c r="H26" s="31"/>
      <c r="I26" s="31"/>
      <c r="J26" s="31"/>
      <c r="K26" s="31"/>
      <c r="L26" s="31"/>
      <c r="M26" s="31"/>
      <c r="N26" s="36"/>
      <c r="O26" s="14"/>
    </row>
    <row r="27" spans="1:54" ht="32.1" customHeight="1" x14ac:dyDescent="0.3">
      <c r="A27" s="14"/>
      <c r="B27" s="13" t="s">
        <v>67</v>
      </c>
      <c r="C27" s="37" t="s">
        <v>68</v>
      </c>
      <c r="D27" s="14"/>
      <c r="E27" s="14"/>
      <c r="F27" s="14"/>
      <c r="G27" s="14"/>
      <c r="H27" s="31">
        <f>TRUNC(SUMIF(P6:P26,"=S",H6:H26),0)</f>
        <v>0</v>
      </c>
      <c r="I27" s="14"/>
      <c r="J27" s="31">
        <f>TRUNC(SUMIF(P6:P26,"=S",J6:J26),0)</f>
        <v>0</v>
      </c>
      <c r="K27" s="14"/>
      <c r="L27" s="31">
        <f>TRUNC(SUMIF(P6:P26,"=S",L6:L26),0)</f>
        <v>199270488</v>
      </c>
      <c r="M27" s="14"/>
      <c r="N27" s="36">
        <f>TRUNC(SUMIF(P6:P26,"=S",N6:N26),0)</f>
        <v>199270488</v>
      </c>
      <c r="O27" s="14"/>
    </row>
    <row r="28" spans="1:54" ht="32.1" customHeight="1" x14ac:dyDescent="0.3">
      <c r="A28" s="14"/>
      <c r="B28" s="14"/>
      <c r="C28" s="44" t="s">
        <v>69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</row>
    <row r="29" spans="1:54" ht="32.1" customHeight="1" x14ac:dyDescent="0.3">
      <c r="A29" s="13" t="s">
        <v>70</v>
      </c>
      <c r="B29" s="13" t="s">
        <v>31</v>
      </c>
      <c r="C29" s="13" t="s">
        <v>32</v>
      </c>
      <c r="D29" s="13" t="s">
        <v>33</v>
      </c>
      <c r="E29" s="13" t="s">
        <v>24</v>
      </c>
      <c r="F29" s="14">
        <v>22.052</v>
      </c>
      <c r="G29" s="31">
        <v>0</v>
      </c>
      <c r="H29" s="31">
        <f t="shared" ref="H29:H34" si="4">TRUNC(F29*G29,0)</f>
        <v>0</v>
      </c>
      <c r="I29" s="31">
        <v>0</v>
      </c>
      <c r="J29" s="31">
        <f t="shared" ref="J29:J34" si="5">TRUNC(F29*I29,0)</f>
        <v>0</v>
      </c>
      <c r="K29" s="31">
        <f>TRUNC(단가대비표!P7,0)</f>
        <v>48021</v>
      </c>
      <c r="L29" s="31">
        <f t="shared" ref="L29:L34" si="6">TRUNC(F29*K29,0)</f>
        <v>1058959</v>
      </c>
      <c r="M29" s="31">
        <f t="shared" ref="M29:N34" si="7">G29+I29+K29</f>
        <v>48021</v>
      </c>
      <c r="N29" s="36">
        <f t="shared" si="7"/>
        <v>1058959</v>
      </c>
      <c r="O29" s="13" t="s">
        <v>25</v>
      </c>
      <c r="P29" s="1" t="s">
        <v>56</v>
      </c>
      <c r="BB29" s="1" t="s">
        <v>57</v>
      </c>
    </row>
    <row r="30" spans="1:54" ht="32.1" customHeight="1" x14ac:dyDescent="0.3">
      <c r="A30" s="13" t="s">
        <v>70</v>
      </c>
      <c r="B30" s="13" t="s">
        <v>34</v>
      </c>
      <c r="C30" s="13" t="s">
        <v>35</v>
      </c>
      <c r="D30" s="13" t="s">
        <v>36</v>
      </c>
      <c r="E30" s="13" t="s">
        <v>24</v>
      </c>
      <c r="F30" s="14">
        <v>3.9489999999999998</v>
      </c>
      <c r="G30" s="31">
        <v>0</v>
      </c>
      <c r="H30" s="31">
        <f t="shared" si="4"/>
        <v>0</v>
      </c>
      <c r="I30" s="31">
        <v>0</v>
      </c>
      <c r="J30" s="31">
        <f t="shared" si="5"/>
        <v>0</v>
      </c>
      <c r="K30" s="31">
        <f>TRUNC(단가대비표!P8,0)</f>
        <v>168424</v>
      </c>
      <c r="L30" s="31">
        <f t="shared" si="6"/>
        <v>665106</v>
      </c>
      <c r="M30" s="31">
        <f t="shared" si="7"/>
        <v>168424</v>
      </c>
      <c r="N30" s="36">
        <f t="shared" si="7"/>
        <v>665106</v>
      </c>
      <c r="O30" s="13" t="s">
        <v>25</v>
      </c>
      <c r="P30" s="1" t="s">
        <v>56</v>
      </c>
      <c r="BB30" s="1" t="s">
        <v>57</v>
      </c>
    </row>
    <row r="31" spans="1:54" ht="32.1" customHeight="1" x14ac:dyDescent="0.3">
      <c r="A31" s="13" t="s">
        <v>70</v>
      </c>
      <c r="B31" s="13" t="s">
        <v>37</v>
      </c>
      <c r="C31" s="13" t="s">
        <v>35</v>
      </c>
      <c r="D31" s="13" t="s">
        <v>38</v>
      </c>
      <c r="E31" s="13" t="s">
        <v>24</v>
      </c>
      <c r="F31" s="14">
        <v>5.7080000000000002</v>
      </c>
      <c r="G31" s="31">
        <v>0</v>
      </c>
      <c r="H31" s="31">
        <f t="shared" si="4"/>
        <v>0</v>
      </c>
      <c r="I31" s="31">
        <v>0</v>
      </c>
      <c r="J31" s="31">
        <f t="shared" si="5"/>
        <v>0</v>
      </c>
      <c r="K31" s="31">
        <f>TRUNC(단가대비표!P9,0)</f>
        <v>173154</v>
      </c>
      <c r="L31" s="31">
        <f t="shared" si="6"/>
        <v>988363</v>
      </c>
      <c r="M31" s="31">
        <f t="shared" si="7"/>
        <v>173154</v>
      </c>
      <c r="N31" s="36">
        <f t="shared" si="7"/>
        <v>988363</v>
      </c>
      <c r="O31" s="13" t="s">
        <v>25</v>
      </c>
      <c r="P31" s="1" t="s">
        <v>56</v>
      </c>
      <c r="BB31" s="1" t="s">
        <v>57</v>
      </c>
    </row>
    <row r="32" spans="1:54" ht="32.1" customHeight="1" x14ac:dyDescent="0.3">
      <c r="A32" s="13" t="s">
        <v>70</v>
      </c>
      <c r="B32" s="13" t="s">
        <v>39</v>
      </c>
      <c r="C32" s="13" t="s">
        <v>40</v>
      </c>
      <c r="D32" s="13" t="s">
        <v>41</v>
      </c>
      <c r="E32" s="13" t="s">
        <v>24</v>
      </c>
      <c r="F32" s="14">
        <v>1.2809999999999999</v>
      </c>
      <c r="G32" s="31">
        <v>0</v>
      </c>
      <c r="H32" s="31">
        <f t="shared" si="4"/>
        <v>0</v>
      </c>
      <c r="I32" s="31">
        <v>0</v>
      </c>
      <c r="J32" s="31">
        <f t="shared" si="5"/>
        <v>0</v>
      </c>
      <c r="K32" s="31">
        <f>TRUNC(단가대비표!P10,0)</f>
        <v>280000</v>
      </c>
      <c r="L32" s="31">
        <f t="shared" si="6"/>
        <v>358680</v>
      </c>
      <c r="M32" s="31">
        <f t="shared" si="7"/>
        <v>280000</v>
      </c>
      <c r="N32" s="36">
        <f t="shared" si="7"/>
        <v>358680</v>
      </c>
      <c r="O32" s="13" t="s">
        <v>25</v>
      </c>
      <c r="P32" s="1" t="s">
        <v>56</v>
      </c>
      <c r="BB32" s="1" t="s">
        <v>57</v>
      </c>
    </row>
    <row r="33" spans="1:54" ht="32.1" customHeight="1" x14ac:dyDescent="0.3">
      <c r="A33" s="13" t="s">
        <v>70</v>
      </c>
      <c r="B33" s="13" t="s">
        <v>42</v>
      </c>
      <c r="C33" s="13" t="s">
        <v>43</v>
      </c>
      <c r="D33" s="13" t="s">
        <v>44</v>
      </c>
      <c r="E33" s="13" t="s">
        <v>24</v>
      </c>
      <c r="F33" s="14">
        <v>22.052</v>
      </c>
      <c r="G33" s="31">
        <v>0</v>
      </c>
      <c r="H33" s="31">
        <f t="shared" si="4"/>
        <v>0</v>
      </c>
      <c r="I33" s="31">
        <v>0</v>
      </c>
      <c r="J33" s="31">
        <f t="shared" si="5"/>
        <v>0</v>
      </c>
      <c r="K33" s="31">
        <f>TRUNC(단가대비표!P11,0)</f>
        <v>18600</v>
      </c>
      <c r="L33" s="31">
        <f t="shared" si="6"/>
        <v>410167</v>
      </c>
      <c r="M33" s="31">
        <f t="shared" si="7"/>
        <v>18600</v>
      </c>
      <c r="N33" s="36">
        <f t="shared" si="7"/>
        <v>410167</v>
      </c>
      <c r="O33" s="13" t="s">
        <v>25</v>
      </c>
      <c r="P33" s="1" t="s">
        <v>56</v>
      </c>
      <c r="BB33" s="1" t="s">
        <v>57</v>
      </c>
    </row>
    <row r="34" spans="1:54" ht="32.1" customHeight="1" x14ac:dyDescent="0.3">
      <c r="A34" s="13" t="s">
        <v>70</v>
      </c>
      <c r="B34" s="13" t="s">
        <v>45</v>
      </c>
      <c r="C34" s="13" t="s">
        <v>46</v>
      </c>
      <c r="D34" s="13" t="s">
        <v>47</v>
      </c>
      <c r="E34" s="13" t="s">
        <v>24</v>
      </c>
      <c r="F34" s="14">
        <v>10.939</v>
      </c>
      <c r="G34" s="31">
        <v>0</v>
      </c>
      <c r="H34" s="31">
        <f t="shared" si="4"/>
        <v>0</v>
      </c>
      <c r="I34" s="31">
        <v>0</v>
      </c>
      <c r="J34" s="31">
        <f t="shared" si="5"/>
        <v>0</v>
      </c>
      <c r="K34" s="31">
        <f>TRUNC(단가대비표!P12,0)</f>
        <v>68760</v>
      </c>
      <c r="L34" s="31">
        <f t="shared" si="6"/>
        <v>752165</v>
      </c>
      <c r="M34" s="31">
        <f t="shared" si="7"/>
        <v>68760</v>
      </c>
      <c r="N34" s="36">
        <f t="shared" si="7"/>
        <v>752165</v>
      </c>
      <c r="O34" s="13" t="s">
        <v>25</v>
      </c>
      <c r="P34" s="1" t="s">
        <v>56</v>
      </c>
      <c r="BB34" s="1" t="s">
        <v>57</v>
      </c>
    </row>
    <row r="35" spans="1:54" ht="32.1" customHeight="1" x14ac:dyDescent="0.3">
      <c r="A35" s="14"/>
      <c r="B35" s="14"/>
      <c r="C35" s="14"/>
      <c r="D35" s="14"/>
      <c r="E35" s="14"/>
      <c r="F35" s="14"/>
      <c r="G35" s="31"/>
      <c r="H35" s="31"/>
      <c r="I35" s="31"/>
      <c r="J35" s="31"/>
      <c r="K35" s="31"/>
      <c r="L35" s="31"/>
      <c r="M35" s="31"/>
      <c r="N35" s="36"/>
      <c r="O35" s="14"/>
    </row>
    <row r="36" spans="1:54" ht="32.1" customHeight="1" x14ac:dyDescent="0.3">
      <c r="A36" s="14"/>
      <c r="B36" s="14"/>
      <c r="C36" s="14"/>
      <c r="D36" s="14"/>
      <c r="E36" s="14"/>
      <c r="F36" s="14"/>
      <c r="G36" s="31"/>
      <c r="H36" s="31"/>
      <c r="I36" s="31"/>
      <c r="J36" s="31"/>
      <c r="K36" s="31"/>
      <c r="L36" s="31"/>
      <c r="M36" s="31"/>
      <c r="N36" s="36"/>
      <c r="O36" s="14"/>
    </row>
    <row r="37" spans="1:54" ht="32.1" customHeight="1" x14ac:dyDescent="0.3">
      <c r="A37" s="14"/>
      <c r="B37" s="14"/>
      <c r="C37" s="14"/>
      <c r="D37" s="14"/>
      <c r="E37" s="14"/>
      <c r="F37" s="14"/>
      <c r="G37" s="31"/>
      <c r="H37" s="31"/>
      <c r="I37" s="31"/>
      <c r="J37" s="31"/>
      <c r="K37" s="31"/>
      <c r="L37" s="31"/>
      <c r="M37" s="31"/>
      <c r="N37" s="36"/>
      <c r="O37" s="14"/>
    </row>
    <row r="38" spans="1:54" ht="32.1" customHeight="1" x14ac:dyDescent="0.3">
      <c r="A38" s="14"/>
      <c r="B38" s="14"/>
      <c r="C38" s="14"/>
      <c r="D38" s="14"/>
      <c r="E38" s="14"/>
      <c r="F38" s="14"/>
      <c r="G38" s="31"/>
      <c r="H38" s="31"/>
      <c r="I38" s="31"/>
      <c r="J38" s="31"/>
      <c r="K38" s="31"/>
      <c r="L38" s="31"/>
      <c r="M38" s="31"/>
      <c r="N38" s="36"/>
      <c r="O38" s="14"/>
    </row>
    <row r="39" spans="1:54" ht="32.1" customHeight="1" x14ac:dyDescent="0.3">
      <c r="A39" s="14"/>
      <c r="B39" s="14"/>
      <c r="C39" s="14"/>
      <c r="D39" s="14"/>
      <c r="E39" s="14"/>
      <c r="F39" s="14"/>
      <c r="G39" s="31"/>
      <c r="H39" s="31"/>
      <c r="I39" s="31"/>
      <c r="J39" s="31"/>
      <c r="K39" s="31"/>
      <c r="L39" s="31"/>
      <c r="M39" s="31"/>
      <c r="N39" s="36"/>
      <c r="O39" s="14"/>
    </row>
    <row r="40" spans="1:54" ht="32.1" customHeight="1" x14ac:dyDescent="0.3">
      <c r="A40" s="14"/>
      <c r="B40" s="14"/>
      <c r="C40" s="14"/>
      <c r="D40" s="14"/>
      <c r="E40" s="14"/>
      <c r="F40" s="14"/>
      <c r="G40" s="31"/>
      <c r="H40" s="31"/>
      <c r="I40" s="31"/>
      <c r="J40" s="31"/>
      <c r="K40" s="31"/>
      <c r="L40" s="31"/>
      <c r="M40" s="31"/>
      <c r="N40" s="36"/>
      <c r="O40" s="14"/>
    </row>
    <row r="41" spans="1:54" ht="32.1" customHeight="1" x14ac:dyDescent="0.3">
      <c r="A41" s="14"/>
      <c r="B41" s="14"/>
      <c r="C41" s="14"/>
      <c r="D41" s="14"/>
      <c r="E41" s="14"/>
      <c r="F41" s="14"/>
      <c r="G41" s="31"/>
      <c r="H41" s="31"/>
      <c r="I41" s="31"/>
      <c r="J41" s="31"/>
      <c r="K41" s="31"/>
      <c r="L41" s="31"/>
      <c r="M41" s="31"/>
      <c r="N41" s="36"/>
      <c r="O41" s="14"/>
    </row>
    <row r="42" spans="1:54" ht="32.1" customHeight="1" x14ac:dyDescent="0.3">
      <c r="A42" s="14"/>
      <c r="B42" s="14"/>
      <c r="C42" s="14"/>
      <c r="D42" s="14"/>
      <c r="E42" s="14"/>
      <c r="F42" s="14"/>
      <c r="G42" s="31"/>
      <c r="H42" s="31"/>
      <c r="I42" s="31"/>
      <c r="J42" s="31"/>
      <c r="K42" s="31"/>
      <c r="L42" s="31"/>
      <c r="M42" s="31"/>
      <c r="N42" s="36"/>
      <c r="O42" s="14"/>
    </row>
    <row r="43" spans="1:54" ht="32.1" customHeight="1" x14ac:dyDescent="0.3">
      <c r="A43" s="14"/>
      <c r="B43" s="14"/>
      <c r="C43" s="14"/>
      <c r="D43" s="14"/>
      <c r="E43" s="14"/>
      <c r="F43" s="14"/>
      <c r="G43" s="31"/>
      <c r="H43" s="31"/>
      <c r="I43" s="31"/>
      <c r="J43" s="31"/>
      <c r="K43" s="31"/>
      <c r="L43" s="31"/>
      <c r="M43" s="31"/>
      <c r="N43" s="36"/>
      <c r="O43" s="14"/>
    </row>
    <row r="44" spans="1:54" ht="32.1" customHeight="1" x14ac:dyDescent="0.3">
      <c r="A44" s="14"/>
      <c r="B44" s="14"/>
      <c r="C44" s="14"/>
      <c r="D44" s="14"/>
      <c r="E44" s="14"/>
      <c r="F44" s="14"/>
      <c r="G44" s="31"/>
      <c r="H44" s="31"/>
      <c r="I44" s="31"/>
      <c r="J44" s="31"/>
      <c r="K44" s="31"/>
      <c r="L44" s="31"/>
      <c r="M44" s="31"/>
      <c r="N44" s="36"/>
      <c r="O44" s="14"/>
    </row>
    <row r="45" spans="1:54" ht="32.1" customHeight="1" x14ac:dyDescent="0.3">
      <c r="A45" s="14"/>
      <c r="B45" s="14"/>
      <c r="C45" s="14"/>
      <c r="D45" s="14"/>
      <c r="E45" s="14"/>
      <c r="F45" s="14"/>
      <c r="G45" s="31"/>
      <c r="H45" s="31"/>
      <c r="I45" s="31"/>
      <c r="J45" s="31"/>
      <c r="K45" s="31"/>
      <c r="L45" s="31"/>
      <c r="M45" s="31"/>
      <c r="N45" s="36"/>
      <c r="O45" s="14"/>
    </row>
    <row r="46" spans="1:54" ht="32.1" customHeight="1" x14ac:dyDescent="0.3">
      <c r="A46" s="14"/>
      <c r="B46" s="14"/>
      <c r="C46" s="14"/>
      <c r="D46" s="14"/>
      <c r="E46" s="14"/>
      <c r="F46" s="14"/>
      <c r="G46" s="31"/>
      <c r="H46" s="31"/>
      <c r="I46" s="31"/>
      <c r="J46" s="31"/>
      <c r="K46" s="31"/>
      <c r="L46" s="31"/>
      <c r="M46" s="31"/>
      <c r="N46" s="36"/>
      <c r="O46" s="14"/>
    </row>
    <row r="47" spans="1:54" ht="32.1" customHeight="1" x14ac:dyDescent="0.3">
      <c r="A47" s="14"/>
      <c r="B47" s="14"/>
      <c r="C47" s="14"/>
      <c r="D47" s="14"/>
      <c r="E47" s="14"/>
      <c r="F47" s="14"/>
      <c r="G47" s="31"/>
      <c r="H47" s="31"/>
      <c r="I47" s="31"/>
      <c r="J47" s="31"/>
      <c r="K47" s="31"/>
      <c r="L47" s="31"/>
      <c r="M47" s="31"/>
      <c r="N47" s="36"/>
      <c r="O47" s="14"/>
    </row>
    <row r="48" spans="1:54" ht="32.1" customHeight="1" x14ac:dyDescent="0.3">
      <c r="A48" s="14"/>
      <c r="B48" s="14"/>
      <c r="C48" s="14"/>
      <c r="D48" s="14"/>
      <c r="E48" s="14"/>
      <c r="F48" s="14"/>
      <c r="G48" s="31"/>
      <c r="H48" s="31"/>
      <c r="I48" s="31"/>
      <c r="J48" s="31"/>
      <c r="K48" s="31"/>
      <c r="L48" s="31"/>
      <c r="M48" s="31"/>
      <c r="N48" s="36"/>
      <c r="O48" s="14"/>
    </row>
    <row r="49" spans="1:54" ht="32.1" customHeight="1" x14ac:dyDescent="0.3">
      <c r="A49" s="14"/>
      <c r="B49" s="14"/>
      <c r="C49" s="14"/>
      <c r="D49" s="14"/>
      <c r="E49" s="14"/>
      <c r="F49" s="14"/>
      <c r="G49" s="31"/>
      <c r="H49" s="31"/>
      <c r="I49" s="31"/>
      <c r="J49" s="31"/>
      <c r="K49" s="31"/>
      <c r="L49" s="31"/>
      <c r="M49" s="31"/>
      <c r="N49" s="36"/>
      <c r="O49" s="14"/>
    </row>
    <row r="50" spans="1:54" ht="32.1" customHeight="1" x14ac:dyDescent="0.3">
      <c r="A50" s="14"/>
      <c r="B50" s="13" t="s">
        <v>71</v>
      </c>
      <c r="C50" s="37" t="s">
        <v>68</v>
      </c>
      <c r="D50" s="14"/>
      <c r="E50" s="14"/>
      <c r="F50" s="14"/>
      <c r="G50" s="14"/>
      <c r="H50" s="31">
        <f>TRUNC(SUMIF(P29:P49,"=S",H29:H49),0)</f>
        <v>0</v>
      </c>
      <c r="I50" s="14"/>
      <c r="J50" s="31">
        <f>TRUNC(SUMIF(P29:P49,"=S",J29:J49),0)</f>
        <v>0</v>
      </c>
      <c r="K50" s="14"/>
      <c r="L50" s="31">
        <f>TRUNC(SUMIF(P29:P49,"=S",L29:L49),0)</f>
        <v>4233440</v>
      </c>
      <c r="M50" s="14"/>
      <c r="N50" s="36">
        <f>TRUNC(SUMIF(P29:P49,"=S",N29:N49),0)</f>
        <v>4233440</v>
      </c>
      <c r="O50" s="14"/>
    </row>
    <row r="51" spans="1:54" ht="32.1" customHeight="1" x14ac:dyDescent="0.3">
      <c r="A51" s="14"/>
      <c r="B51" s="14"/>
      <c r="C51" s="44" t="s">
        <v>72</v>
      </c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</row>
    <row r="52" spans="1:54" ht="32.1" customHeight="1" x14ac:dyDescent="0.3">
      <c r="A52" s="13" t="s">
        <v>73</v>
      </c>
      <c r="B52" s="13" t="s">
        <v>37</v>
      </c>
      <c r="C52" s="13" t="s">
        <v>35</v>
      </c>
      <c r="D52" s="13" t="s">
        <v>38</v>
      </c>
      <c r="E52" s="13" t="s">
        <v>24</v>
      </c>
      <c r="F52" s="14">
        <v>0.159</v>
      </c>
      <c r="G52" s="31">
        <v>0</v>
      </c>
      <c r="H52" s="31">
        <f>TRUNC(F52*G52,0)</f>
        <v>0</v>
      </c>
      <c r="I52" s="31">
        <v>0</v>
      </c>
      <c r="J52" s="31">
        <f>TRUNC(F52*I52,0)</f>
        <v>0</v>
      </c>
      <c r="K52" s="31">
        <f>TRUNC(단가대비표!P9,0)</f>
        <v>173154</v>
      </c>
      <c r="L52" s="31">
        <f>TRUNC(F52*K52,0)</f>
        <v>27531</v>
      </c>
      <c r="M52" s="31">
        <f>G52+I52+K52</f>
        <v>173154</v>
      </c>
      <c r="N52" s="36">
        <f>H52+J52+L52</f>
        <v>27531</v>
      </c>
      <c r="O52" s="13" t="s">
        <v>25</v>
      </c>
      <c r="P52" s="1" t="s">
        <v>56</v>
      </c>
      <c r="BB52" s="1" t="s">
        <v>57</v>
      </c>
    </row>
    <row r="53" spans="1:54" ht="32.1" customHeight="1" x14ac:dyDescent="0.3">
      <c r="A53" s="13" t="s">
        <v>73</v>
      </c>
      <c r="B53" s="13" t="s">
        <v>45</v>
      </c>
      <c r="C53" s="13" t="s">
        <v>46</v>
      </c>
      <c r="D53" s="13" t="s">
        <v>47</v>
      </c>
      <c r="E53" s="13" t="s">
        <v>24</v>
      </c>
      <c r="F53" s="14">
        <v>0.159</v>
      </c>
      <c r="G53" s="31">
        <v>0</v>
      </c>
      <c r="H53" s="31">
        <f>TRUNC(F53*G53,0)</f>
        <v>0</v>
      </c>
      <c r="I53" s="31">
        <v>0</v>
      </c>
      <c r="J53" s="31">
        <f>TRUNC(F53*I53,0)</f>
        <v>0</v>
      </c>
      <c r="K53" s="31">
        <f>TRUNC(단가대비표!P12,0)</f>
        <v>68760</v>
      </c>
      <c r="L53" s="31">
        <f>TRUNC(F53*K53,0)</f>
        <v>10932</v>
      </c>
      <c r="M53" s="31">
        <f>G53+I53+K53</f>
        <v>68760</v>
      </c>
      <c r="N53" s="36">
        <f>H53+J53+L53</f>
        <v>10932</v>
      </c>
      <c r="O53" s="13" t="s">
        <v>25</v>
      </c>
      <c r="P53" s="1" t="s">
        <v>56</v>
      </c>
      <c r="BB53" s="1" t="s">
        <v>57</v>
      </c>
    </row>
    <row r="54" spans="1:54" ht="32.1" customHeight="1" x14ac:dyDescent="0.3">
      <c r="A54" s="14"/>
      <c r="B54" s="14"/>
      <c r="C54" s="14"/>
      <c r="D54" s="14"/>
      <c r="E54" s="14"/>
      <c r="F54" s="14"/>
      <c r="G54" s="31"/>
      <c r="H54" s="31"/>
      <c r="I54" s="31"/>
      <c r="J54" s="31"/>
      <c r="K54" s="31"/>
      <c r="L54" s="31"/>
      <c r="M54" s="31"/>
      <c r="N54" s="36"/>
      <c r="O54" s="14"/>
    </row>
    <row r="55" spans="1:54" ht="32.1" customHeight="1" x14ac:dyDescent="0.3">
      <c r="A55" s="14"/>
      <c r="B55" s="14"/>
      <c r="C55" s="14"/>
      <c r="D55" s="14"/>
      <c r="E55" s="14"/>
      <c r="F55" s="14"/>
      <c r="G55" s="31"/>
      <c r="H55" s="31"/>
      <c r="I55" s="31"/>
      <c r="J55" s="31"/>
      <c r="K55" s="31"/>
      <c r="L55" s="31"/>
      <c r="M55" s="31"/>
      <c r="N55" s="36"/>
      <c r="O55" s="14"/>
    </row>
    <row r="56" spans="1:54" ht="32.1" customHeight="1" x14ac:dyDescent="0.3">
      <c r="A56" s="14"/>
      <c r="B56" s="14"/>
      <c r="C56" s="14"/>
      <c r="D56" s="14"/>
      <c r="E56" s="14"/>
      <c r="F56" s="14"/>
      <c r="G56" s="31"/>
      <c r="H56" s="31"/>
      <c r="I56" s="31"/>
      <c r="J56" s="31"/>
      <c r="K56" s="31"/>
      <c r="L56" s="31"/>
      <c r="M56" s="31"/>
      <c r="N56" s="36"/>
      <c r="O56" s="14"/>
    </row>
    <row r="57" spans="1:54" ht="32.1" customHeight="1" x14ac:dyDescent="0.3">
      <c r="A57" s="14"/>
      <c r="B57" s="14"/>
      <c r="C57" s="14"/>
      <c r="D57" s="14"/>
      <c r="E57" s="14"/>
      <c r="F57" s="14"/>
      <c r="G57" s="31"/>
      <c r="H57" s="31"/>
      <c r="I57" s="31"/>
      <c r="J57" s="31"/>
      <c r="K57" s="31"/>
      <c r="L57" s="31"/>
      <c r="M57" s="31"/>
      <c r="N57" s="36"/>
      <c r="O57" s="14"/>
    </row>
    <row r="58" spans="1:54" ht="32.1" customHeight="1" x14ac:dyDescent="0.3">
      <c r="A58" s="14"/>
      <c r="B58" s="14"/>
      <c r="C58" s="14"/>
      <c r="D58" s="14"/>
      <c r="E58" s="14"/>
      <c r="F58" s="14"/>
      <c r="G58" s="31"/>
      <c r="H58" s="31"/>
      <c r="I58" s="31"/>
      <c r="J58" s="31"/>
      <c r="K58" s="31"/>
      <c r="L58" s="31"/>
      <c r="M58" s="31"/>
      <c r="N58" s="36"/>
      <c r="O58" s="14"/>
    </row>
    <row r="59" spans="1:54" ht="32.1" customHeight="1" x14ac:dyDescent="0.3">
      <c r="A59" s="14"/>
      <c r="B59" s="14"/>
      <c r="C59" s="14"/>
      <c r="D59" s="14"/>
      <c r="E59" s="14"/>
      <c r="F59" s="14"/>
      <c r="G59" s="31"/>
      <c r="H59" s="31"/>
      <c r="I59" s="31"/>
      <c r="J59" s="31"/>
      <c r="K59" s="31"/>
      <c r="L59" s="31"/>
      <c r="M59" s="31"/>
      <c r="N59" s="36"/>
      <c r="O59" s="14"/>
    </row>
    <row r="60" spans="1:54" ht="32.1" customHeight="1" x14ac:dyDescent="0.3">
      <c r="A60" s="14"/>
      <c r="B60" s="14"/>
      <c r="C60" s="14"/>
      <c r="D60" s="14"/>
      <c r="E60" s="14"/>
      <c r="F60" s="14"/>
      <c r="G60" s="31"/>
      <c r="H60" s="31"/>
      <c r="I60" s="31"/>
      <c r="J60" s="31"/>
      <c r="K60" s="31"/>
      <c r="L60" s="31"/>
      <c r="M60" s="31"/>
      <c r="N60" s="36"/>
      <c r="O60" s="14"/>
    </row>
    <row r="61" spans="1:54" ht="32.1" customHeight="1" x14ac:dyDescent="0.3">
      <c r="A61" s="14"/>
      <c r="B61" s="14"/>
      <c r="C61" s="14"/>
      <c r="D61" s="14"/>
      <c r="E61" s="14"/>
      <c r="F61" s="14"/>
      <c r="G61" s="31"/>
      <c r="H61" s="31"/>
      <c r="I61" s="31"/>
      <c r="J61" s="31"/>
      <c r="K61" s="31"/>
      <c r="L61" s="31"/>
      <c r="M61" s="31"/>
      <c r="N61" s="36"/>
      <c r="O61" s="14"/>
    </row>
    <row r="62" spans="1:54" ht="32.1" customHeight="1" x14ac:dyDescent="0.3">
      <c r="A62" s="14"/>
      <c r="B62" s="14"/>
      <c r="C62" s="14"/>
      <c r="D62" s="14"/>
      <c r="E62" s="14"/>
      <c r="F62" s="14"/>
      <c r="G62" s="31"/>
      <c r="H62" s="31"/>
      <c r="I62" s="31"/>
      <c r="J62" s="31"/>
      <c r="K62" s="31"/>
      <c r="L62" s="31"/>
      <c r="M62" s="31"/>
      <c r="N62" s="36"/>
      <c r="O62" s="14"/>
    </row>
    <row r="63" spans="1:54" ht="32.1" customHeight="1" x14ac:dyDescent="0.3">
      <c r="A63" s="14"/>
      <c r="B63" s="14"/>
      <c r="C63" s="14"/>
      <c r="D63" s="14"/>
      <c r="E63" s="14"/>
      <c r="F63" s="14"/>
      <c r="G63" s="31"/>
      <c r="H63" s="31"/>
      <c r="I63" s="31"/>
      <c r="J63" s="31"/>
      <c r="K63" s="31"/>
      <c r="L63" s="31"/>
      <c r="M63" s="31"/>
      <c r="N63" s="36"/>
      <c r="O63" s="14"/>
    </row>
    <row r="64" spans="1:54" ht="32.1" customHeight="1" x14ac:dyDescent="0.3">
      <c r="A64" s="14"/>
      <c r="B64" s="14"/>
      <c r="C64" s="14"/>
      <c r="D64" s="14"/>
      <c r="E64" s="14"/>
      <c r="F64" s="14"/>
      <c r="G64" s="31"/>
      <c r="H64" s="31"/>
      <c r="I64" s="31"/>
      <c r="J64" s="31"/>
      <c r="K64" s="31"/>
      <c r="L64" s="31"/>
      <c r="M64" s="31"/>
      <c r="N64" s="36"/>
      <c r="O64" s="14"/>
    </row>
    <row r="65" spans="1:54" ht="32.1" customHeight="1" x14ac:dyDescent="0.3">
      <c r="A65" s="14"/>
      <c r="B65" s="14"/>
      <c r="C65" s="14"/>
      <c r="D65" s="14"/>
      <c r="E65" s="14"/>
      <c r="F65" s="14"/>
      <c r="G65" s="31"/>
      <c r="H65" s="31"/>
      <c r="I65" s="31"/>
      <c r="J65" s="31"/>
      <c r="K65" s="31"/>
      <c r="L65" s="31"/>
      <c r="M65" s="31"/>
      <c r="N65" s="36"/>
      <c r="O65" s="14"/>
    </row>
    <row r="66" spans="1:54" ht="32.1" customHeight="1" x14ac:dyDescent="0.3">
      <c r="A66" s="14"/>
      <c r="B66" s="14"/>
      <c r="C66" s="14"/>
      <c r="D66" s="14"/>
      <c r="E66" s="14"/>
      <c r="F66" s="14"/>
      <c r="G66" s="31"/>
      <c r="H66" s="31"/>
      <c r="I66" s="31"/>
      <c r="J66" s="31"/>
      <c r="K66" s="31"/>
      <c r="L66" s="31"/>
      <c r="M66" s="31"/>
      <c r="N66" s="36"/>
      <c r="O66" s="14"/>
    </row>
    <row r="67" spans="1:54" ht="32.1" customHeight="1" x14ac:dyDescent="0.3">
      <c r="A67" s="14"/>
      <c r="B67" s="14"/>
      <c r="C67" s="14"/>
      <c r="D67" s="14"/>
      <c r="E67" s="14"/>
      <c r="F67" s="14"/>
      <c r="G67" s="31"/>
      <c r="H67" s="31"/>
      <c r="I67" s="31"/>
      <c r="J67" s="31"/>
      <c r="K67" s="31"/>
      <c r="L67" s="31"/>
      <c r="M67" s="31"/>
      <c r="N67" s="36"/>
      <c r="O67" s="14"/>
    </row>
    <row r="68" spans="1:54" ht="32.1" customHeight="1" x14ac:dyDescent="0.3">
      <c r="A68" s="14"/>
      <c r="B68" s="14"/>
      <c r="C68" s="14"/>
      <c r="D68" s="14"/>
      <c r="E68" s="14"/>
      <c r="F68" s="14"/>
      <c r="G68" s="31"/>
      <c r="H68" s="31"/>
      <c r="I68" s="31"/>
      <c r="J68" s="31"/>
      <c r="K68" s="31"/>
      <c r="L68" s="31"/>
      <c r="M68" s="31"/>
      <c r="N68" s="36"/>
      <c r="O68" s="14"/>
    </row>
    <row r="69" spans="1:54" ht="32.1" customHeight="1" x14ac:dyDescent="0.3">
      <c r="A69" s="14"/>
      <c r="B69" s="14"/>
      <c r="C69" s="14"/>
      <c r="D69" s="14"/>
      <c r="E69" s="14"/>
      <c r="F69" s="14"/>
      <c r="G69" s="31"/>
      <c r="H69" s="31"/>
      <c r="I69" s="31"/>
      <c r="J69" s="31"/>
      <c r="K69" s="31"/>
      <c r="L69" s="31"/>
      <c r="M69" s="31"/>
      <c r="N69" s="36"/>
      <c r="O69" s="14"/>
    </row>
    <row r="70" spans="1:54" ht="32.1" customHeight="1" x14ac:dyDescent="0.3">
      <c r="A70" s="14"/>
      <c r="B70" s="14"/>
      <c r="C70" s="14"/>
      <c r="D70" s="14"/>
      <c r="E70" s="14"/>
      <c r="F70" s="14"/>
      <c r="G70" s="31"/>
      <c r="H70" s="31"/>
      <c r="I70" s="31"/>
      <c r="J70" s="31"/>
      <c r="K70" s="31"/>
      <c r="L70" s="31"/>
      <c r="M70" s="31"/>
      <c r="N70" s="36"/>
      <c r="O70" s="14"/>
    </row>
    <row r="71" spans="1:54" ht="32.1" customHeight="1" x14ac:dyDescent="0.3">
      <c r="A71" s="14"/>
      <c r="B71" s="14"/>
      <c r="C71" s="14"/>
      <c r="D71" s="14"/>
      <c r="E71" s="14"/>
      <c r="F71" s="14"/>
      <c r="G71" s="31"/>
      <c r="H71" s="31"/>
      <c r="I71" s="31"/>
      <c r="J71" s="31"/>
      <c r="K71" s="31"/>
      <c r="L71" s="31"/>
      <c r="M71" s="31"/>
      <c r="N71" s="36"/>
      <c r="O71" s="14"/>
    </row>
    <row r="72" spans="1:54" ht="32.1" customHeight="1" x14ac:dyDescent="0.3">
      <c r="A72" s="14"/>
      <c r="B72" s="14"/>
      <c r="C72" s="14"/>
      <c r="D72" s="14"/>
      <c r="E72" s="14"/>
      <c r="F72" s="14"/>
      <c r="G72" s="31"/>
      <c r="H72" s="31"/>
      <c r="I72" s="31"/>
      <c r="J72" s="31"/>
      <c r="K72" s="31"/>
      <c r="L72" s="31"/>
      <c r="M72" s="31"/>
      <c r="N72" s="36"/>
      <c r="O72" s="14"/>
    </row>
    <row r="73" spans="1:54" ht="32.1" customHeight="1" x14ac:dyDescent="0.3">
      <c r="A73" s="14"/>
      <c r="B73" s="13" t="s">
        <v>74</v>
      </c>
      <c r="C73" s="37" t="s">
        <v>68</v>
      </c>
      <c r="D73" s="14"/>
      <c r="E73" s="14"/>
      <c r="F73" s="14"/>
      <c r="G73" s="14"/>
      <c r="H73" s="31">
        <f>TRUNC(SUMIF(P52:P72,"=S",H52:H72),0)</f>
        <v>0</v>
      </c>
      <c r="I73" s="14"/>
      <c r="J73" s="31">
        <f>TRUNC(SUMIF(P52:P72,"=S",J52:J72),0)</f>
        <v>0</v>
      </c>
      <c r="K73" s="14"/>
      <c r="L73" s="31">
        <f>TRUNC(SUMIF(P52:P72,"=S",L52:L72),0)</f>
        <v>38463</v>
      </c>
      <c r="M73" s="14"/>
      <c r="N73" s="36">
        <f>TRUNC(SUMIF(P52:P72,"=S",N52:N72),0)</f>
        <v>38463</v>
      </c>
      <c r="O73" s="14"/>
    </row>
    <row r="74" spans="1:54" ht="32.1" customHeight="1" x14ac:dyDescent="0.3">
      <c r="A74" s="14"/>
      <c r="B74" s="14"/>
      <c r="C74" s="44" t="s">
        <v>75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</row>
    <row r="75" spans="1:54" ht="32.1" customHeight="1" x14ac:dyDescent="0.3">
      <c r="A75" s="13" t="s">
        <v>76</v>
      </c>
      <c r="B75" s="13" t="s">
        <v>37</v>
      </c>
      <c r="C75" s="13" t="s">
        <v>35</v>
      </c>
      <c r="D75" s="13" t="s">
        <v>38</v>
      </c>
      <c r="E75" s="13" t="s">
        <v>24</v>
      </c>
      <c r="F75" s="14">
        <v>0.29199999999999998</v>
      </c>
      <c r="G75" s="31">
        <v>0</v>
      </c>
      <c r="H75" s="31">
        <f>TRUNC(F75*G75,0)</f>
        <v>0</v>
      </c>
      <c r="I75" s="31">
        <v>0</v>
      </c>
      <c r="J75" s="31">
        <f>TRUNC(F75*I75,0)</f>
        <v>0</v>
      </c>
      <c r="K75" s="31">
        <f>TRUNC(단가대비표!P9,0)</f>
        <v>173154</v>
      </c>
      <c r="L75" s="31">
        <f>TRUNC(F75*K75,0)</f>
        <v>50560</v>
      </c>
      <c r="M75" s="31">
        <f>G75+I75+K75</f>
        <v>173154</v>
      </c>
      <c r="N75" s="36">
        <f>H75+J75+L75</f>
        <v>50560</v>
      </c>
      <c r="O75" s="13" t="s">
        <v>25</v>
      </c>
      <c r="P75" s="1" t="s">
        <v>56</v>
      </c>
      <c r="BB75" s="1" t="s">
        <v>57</v>
      </c>
    </row>
    <row r="76" spans="1:54" ht="32.1" customHeight="1" x14ac:dyDescent="0.3">
      <c r="A76" s="13" t="s">
        <v>76</v>
      </c>
      <c r="B76" s="13" t="s">
        <v>45</v>
      </c>
      <c r="C76" s="13" t="s">
        <v>46</v>
      </c>
      <c r="D76" s="13" t="s">
        <v>47</v>
      </c>
      <c r="E76" s="13" t="s">
        <v>24</v>
      </c>
      <c r="F76" s="14">
        <v>0.29199999999999998</v>
      </c>
      <c r="G76" s="31">
        <v>0</v>
      </c>
      <c r="H76" s="31">
        <f>TRUNC(F76*G76,0)</f>
        <v>0</v>
      </c>
      <c r="I76" s="31">
        <v>0</v>
      </c>
      <c r="J76" s="31">
        <f>TRUNC(F76*I76,0)</f>
        <v>0</v>
      </c>
      <c r="K76" s="31">
        <f>TRUNC(단가대비표!P12,0)</f>
        <v>68760</v>
      </c>
      <c r="L76" s="31">
        <f>TRUNC(F76*K76,0)</f>
        <v>20077</v>
      </c>
      <c r="M76" s="31">
        <f>G76+I76+K76</f>
        <v>68760</v>
      </c>
      <c r="N76" s="36">
        <f>H76+J76+L76</f>
        <v>20077</v>
      </c>
      <c r="O76" s="13" t="s">
        <v>25</v>
      </c>
      <c r="P76" s="1" t="s">
        <v>56</v>
      </c>
      <c r="BB76" s="1" t="s">
        <v>57</v>
      </c>
    </row>
    <row r="77" spans="1:54" ht="32.1" customHeight="1" x14ac:dyDescent="0.3">
      <c r="A77" s="14"/>
      <c r="B77" s="14"/>
      <c r="C77" s="14"/>
      <c r="D77" s="14"/>
      <c r="E77" s="14"/>
      <c r="F77" s="14"/>
      <c r="G77" s="31"/>
      <c r="H77" s="31"/>
      <c r="I77" s="31"/>
      <c r="J77" s="31"/>
      <c r="K77" s="31"/>
      <c r="L77" s="31"/>
      <c r="M77" s="31"/>
      <c r="N77" s="36"/>
      <c r="O77" s="14"/>
    </row>
    <row r="78" spans="1:54" ht="32.1" customHeight="1" x14ac:dyDescent="0.3">
      <c r="A78" s="14"/>
      <c r="B78" s="14"/>
      <c r="C78" s="14"/>
      <c r="D78" s="14"/>
      <c r="E78" s="14"/>
      <c r="F78" s="14"/>
      <c r="G78" s="31"/>
      <c r="H78" s="31"/>
      <c r="I78" s="31"/>
      <c r="J78" s="31"/>
      <c r="K78" s="31"/>
      <c r="L78" s="31"/>
      <c r="M78" s="31"/>
      <c r="N78" s="36"/>
      <c r="O78" s="14"/>
    </row>
    <row r="79" spans="1:54" ht="32.1" customHeight="1" x14ac:dyDescent="0.3">
      <c r="A79" s="14"/>
      <c r="B79" s="14"/>
      <c r="C79" s="14"/>
      <c r="D79" s="14"/>
      <c r="E79" s="14"/>
      <c r="F79" s="14"/>
      <c r="G79" s="31"/>
      <c r="H79" s="31"/>
      <c r="I79" s="31"/>
      <c r="J79" s="31"/>
      <c r="K79" s="31"/>
      <c r="L79" s="31"/>
      <c r="M79" s="31"/>
      <c r="N79" s="36"/>
      <c r="O79" s="14"/>
    </row>
    <row r="80" spans="1:54" ht="32.1" customHeight="1" x14ac:dyDescent="0.3">
      <c r="A80" s="14"/>
      <c r="B80" s="14"/>
      <c r="C80" s="14"/>
      <c r="D80" s="14"/>
      <c r="E80" s="14"/>
      <c r="F80" s="14"/>
      <c r="G80" s="31"/>
      <c r="H80" s="31"/>
      <c r="I80" s="31"/>
      <c r="J80" s="31"/>
      <c r="K80" s="31"/>
      <c r="L80" s="31"/>
      <c r="M80" s="31"/>
      <c r="N80" s="36"/>
      <c r="O80" s="14"/>
    </row>
    <row r="81" spans="1:15" ht="32.1" customHeight="1" x14ac:dyDescent="0.3">
      <c r="A81" s="14"/>
      <c r="B81" s="14"/>
      <c r="C81" s="14"/>
      <c r="D81" s="14"/>
      <c r="E81" s="14"/>
      <c r="F81" s="14"/>
      <c r="G81" s="31"/>
      <c r="H81" s="31"/>
      <c r="I81" s="31"/>
      <c r="J81" s="31"/>
      <c r="K81" s="31"/>
      <c r="L81" s="31"/>
      <c r="M81" s="31"/>
      <c r="N81" s="36"/>
      <c r="O81" s="14"/>
    </row>
    <row r="82" spans="1:15" ht="32.1" customHeight="1" x14ac:dyDescent="0.3">
      <c r="A82" s="14"/>
      <c r="B82" s="14"/>
      <c r="C82" s="14"/>
      <c r="D82" s="14"/>
      <c r="E82" s="14"/>
      <c r="F82" s="14"/>
      <c r="G82" s="31"/>
      <c r="H82" s="31"/>
      <c r="I82" s="31"/>
      <c r="J82" s="31"/>
      <c r="K82" s="31"/>
      <c r="L82" s="31"/>
      <c r="M82" s="31"/>
      <c r="N82" s="36"/>
      <c r="O82" s="14"/>
    </row>
    <row r="83" spans="1:15" ht="32.1" customHeight="1" x14ac:dyDescent="0.3">
      <c r="A83" s="14"/>
      <c r="B83" s="14"/>
      <c r="C83" s="14"/>
      <c r="D83" s="14"/>
      <c r="E83" s="14"/>
      <c r="F83" s="14"/>
      <c r="G83" s="31"/>
      <c r="H83" s="31"/>
      <c r="I83" s="31"/>
      <c r="J83" s="31"/>
      <c r="K83" s="31"/>
      <c r="L83" s="31"/>
      <c r="M83" s="31"/>
      <c r="N83" s="36"/>
      <c r="O83" s="14"/>
    </row>
    <row r="84" spans="1:15" ht="32.1" customHeight="1" x14ac:dyDescent="0.3">
      <c r="A84" s="14"/>
      <c r="B84" s="14"/>
      <c r="C84" s="14"/>
      <c r="D84" s="14"/>
      <c r="E84" s="14"/>
      <c r="F84" s="14"/>
      <c r="G84" s="31"/>
      <c r="H84" s="31"/>
      <c r="I84" s="31"/>
      <c r="J84" s="31"/>
      <c r="K84" s="31"/>
      <c r="L84" s="31"/>
      <c r="M84" s="31"/>
      <c r="N84" s="36"/>
      <c r="O84" s="14"/>
    </row>
    <row r="85" spans="1:15" ht="32.1" customHeight="1" x14ac:dyDescent="0.3">
      <c r="A85" s="14"/>
      <c r="B85" s="14"/>
      <c r="C85" s="14"/>
      <c r="D85" s="14"/>
      <c r="E85" s="14"/>
      <c r="F85" s="14"/>
      <c r="G85" s="31"/>
      <c r="H85" s="31"/>
      <c r="I85" s="31"/>
      <c r="J85" s="31"/>
      <c r="K85" s="31"/>
      <c r="L85" s="31"/>
      <c r="M85" s="31"/>
      <c r="N85" s="36"/>
      <c r="O85" s="14"/>
    </row>
    <row r="86" spans="1:15" ht="32.1" customHeight="1" x14ac:dyDescent="0.3">
      <c r="A86" s="14"/>
      <c r="B86" s="14"/>
      <c r="C86" s="14"/>
      <c r="D86" s="14"/>
      <c r="E86" s="14"/>
      <c r="F86" s="14"/>
      <c r="G86" s="31"/>
      <c r="H86" s="31"/>
      <c r="I86" s="31"/>
      <c r="J86" s="31"/>
      <c r="K86" s="31"/>
      <c r="L86" s="31"/>
      <c r="M86" s="31"/>
      <c r="N86" s="36"/>
      <c r="O86" s="14"/>
    </row>
    <row r="87" spans="1:15" ht="32.1" customHeight="1" x14ac:dyDescent="0.3">
      <c r="A87" s="14"/>
      <c r="B87" s="14"/>
      <c r="C87" s="14"/>
      <c r="D87" s="14"/>
      <c r="E87" s="14"/>
      <c r="F87" s="14"/>
      <c r="G87" s="31"/>
      <c r="H87" s="31"/>
      <c r="I87" s="31"/>
      <c r="J87" s="31"/>
      <c r="K87" s="31"/>
      <c r="L87" s="31"/>
      <c r="M87" s="31"/>
      <c r="N87" s="36"/>
      <c r="O87" s="14"/>
    </row>
    <row r="88" spans="1:15" ht="32.1" customHeight="1" x14ac:dyDescent="0.3">
      <c r="A88" s="14"/>
      <c r="B88" s="14"/>
      <c r="C88" s="14"/>
      <c r="D88" s="14"/>
      <c r="E88" s="14"/>
      <c r="F88" s="14"/>
      <c r="G88" s="31"/>
      <c r="H88" s="31"/>
      <c r="I88" s="31"/>
      <c r="J88" s="31"/>
      <c r="K88" s="31"/>
      <c r="L88" s="31"/>
      <c r="M88" s="31"/>
      <c r="N88" s="36"/>
      <c r="O88" s="14"/>
    </row>
    <row r="89" spans="1:15" ht="32.1" customHeight="1" x14ac:dyDescent="0.3">
      <c r="A89" s="14"/>
      <c r="B89" s="14"/>
      <c r="C89" s="14"/>
      <c r="D89" s="14"/>
      <c r="E89" s="14"/>
      <c r="F89" s="14"/>
      <c r="G89" s="31"/>
      <c r="H89" s="31"/>
      <c r="I89" s="31"/>
      <c r="J89" s="31"/>
      <c r="K89" s="31"/>
      <c r="L89" s="31"/>
      <c r="M89" s="31"/>
      <c r="N89" s="36"/>
      <c r="O89" s="14"/>
    </row>
    <row r="90" spans="1:15" ht="32.1" customHeight="1" x14ac:dyDescent="0.3">
      <c r="A90" s="14"/>
      <c r="B90" s="14"/>
      <c r="C90" s="14"/>
      <c r="D90" s="14"/>
      <c r="E90" s="14"/>
      <c r="F90" s="14"/>
      <c r="G90" s="31"/>
      <c r="H90" s="31"/>
      <c r="I90" s="31"/>
      <c r="J90" s="31"/>
      <c r="K90" s="31"/>
      <c r="L90" s="31"/>
      <c r="M90" s="31"/>
      <c r="N90" s="36"/>
      <c r="O90" s="14"/>
    </row>
    <row r="91" spans="1:15" ht="32.1" customHeight="1" x14ac:dyDescent="0.3">
      <c r="A91" s="14"/>
      <c r="B91" s="14"/>
      <c r="C91" s="14"/>
      <c r="D91" s="14"/>
      <c r="E91" s="14"/>
      <c r="F91" s="14"/>
      <c r="G91" s="31"/>
      <c r="H91" s="31"/>
      <c r="I91" s="31"/>
      <c r="J91" s="31"/>
      <c r="K91" s="31"/>
      <c r="L91" s="31"/>
      <c r="M91" s="31"/>
      <c r="N91" s="36"/>
      <c r="O91" s="14"/>
    </row>
    <row r="92" spans="1:15" ht="32.1" customHeight="1" x14ac:dyDescent="0.3">
      <c r="A92" s="14"/>
      <c r="B92" s="14"/>
      <c r="C92" s="14"/>
      <c r="D92" s="14"/>
      <c r="E92" s="14"/>
      <c r="F92" s="14"/>
      <c r="G92" s="31"/>
      <c r="H92" s="31"/>
      <c r="I92" s="31"/>
      <c r="J92" s="31"/>
      <c r="K92" s="31"/>
      <c r="L92" s="31"/>
      <c r="M92" s="31"/>
      <c r="N92" s="36"/>
      <c r="O92" s="14"/>
    </row>
    <row r="93" spans="1:15" ht="32.1" customHeight="1" x14ac:dyDescent="0.3">
      <c r="A93" s="14"/>
      <c r="B93" s="14"/>
      <c r="C93" s="14"/>
      <c r="D93" s="14"/>
      <c r="E93" s="14"/>
      <c r="F93" s="14"/>
      <c r="G93" s="31"/>
      <c r="H93" s="31"/>
      <c r="I93" s="31"/>
      <c r="J93" s="31"/>
      <c r="K93" s="31"/>
      <c r="L93" s="31"/>
      <c r="M93" s="31"/>
      <c r="N93" s="36"/>
      <c r="O93" s="14"/>
    </row>
    <row r="94" spans="1:15" ht="32.1" customHeight="1" x14ac:dyDescent="0.3">
      <c r="A94" s="14"/>
      <c r="B94" s="14"/>
      <c r="C94" s="14"/>
      <c r="D94" s="14"/>
      <c r="E94" s="14"/>
      <c r="F94" s="14"/>
      <c r="G94" s="31"/>
      <c r="H94" s="31"/>
      <c r="I94" s="31"/>
      <c r="J94" s="31"/>
      <c r="K94" s="31"/>
      <c r="L94" s="31"/>
      <c r="M94" s="31"/>
      <c r="N94" s="36"/>
      <c r="O94" s="14"/>
    </row>
    <row r="95" spans="1:15" ht="32.1" customHeight="1" x14ac:dyDescent="0.3">
      <c r="A95" s="14"/>
      <c r="B95" s="14"/>
      <c r="C95" s="14"/>
      <c r="D95" s="14"/>
      <c r="E95" s="14"/>
      <c r="F95" s="14"/>
      <c r="G95" s="31"/>
      <c r="H95" s="31"/>
      <c r="I95" s="31"/>
      <c r="J95" s="31"/>
      <c r="K95" s="31"/>
      <c r="L95" s="31"/>
      <c r="M95" s="31"/>
      <c r="N95" s="36"/>
      <c r="O95" s="14"/>
    </row>
    <row r="96" spans="1:15" ht="32.1" customHeight="1" x14ac:dyDescent="0.3">
      <c r="A96" s="14"/>
      <c r="B96" s="13" t="s">
        <v>77</v>
      </c>
      <c r="C96" s="37" t="s">
        <v>68</v>
      </c>
      <c r="D96" s="14"/>
      <c r="E96" s="14"/>
      <c r="F96" s="14"/>
      <c r="G96" s="14"/>
      <c r="H96" s="31">
        <f>TRUNC(SUMIF(P75:P95,"=S",H75:H95),0)</f>
        <v>0</v>
      </c>
      <c r="I96" s="14"/>
      <c r="J96" s="31">
        <f>TRUNC(SUMIF(P75:P95,"=S",J75:J95),0)</f>
        <v>0</v>
      </c>
      <c r="K96" s="14"/>
      <c r="L96" s="31">
        <f>TRUNC(SUMIF(P75:P95,"=S",L75:L95),0)</f>
        <v>70637</v>
      </c>
      <c r="M96" s="14"/>
      <c r="N96" s="36">
        <f>TRUNC(SUMIF(P75:P95,"=S",N75:N95),0)</f>
        <v>70637</v>
      </c>
      <c r="O96" s="14"/>
    </row>
  </sheetData>
  <mergeCells count="17">
    <mergeCell ref="C2:K2"/>
    <mergeCell ref="A3:A4"/>
    <mergeCell ref="B3:B4"/>
    <mergeCell ref="C3:C4"/>
    <mergeCell ref="D3:D4"/>
    <mergeCell ref="E3:E4"/>
    <mergeCell ref="F3:F4"/>
    <mergeCell ref="G3:H3"/>
    <mergeCell ref="I3:J3"/>
    <mergeCell ref="C1:O1"/>
    <mergeCell ref="C74:O74"/>
    <mergeCell ref="K3:L3"/>
    <mergeCell ref="M3:N3"/>
    <mergeCell ref="O3:O4"/>
    <mergeCell ref="C5:O5"/>
    <mergeCell ref="C28:O28"/>
    <mergeCell ref="C51:O51"/>
  </mergeCells>
  <phoneticPr fontId="5" type="noConversion"/>
  <pageMargins left="0.7" right="0" top="0.59055118110236215" bottom="0.39370078740157477" header="0" footer="0"/>
  <pageSetup paperSize="9" scale="58" orientation="landscape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DAA3F-2EA1-4F39-817B-5B4B088FA264}">
  <dimension ref="A1:L5"/>
  <sheetViews>
    <sheetView showZeros="0" workbookViewId="0">
      <pane ySplit="4" topLeftCell="A5" activePane="bottomLeft" state="frozen"/>
      <selection pane="bottomLeft" activeCell="A5" sqref="A5"/>
    </sheetView>
  </sheetViews>
  <sheetFormatPr defaultRowHeight="20.100000000000001" customHeight="1" x14ac:dyDescent="0.3"/>
  <cols>
    <col min="1" max="1" width="10.125" style="1" customWidth="1"/>
    <col min="2" max="2" width="35.625" style="1" customWidth="1"/>
    <col min="3" max="3" width="34.375" style="1" customWidth="1"/>
    <col min="4" max="4" width="8.5" style="1" customWidth="1"/>
    <col min="5" max="8" width="15.625" style="1" customWidth="1"/>
    <col min="9" max="9" width="11.625" style="1" hidden="1" customWidth="1"/>
    <col min="10" max="11" width="0" style="1" hidden="1" customWidth="1"/>
    <col min="12" max="12" width="10.125" style="55" customWidth="1"/>
    <col min="13" max="16384" width="9" style="1"/>
  </cols>
  <sheetData>
    <row r="1" spans="1:12" ht="30" customHeight="1" x14ac:dyDescent="0.3">
      <c r="A1" s="46" t="s">
        <v>58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20.100000000000001" customHeight="1" x14ac:dyDescent="0.3">
      <c r="A2" s="50" t="s">
        <v>0</v>
      </c>
      <c r="B2" s="50"/>
      <c r="C2" s="50"/>
      <c r="D2" s="50"/>
      <c r="E2" s="21"/>
      <c r="F2" s="21"/>
      <c r="G2" s="21"/>
      <c r="H2" s="21"/>
      <c r="L2" s="51"/>
    </row>
    <row r="3" spans="1:12" ht="20.100000000000001" customHeight="1" x14ac:dyDescent="0.3">
      <c r="A3" s="40" t="s">
        <v>9</v>
      </c>
      <c r="B3" s="40" t="s">
        <v>2</v>
      </c>
      <c r="C3" s="40" t="s">
        <v>3</v>
      </c>
      <c r="D3" s="40" t="s">
        <v>4</v>
      </c>
      <c r="E3" s="42" t="s">
        <v>5</v>
      </c>
      <c r="F3" s="42" t="s">
        <v>6</v>
      </c>
      <c r="G3" s="42" t="s">
        <v>7</v>
      </c>
      <c r="H3" s="42" t="s">
        <v>8</v>
      </c>
      <c r="L3" s="52" t="s">
        <v>102</v>
      </c>
    </row>
    <row r="4" spans="1:12" ht="30" customHeight="1" x14ac:dyDescent="0.3">
      <c r="A4" s="41"/>
      <c r="B4" s="41"/>
      <c r="C4" s="41"/>
      <c r="D4" s="41"/>
      <c r="E4" s="43"/>
      <c r="F4" s="43"/>
      <c r="G4" s="43"/>
      <c r="H4" s="43"/>
      <c r="L4" s="53"/>
    </row>
    <row r="5" spans="1:12" ht="20.100000000000001" customHeight="1" x14ac:dyDescent="0.3">
      <c r="A5" s="13" t="s">
        <v>53</v>
      </c>
      <c r="B5" s="13" t="s">
        <v>54</v>
      </c>
      <c r="C5" s="13" t="s">
        <v>23</v>
      </c>
      <c r="D5" s="13" t="s">
        <v>55</v>
      </c>
      <c r="E5" s="31">
        <f>TRUNC(일위대가!H5,0)</f>
        <v>0</v>
      </c>
      <c r="F5" s="31">
        <f>TRUNC(일위대가!J5,0)</f>
        <v>0</v>
      </c>
      <c r="G5" s="31">
        <f>TRUNC(일위대가!L5,0)</f>
        <v>29396</v>
      </c>
      <c r="H5" s="31">
        <f>E5+F5+G5</f>
        <v>29396</v>
      </c>
      <c r="I5" s="2" t="s">
        <v>59</v>
      </c>
      <c r="J5" s="2" t="s">
        <v>25</v>
      </c>
      <c r="K5" s="2" t="s">
        <v>21</v>
      </c>
      <c r="L5" s="54"/>
    </row>
  </sheetData>
  <mergeCells count="11">
    <mergeCell ref="L3:L4"/>
    <mergeCell ref="A1:L1"/>
    <mergeCell ref="A2:D2"/>
    <mergeCell ref="A3:A4"/>
    <mergeCell ref="B3:B4"/>
    <mergeCell ref="C3:C4"/>
    <mergeCell ref="D3:D4"/>
    <mergeCell ref="E3:E4"/>
    <mergeCell ref="F3:F4"/>
    <mergeCell ref="G3:G4"/>
    <mergeCell ref="H3:H4"/>
  </mergeCells>
  <phoneticPr fontId="5" type="noConversion"/>
  <pageMargins left="0.78740157480314954" right="0" top="0.59055118110236215" bottom="0.39370078740157477" header="0" footer="0"/>
  <pageSetup paperSize="9" scale="76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E9814-452B-46E8-8D19-4AE18E468EE8}">
  <dimension ref="A1:BB25"/>
  <sheetViews>
    <sheetView topLeftCell="B1" workbookViewId="0">
      <pane ySplit="4" topLeftCell="A5" activePane="bottomLeft" state="frozen"/>
      <selection activeCell="B1" sqref="B1"/>
      <selection pane="bottomLeft" activeCell="B5" sqref="B5"/>
    </sheetView>
  </sheetViews>
  <sheetFormatPr defaultRowHeight="15.95" customHeight="1" x14ac:dyDescent="0.3"/>
  <cols>
    <col min="1" max="1" width="0" style="8" hidden="1" customWidth="1"/>
    <col min="2" max="2" width="13" style="8" customWidth="1"/>
    <col min="3" max="3" width="30" style="8" customWidth="1"/>
    <col min="4" max="4" width="30.5" style="8" customWidth="1"/>
    <col min="5" max="5" width="5.375" style="8" customWidth="1"/>
    <col min="6" max="6" width="7.625" style="8" customWidth="1"/>
    <col min="7" max="12" width="10.375" style="8" customWidth="1"/>
    <col min="13" max="13" width="10.375" style="18" customWidth="1"/>
    <col min="14" max="14" width="8.125" style="8" customWidth="1"/>
    <col min="15" max="15" width="2.375" style="8" bestFit="1" customWidth="1"/>
    <col min="16" max="25" width="0" style="8" hidden="1" customWidth="1"/>
    <col min="26" max="26" width="6.75" style="8" hidden="1" customWidth="1"/>
    <col min="27" max="27" width="11.5" style="8" bestFit="1" customWidth="1"/>
    <col min="28" max="16384" width="9" style="8"/>
  </cols>
  <sheetData>
    <row r="1" spans="1:54" ht="32.1" customHeight="1" x14ac:dyDescent="0.3">
      <c r="B1" s="46" t="s">
        <v>52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Z1" s="3"/>
    </row>
    <row r="2" spans="1:54" ht="15.95" customHeight="1" x14ac:dyDescent="0.3">
      <c r="B2" s="343" t="s">
        <v>0</v>
      </c>
      <c r="C2" s="343"/>
      <c r="D2" s="343"/>
      <c r="E2" s="343"/>
      <c r="F2" s="343"/>
      <c r="G2" s="343"/>
      <c r="H2" s="343"/>
      <c r="I2" s="343"/>
      <c r="J2" s="343"/>
      <c r="K2" s="19"/>
      <c r="L2" s="19"/>
      <c r="M2" s="20"/>
      <c r="N2" s="19"/>
      <c r="Z2" s="343"/>
      <c r="AA2" s="346">
        <f>'원가계산서 (건축)'!G43</f>
        <v>223974000</v>
      </c>
    </row>
    <row r="3" spans="1:54" ht="32.1" customHeight="1" x14ac:dyDescent="0.3">
      <c r="B3" s="47" t="s">
        <v>1</v>
      </c>
      <c r="C3" s="47" t="s">
        <v>48</v>
      </c>
      <c r="D3" s="47" t="s">
        <v>3</v>
      </c>
      <c r="E3" s="47" t="s">
        <v>4</v>
      </c>
      <c r="F3" s="47" t="s">
        <v>49</v>
      </c>
      <c r="G3" s="47" t="s">
        <v>5</v>
      </c>
      <c r="H3" s="41"/>
      <c r="I3" s="47" t="s">
        <v>6</v>
      </c>
      <c r="J3" s="41"/>
      <c r="K3" s="47" t="s">
        <v>7</v>
      </c>
      <c r="L3" s="41"/>
      <c r="M3" s="47" t="s">
        <v>8</v>
      </c>
      <c r="N3" s="47" t="s">
        <v>103</v>
      </c>
      <c r="Z3" s="10" t="s">
        <v>49</v>
      </c>
    </row>
    <row r="4" spans="1:54" ht="32.1" customHeight="1" x14ac:dyDescent="0.3">
      <c r="B4" s="41"/>
      <c r="C4" s="41"/>
      <c r="D4" s="41"/>
      <c r="E4" s="41"/>
      <c r="F4" s="41"/>
      <c r="G4" s="10" t="s">
        <v>50</v>
      </c>
      <c r="H4" s="10" t="s">
        <v>51</v>
      </c>
      <c r="I4" s="10" t="s">
        <v>50</v>
      </c>
      <c r="J4" s="10" t="s">
        <v>51</v>
      </c>
      <c r="K4" s="10" t="s">
        <v>50</v>
      </c>
      <c r="L4" s="10" t="s">
        <v>51</v>
      </c>
      <c r="M4" s="41"/>
      <c r="N4" s="41"/>
      <c r="Z4" s="345">
        <f>'원가계산서 (건축)'!G40</f>
        <v>1</v>
      </c>
    </row>
    <row r="5" spans="1:54" ht="15.95" customHeight="1" x14ac:dyDescent="0.3">
      <c r="A5" s="9" t="s">
        <v>21</v>
      </c>
      <c r="B5" s="22" t="s">
        <v>53</v>
      </c>
      <c r="C5" s="23" t="s">
        <v>54</v>
      </c>
      <c r="D5" s="23" t="s">
        <v>23</v>
      </c>
      <c r="E5" s="23" t="s">
        <v>55</v>
      </c>
      <c r="F5" s="24"/>
      <c r="G5" s="24"/>
      <c r="H5" s="26">
        <f>TRUNC(SUMIF(O6:O6,"=S",H6:H6),0)</f>
        <v>0</v>
      </c>
      <c r="I5" s="26"/>
      <c r="J5" s="26">
        <f>TRUNC(SUMIF(O6:O6,"=S",J6:J6),0)</f>
        <v>0</v>
      </c>
      <c r="K5" s="26"/>
      <c r="L5" s="26">
        <f>TRUNC(SUMIF(O6:O6,"=S",L6:L6),0)</f>
        <v>29396</v>
      </c>
      <c r="M5" s="27">
        <f>H5+J5+L5</f>
        <v>29396</v>
      </c>
      <c r="N5" s="25" t="s">
        <v>25</v>
      </c>
      <c r="Z5" s="24"/>
    </row>
    <row r="6" spans="1:54" ht="15.95" customHeight="1" x14ac:dyDescent="0.3">
      <c r="B6" s="28" t="s">
        <v>21</v>
      </c>
      <c r="C6" s="29" t="s">
        <v>22</v>
      </c>
      <c r="D6" s="29" t="s">
        <v>23</v>
      </c>
      <c r="E6" s="29" t="s">
        <v>24</v>
      </c>
      <c r="F6" s="11">
        <f>IF(E6="","",(IF(E6="인",TRUNC(Z6*$Z$4,6),Z6)))</f>
        <v>1</v>
      </c>
      <c r="G6" s="12">
        <v>0</v>
      </c>
      <c r="H6" s="12">
        <f>TRUNC(F6*G6,1)</f>
        <v>0</v>
      </c>
      <c r="I6" s="12">
        <v>0</v>
      </c>
      <c r="J6" s="12">
        <f>TRUNC(F6*I6,1)</f>
        <v>0</v>
      </c>
      <c r="K6" s="12">
        <f>TRUNC(단가대비표!P5,1)</f>
        <v>29396</v>
      </c>
      <c r="L6" s="12">
        <f>TRUNC(F6*K6,1)</f>
        <v>29396</v>
      </c>
      <c r="M6" s="30">
        <f>H6+J6+L6</f>
        <v>29396</v>
      </c>
      <c r="N6" s="29" t="s">
        <v>25</v>
      </c>
      <c r="O6" s="8" t="s">
        <v>56</v>
      </c>
      <c r="Z6" s="11">
        <v>1</v>
      </c>
      <c r="BB6" s="8" t="s">
        <v>57</v>
      </c>
    </row>
    <row r="7" spans="1:54" ht="15.95" customHeight="1" x14ac:dyDescent="0.3">
      <c r="F7" s="8" t="str">
        <f>IF(E7="","",(IF(E7="인",TRUNC(Z7*$Z$4,6),Z7)))</f>
        <v/>
      </c>
    </row>
    <row r="8" spans="1:54" ht="15.95" customHeight="1" x14ac:dyDescent="0.3">
      <c r="F8" s="8" t="str">
        <f>IF(E8="","",(IF(E8="인",TRUNC(Z8*$Z$4,6),Z8)))</f>
        <v/>
      </c>
    </row>
    <row r="9" spans="1:54" ht="15.95" customHeight="1" x14ac:dyDescent="0.3">
      <c r="F9" s="8" t="str">
        <f>IF(E9="","",(IF(E9="인",TRUNC(Z9*$Z$4,6),Z9)))</f>
        <v/>
      </c>
    </row>
    <row r="10" spans="1:54" ht="15.95" customHeight="1" x14ac:dyDescent="0.3">
      <c r="F10" s="8" t="str">
        <f>IF(E10="","",(IF(E10="인",TRUNC(Z10*$Z$4,6),Z10)))</f>
        <v/>
      </c>
    </row>
    <row r="11" spans="1:54" ht="15.95" customHeight="1" x14ac:dyDescent="0.3">
      <c r="F11" s="8" t="str">
        <f>IF(E11="","",(IF(E11="인",TRUNC(Z11*$Z$4,6),Z11)))</f>
        <v/>
      </c>
    </row>
    <row r="12" spans="1:54" ht="15.95" customHeight="1" x14ac:dyDescent="0.3">
      <c r="F12" s="8" t="str">
        <f>IF(E12="","",(IF(E12="인",TRUNC(Z12*$Z$4,6),Z12)))</f>
        <v/>
      </c>
    </row>
    <row r="13" spans="1:54" ht="15.95" customHeight="1" x14ac:dyDescent="0.3">
      <c r="F13" s="8" t="str">
        <f>IF(E13="","",(IF(E13="인",TRUNC(Z13*$Z$4,6),Z13)))</f>
        <v/>
      </c>
    </row>
    <row r="14" spans="1:54" ht="15.95" customHeight="1" x14ac:dyDescent="0.3">
      <c r="F14" s="8" t="str">
        <f>IF(E14="","",(IF(E14="인",TRUNC(Z14*$Z$4,6),Z14)))</f>
        <v/>
      </c>
    </row>
    <row r="15" spans="1:54" ht="15.95" customHeight="1" x14ac:dyDescent="0.3">
      <c r="F15" s="8" t="str">
        <f>IF(E15="","",(IF(E15="인",TRUNC(Z15*$Z$4,6),Z15)))</f>
        <v/>
      </c>
    </row>
    <row r="16" spans="1:54" ht="15.95" customHeight="1" x14ac:dyDescent="0.3">
      <c r="F16" s="8" t="str">
        <f>IF(E16="","",(IF(E16="인",TRUNC(Z16*$Z$4,6),Z16)))</f>
        <v/>
      </c>
    </row>
    <row r="17" spans="6:6" ht="15.95" customHeight="1" x14ac:dyDescent="0.3">
      <c r="F17" s="8" t="str">
        <f>IF(E17="","",(IF(E17="인",TRUNC(Z17*$Z$4,6),Z17)))</f>
        <v/>
      </c>
    </row>
    <row r="18" spans="6:6" ht="15.95" customHeight="1" x14ac:dyDescent="0.3">
      <c r="F18" s="8" t="str">
        <f>IF(E18="","",(IF(E18="인",TRUNC(Z18*$Z$4,6),Z18)))</f>
        <v/>
      </c>
    </row>
    <row r="19" spans="6:6" ht="15.95" customHeight="1" x14ac:dyDescent="0.3">
      <c r="F19" s="8" t="str">
        <f>IF(E19="","",(IF(E19="인",TRUNC(Z19*$Z$4,6),Z19)))</f>
        <v/>
      </c>
    </row>
    <row r="20" spans="6:6" ht="15.95" customHeight="1" x14ac:dyDescent="0.3">
      <c r="F20" s="8" t="str">
        <f>IF(E20="","",(IF(E20="인",TRUNC(Z20*$Z$4,6),Z20)))</f>
        <v/>
      </c>
    </row>
    <row r="21" spans="6:6" ht="15.95" customHeight="1" x14ac:dyDescent="0.3">
      <c r="F21" s="8" t="str">
        <f>IF(E21="","",(IF(E21="인",TRUNC(Z21*$Z$4,6),Z21)))</f>
        <v/>
      </c>
    </row>
    <row r="22" spans="6:6" ht="15.95" customHeight="1" x14ac:dyDescent="0.3">
      <c r="F22" s="8" t="str">
        <f>IF(E22="","",(IF(E22="인",TRUNC(Z22*$Z$4,6),Z22)))</f>
        <v/>
      </c>
    </row>
    <row r="23" spans="6:6" ht="15.95" customHeight="1" x14ac:dyDescent="0.3">
      <c r="F23" s="8" t="str">
        <f>IF(E23="","",(IF(E23="인",TRUNC(Z23*$Z$4,6),Z23)))</f>
        <v/>
      </c>
    </row>
    <row r="24" spans="6:6" ht="15.95" customHeight="1" x14ac:dyDescent="0.3">
      <c r="F24" s="8" t="str">
        <f>IF(E24="","",(IF(E24="인",TRUNC(Z24*$Z$4,6),Z24)))</f>
        <v/>
      </c>
    </row>
    <row r="25" spans="6:6" ht="15.95" customHeight="1" x14ac:dyDescent="0.3">
      <c r="F25" s="8" t="str">
        <f>IF(E25="","",(IF(E25="인",TRUNC(Z25*$Z$4,6),Z25)))</f>
        <v/>
      </c>
    </row>
  </sheetData>
  <mergeCells count="11">
    <mergeCell ref="M3:M4"/>
    <mergeCell ref="N3:N4"/>
    <mergeCell ref="B1:N1"/>
    <mergeCell ref="B3:B4"/>
    <mergeCell ref="C3:C4"/>
    <mergeCell ref="D3:D4"/>
    <mergeCell ref="E3:E4"/>
    <mergeCell ref="F3:F4"/>
    <mergeCell ref="G3:H3"/>
    <mergeCell ref="I3:J3"/>
    <mergeCell ref="K3:L3"/>
  </mergeCells>
  <phoneticPr fontId="5" type="noConversion"/>
  <pageMargins left="0.74" right="0" top="0.59055118110236215" bottom="0.39370078740157477" header="0" footer="0"/>
  <pageSetup paperSize="9" scale="75" orientation="landscape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4FFB2-983F-4320-80DB-91419E9F97C3}">
  <dimension ref="A1:S12"/>
  <sheetViews>
    <sheetView zoomScale="85" zoomScaleNormal="85" workbookViewId="0">
      <pane ySplit="4" topLeftCell="A5" activePane="bottomLeft" state="frozen"/>
      <selection pane="bottomLeft" activeCell="A3" sqref="A3:A4"/>
    </sheetView>
  </sheetViews>
  <sheetFormatPr defaultRowHeight="24" customHeight="1" x14ac:dyDescent="0.3"/>
  <cols>
    <col min="1" max="1" width="6.125" style="1" customWidth="1"/>
    <col min="2" max="2" width="13.375" style="1" customWidth="1"/>
    <col min="3" max="3" width="36.375" style="55" customWidth="1"/>
    <col min="4" max="4" width="35.75" style="55" customWidth="1"/>
    <col min="5" max="5" width="6.25" style="1" customWidth="1"/>
    <col min="6" max="6" width="11.75" style="1" customWidth="1"/>
    <col min="7" max="7" width="6.125" style="1" customWidth="1"/>
    <col min="8" max="8" width="11.75" style="1" customWidth="1"/>
    <col min="9" max="9" width="6.125" style="1" customWidth="1"/>
    <col min="10" max="10" width="11.75" style="1" customWidth="1"/>
    <col min="11" max="11" width="6.125" style="1" customWidth="1"/>
    <col min="12" max="12" width="11.75" style="1" customWidth="1"/>
    <col min="13" max="13" width="6.125" style="1" customWidth="1"/>
    <col min="14" max="14" width="11.75" style="1" customWidth="1"/>
    <col min="15" max="15" width="6.125" style="1" customWidth="1"/>
    <col min="16" max="16" width="11.75" style="1" customWidth="1"/>
    <col min="17" max="17" width="8.625" style="1" customWidth="1"/>
    <col min="18" max="18" width="3.25" style="1" bestFit="1" customWidth="1"/>
    <col min="19" max="19" width="11.875" style="1" bestFit="1" customWidth="1"/>
    <col min="20" max="16384" width="9" style="1"/>
  </cols>
  <sheetData>
    <row r="1" spans="1:19" ht="24" customHeight="1" x14ac:dyDescent="0.3">
      <c r="A1" s="46" t="s">
        <v>10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</row>
    <row r="2" spans="1:19" ht="24" customHeight="1" x14ac:dyDescent="0.3">
      <c r="A2" s="4" t="s">
        <v>0</v>
      </c>
      <c r="B2" s="5"/>
      <c r="C2" s="56"/>
      <c r="D2" s="56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S2" s="347">
        <f>'원가계산서 (건축)'!G43</f>
        <v>223974000</v>
      </c>
    </row>
    <row r="3" spans="1:19" ht="24" customHeight="1" x14ac:dyDescent="0.3">
      <c r="A3" s="40" t="s">
        <v>11</v>
      </c>
      <c r="B3" s="40" t="s">
        <v>1</v>
      </c>
      <c r="C3" s="57" t="s">
        <v>2</v>
      </c>
      <c r="D3" s="57" t="s">
        <v>3</v>
      </c>
      <c r="E3" s="40" t="s">
        <v>4</v>
      </c>
      <c r="F3" s="48" t="s">
        <v>12</v>
      </c>
      <c r="G3" s="49"/>
      <c r="H3" s="48" t="s">
        <v>13</v>
      </c>
      <c r="I3" s="49"/>
      <c r="J3" s="48" t="s">
        <v>14</v>
      </c>
      <c r="K3" s="49"/>
      <c r="L3" s="48" t="s">
        <v>15</v>
      </c>
      <c r="M3" s="49"/>
      <c r="N3" s="48" t="s">
        <v>16</v>
      </c>
      <c r="O3" s="49"/>
      <c r="P3" s="48" t="s">
        <v>19</v>
      </c>
      <c r="Q3" s="48" t="s">
        <v>103</v>
      </c>
    </row>
    <row r="4" spans="1:19" ht="24" customHeight="1" x14ac:dyDescent="0.3">
      <c r="A4" s="41"/>
      <c r="B4" s="41"/>
      <c r="C4" s="58"/>
      <c r="D4" s="58"/>
      <c r="E4" s="41"/>
      <c r="F4" s="15" t="s">
        <v>17</v>
      </c>
      <c r="G4" s="15" t="s">
        <v>18</v>
      </c>
      <c r="H4" s="15" t="s">
        <v>17</v>
      </c>
      <c r="I4" s="15" t="s">
        <v>18</v>
      </c>
      <c r="J4" s="15" t="s">
        <v>17</v>
      </c>
      <c r="K4" s="15" t="s">
        <v>18</v>
      </c>
      <c r="L4" s="15" t="s">
        <v>17</v>
      </c>
      <c r="M4" s="15" t="s">
        <v>18</v>
      </c>
      <c r="N4" s="15" t="s">
        <v>17</v>
      </c>
      <c r="O4" s="15" t="s">
        <v>18</v>
      </c>
      <c r="P4" s="49"/>
      <c r="Q4" s="49"/>
    </row>
    <row r="5" spans="1:19" ht="24" customHeight="1" x14ac:dyDescent="0.3">
      <c r="A5" s="13" t="s">
        <v>20</v>
      </c>
      <c r="B5" s="13" t="s">
        <v>21</v>
      </c>
      <c r="C5" s="59" t="s">
        <v>22</v>
      </c>
      <c r="D5" s="59" t="s">
        <v>23</v>
      </c>
      <c r="E5" s="13" t="s">
        <v>24</v>
      </c>
      <c r="F5" s="16">
        <v>0</v>
      </c>
      <c r="G5" s="17" t="s">
        <v>25</v>
      </c>
      <c r="H5" s="16">
        <v>0</v>
      </c>
      <c r="I5" s="17" t="s">
        <v>25</v>
      </c>
      <c r="J5" s="16">
        <v>0</v>
      </c>
      <c r="K5" s="17" t="s">
        <v>25</v>
      </c>
      <c r="L5" s="16">
        <v>0</v>
      </c>
      <c r="M5" s="17" t="s">
        <v>25</v>
      </c>
      <c r="N5" s="16">
        <v>29396</v>
      </c>
      <c r="O5" s="17" t="s">
        <v>25</v>
      </c>
      <c r="P5" s="16">
        <v>29396</v>
      </c>
      <c r="Q5" s="16"/>
      <c r="R5" s="2" t="s">
        <v>26</v>
      </c>
    </row>
    <row r="6" spans="1:19" ht="24" customHeight="1" x14ac:dyDescent="0.3">
      <c r="A6" s="13" t="s">
        <v>27</v>
      </c>
      <c r="B6" s="13" t="s">
        <v>28</v>
      </c>
      <c r="C6" s="59" t="s">
        <v>29</v>
      </c>
      <c r="D6" s="59" t="s">
        <v>30</v>
      </c>
      <c r="E6" s="13" t="s">
        <v>24</v>
      </c>
      <c r="F6" s="16">
        <v>0</v>
      </c>
      <c r="G6" s="17" t="s">
        <v>25</v>
      </c>
      <c r="H6" s="16">
        <v>0</v>
      </c>
      <c r="I6" s="17" t="s">
        <v>25</v>
      </c>
      <c r="J6" s="16">
        <v>0</v>
      </c>
      <c r="K6" s="17" t="s">
        <v>25</v>
      </c>
      <c r="L6" s="16">
        <v>0</v>
      </c>
      <c r="M6" s="17" t="s">
        <v>25</v>
      </c>
      <c r="N6" s="16">
        <v>31002</v>
      </c>
      <c r="O6" s="17" t="s">
        <v>25</v>
      </c>
      <c r="P6" s="16">
        <v>31002</v>
      </c>
      <c r="Q6" s="16"/>
      <c r="R6" s="2" t="s">
        <v>26</v>
      </c>
    </row>
    <row r="7" spans="1:19" ht="24" customHeight="1" x14ac:dyDescent="0.3">
      <c r="A7" s="13" t="s">
        <v>27</v>
      </c>
      <c r="B7" s="13" t="s">
        <v>31</v>
      </c>
      <c r="C7" s="59" t="s">
        <v>32</v>
      </c>
      <c r="D7" s="59" t="s">
        <v>33</v>
      </c>
      <c r="E7" s="13" t="s">
        <v>24</v>
      </c>
      <c r="F7" s="16">
        <v>0</v>
      </c>
      <c r="G7" s="17" t="s">
        <v>25</v>
      </c>
      <c r="H7" s="16">
        <v>0</v>
      </c>
      <c r="I7" s="17" t="s">
        <v>25</v>
      </c>
      <c r="J7" s="16">
        <v>0</v>
      </c>
      <c r="K7" s="17" t="s">
        <v>25</v>
      </c>
      <c r="L7" s="16">
        <v>0</v>
      </c>
      <c r="M7" s="17" t="s">
        <v>25</v>
      </c>
      <c r="N7" s="16">
        <v>48021</v>
      </c>
      <c r="O7" s="17" t="s">
        <v>25</v>
      </c>
      <c r="P7" s="16">
        <v>48021</v>
      </c>
      <c r="Q7" s="16"/>
      <c r="R7" s="2" t="s">
        <v>26</v>
      </c>
    </row>
    <row r="8" spans="1:19" ht="24" customHeight="1" x14ac:dyDescent="0.3">
      <c r="A8" s="13" t="s">
        <v>27</v>
      </c>
      <c r="B8" s="13" t="s">
        <v>34</v>
      </c>
      <c r="C8" s="59" t="s">
        <v>35</v>
      </c>
      <c r="D8" s="59" t="s">
        <v>36</v>
      </c>
      <c r="E8" s="13" t="s">
        <v>24</v>
      </c>
      <c r="F8" s="16">
        <v>0</v>
      </c>
      <c r="G8" s="17" t="s">
        <v>25</v>
      </c>
      <c r="H8" s="16">
        <v>0</v>
      </c>
      <c r="I8" s="17" t="s">
        <v>25</v>
      </c>
      <c r="J8" s="16">
        <v>0</v>
      </c>
      <c r="K8" s="17" t="s">
        <v>25</v>
      </c>
      <c r="L8" s="16">
        <v>0</v>
      </c>
      <c r="M8" s="17" t="s">
        <v>25</v>
      </c>
      <c r="N8" s="16">
        <v>168424</v>
      </c>
      <c r="O8" s="17" t="s">
        <v>25</v>
      </c>
      <c r="P8" s="16">
        <v>168424</v>
      </c>
      <c r="Q8" s="16"/>
      <c r="R8" s="2" t="s">
        <v>26</v>
      </c>
    </row>
    <row r="9" spans="1:19" ht="24" customHeight="1" x14ac:dyDescent="0.3">
      <c r="A9" s="13" t="s">
        <v>27</v>
      </c>
      <c r="B9" s="13" t="s">
        <v>37</v>
      </c>
      <c r="C9" s="59" t="s">
        <v>35</v>
      </c>
      <c r="D9" s="59" t="s">
        <v>38</v>
      </c>
      <c r="E9" s="13" t="s">
        <v>24</v>
      </c>
      <c r="F9" s="16">
        <v>0</v>
      </c>
      <c r="G9" s="17" t="s">
        <v>25</v>
      </c>
      <c r="H9" s="16">
        <v>0</v>
      </c>
      <c r="I9" s="17" t="s">
        <v>25</v>
      </c>
      <c r="J9" s="16">
        <v>0</v>
      </c>
      <c r="K9" s="17" t="s">
        <v>25</v>
      </c>
      <c r="L9" s="16">
        <v>0</v>
      </c>
      <c r="M9" s="17" t="s">
        <v>25</v>
      </c>
      <c r="N9" s="16">
        <v>173154</v>
      </c>
      <c r="O9" s="17" t="s">
        <v>25</v>
      </c>
      <c r="P9" s="16">
        <v>173154</v>
      </c>
      <c r="Q9" s="16"/>
      <c r="R9" s="2" t="s">
        <v>26</v>
      </c>
    </row>
    <row r="10" spans="1:19" ht="24" customHeight="1" x14ac:dyDescent="0.3">
      <c r="A10" s="13" t="s">
        <v>27</v>
      </c>
      <c r="B10" s="13" t="s">
        <v>39</v>
      </c>
      <c r="C10" s="59" t="s">
        <v>40</v>
      </c>
      <c r="D10" s="59" t="s">
        <v>41</v>
      </c>
      <c r="E10" s="13" t="s">
        <v>24</v>
      </c>
      <c r="F10" s="16">
        <v>0</v>
      </c>
      <c r="G10" s="17" t="s">
        <v>25</v>
      </c>
      <c r="H10" s="16">
        <v>0</v>
      </c>
      <c r="I10" s="17" t="s">
        <v>25</v>
      </c>
      <c r="J10" s="16">
        <v>0</v>
      </c>
      <c r="K10" s="17" t="s">
        <v>25</v>
      </c>
      <c r="L10" s="16">
        <v>0</v>
      </c>
      <c r="M10" s="17" t="s">
        <v>25</v>
      </c>
      <c r="N10" s="16">
        <v>280000</v>
      </c>
      <c r="O10" s="17" t="s">
        <v>25</v>
      </c>
      <c r="P10" s="16">
        <v>280000</v>
      </c>
      <c r="Q10" s="16"/>
      <c r="R10" s="2" t="s">
        <v>26</v>
      </c>
    </row>
    <row r="11" spans="1:19" ht="24" customHeight="1" x14ac:dyDescent="0.3">
      <c r="A11" s="13" t="s">
        <v>27</v>
      </c>
      <c r="B11" s="13" t="s">
        <v>42</v>
      </c>
      <c r="C11" s="59" t="s">
        <v>43</v>
      </c>
      <c r="D11" s="59" t="s">
        <v>44</v>
      </c>
      <c r="E11" s="13" t="s">
        <v>24</v>
      </c>
      <c r="F11" s="16">
        <v>0</v>
      </c>
      <c r="G11" s="17" t="s">
        <v>25</v>
      </c>
      <c r="H11" s="16">
        <v>0</v>
      </c>
      <c r="I11" s="17" t="s">
        <v>25</v>
      </c>
      <c r="J11" s="16">
        <v>0</v>
      </c>
      <c r="K11" s="17" t="s">
        <v>25</v>
      </c>
      <c r="L11" s="16">
        <v>0</v>
      </c>
      <c r="M11" s="17" t="s">
        <v>25</v>
      </c>
      <c r="N11" s="16">
        <v>18600</v>
      </c>
      <c r="O11" s="17" t="s">
        <v>25</v>
      </c>
      <c r="P11" s="16">
        <v>18600</v>
      </c>
      <c r="Q11" s="16"/>
      <c r="R11" s="2" t="s">
        <v>26</v>
      </c>
    </row>
    <row r="12" spans="1:19" ht="24" customHeight="1" x14ac:dyDescent="0.3">
      <c r="A12" s="13" t="s">
        <v>27</v>
      </c>
      <c r="B12" s="13" t="s">
        <v>45</v>
      </c>
      <c r="C12" s="59" t="s">
        <v>46</v>
      </c>
      <c r="D12" s="59" t="s">
        <v>47</v>
      </c>
      <c r="E12" s="13" t="s">
        <v>24</v>
      </c>
      <c r="F12" s="16">
        <v>0</v>
      </c>
      <c r="G12" s="17" t="s">
        <v>25</v>
      </c>
      <c r="H12" s="16">
        <v>0</v>
      </c>
      <c r="I12" s="17" t="s">
        <v>25</v>
      </c>
      <c r="J12" s="16">
        <v>0</v>
      </c>
      <c r="K12" s="17" t="s">
        <v>25</v>
      </c>
      <c r="L12" s="16">
        <v>0</v>
      </c>
      <c r="M12" s="17" t="s">
        <v>25</v>
      </c>
      <c r="N12" s="16">
        <v>68760</v>
      </c>
      <c r="O12" s="17" t="s">
        <v>25</v>
      </c>
      <c r="P12" s="16">
        <v>68760</v>
      </c>
      <c r="Q12" s="16"/>
      <c r="R12" s="2" t="s">
        <v>26</v>
      </c>
    </row>
  </sheetData>
  <sortState xmlns:xlrd2="http://schemas.microsoft.com/office/spreadsheetml/2017/richdata2" ref="A5:R12">
    <sortCondition descending="1" ref="A5"/>
    <sortCondition ref="B5"/>
  </sortState>
  <mergeCells count="13">
    <mergeCell ref="L3:M3"/>
    <mergeCell ref="N3:O3"/>
    <mergeCell ref="P3:P4"/>
    <mergeCell ref="Q3:Q4"/>
    <mergeCell ref="A1:Q1"/>
    <mergeCell ref="A3:A4"/>
    <mergeCell ref="B3:B4"/>
    <mergeCell ref="C3:C4"/>
    <mergeCell ref="D3:D4"/>
    <mergeCell ref="E3:E4"/>
    <mergeCell ref="F3:G3"/>
    <mergeCell ref="H3:I3"/>
    <mergeCell ref="J3:K3"/>
  </mergeCells>
  <phoneticPr fontId="5" type="noConversion"/>
  <pageMargins left="0.78740157480314954" right="0" top="0.59055118110236215" bottom="0.39370078740157477" header="0" footer="0"/>
  <pageSetup paperSize="9" scale="6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34</vt:i4>
      </vt:variant>
    </vt:vector>
  </HeadingPairs>
  <TitlesOfParts>
    <vt:vector size="43" baseType="lpstr">
      <vt:lpstr>총괄표(가로)</vt:lpstr>
      <vt:lpstr>총괄표(세로)</vt:lpstr>
      <vt:lpstr>원가계산서 (건축)</vt:lpstr>
      <vt:lpstr>집계표</vt:lpstr>
      <vt:lpstr>공종별집계표</vt:lpstr>
      <vt:lpstr>건축공사 내역</vt:lpstr>
      <vt:lpstr>일위대가목록</vt:lpstr>
      <vt:lpstr>일위대가</vt:lpstr>
      <vt:lpstr>단가대비표</vt:lpstr>
      <vt:lpstr>'건축공사 내역'!Print_Area</vt:lpstr>
      <vt:lpstr>공종별집계표!Print_Area</vt:lpstr>
      <vt:lpstr>단가대비표!Print_Area</vt:lpstr>
      <vt:lpstr>'원가계산서 (건축)'!Print_Area</vt:lpstr>
      <vt:lpstr>일위대가!Print_Area</vt:lpstr>
      <vt:lpstr>일위대가목록!Print_Area</vt:lpstr>
      <vt:lpstr>집계표!Print_Area</vt:lpstr>
      <vt:lpstr>'총괄표(세로)'!Print_Area</vt:lpstr>
      <vt:lpstr>'건축공사 내역'!Print_Titles</vt:lpstr>
      <vt:lpstr>공종별집계표!Print_Titles</vt:lpstr>
      <vt:lpstr>단가대비표!Print_Titles</vt:lpstr>
      <vt:lpstr>일위대가!Print_Titles</vt:lpstr>
      <vt:lpstr>일위대가목록!Print_Titles</vt:lpstr>
      <vt:lpstr>집계표!Print_Titles</vt:lpstr>
      <vt:lpstr>경비소계</vt:lpstr>
      <vt:lpstr>공급가</vt:lpstr>
      <vt:lpstr>공사기간</vt:lpstr>
      <vt:lpstr>관급자재</vt:lpstr>
      <vt:lpstr>노무비소계</vt:lpstr>
      <vt:lpstr>노무비요율</vt:lpstr>
      <vt:lpstr>노무비요율2</vt:lpstr>
      <vt:lpstr>노무비요율3</vt:lpstr>
      <vt:lpstr>노무비요율4</vt:lpstr>
      <vt:lpstr>단수정리</vt:lpstr>
      <vt:lpstr>대상액1</vt:lpstr>
      <vt:lpstr>도급</vt:lpstr>
      <vt:lpstr>도급자관급</vt:lpstr>
      <vt:lpstr>부가</vt:lpstr>
      <vt:lpstr>순공사비</vt:lpstr>
      <vt:lpstr>순공사비계</vt:lpstr>
      <vt:lpstr>이_윤</vt:lpstr>
      <vt:lpstr>일반관리</vt:lpstr>
      <vt:lpstr>재료비소계</vt:lpstr>
      <vt:lpstr>총공사비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이레 / 1학년1반</dc:creator>
  <cp:lastModifiedBy>이레 / 1학년1반</cp:lastModifiedBy>
  <dcterms:created xsi:type="dcterms:W3CDTF">2026-01-21T01:20:23Z</dcterms:created>
  <dcterms:modified xsi:type="dcterms:W3CDTF">2026-01-21T01:22:24Z</dcterms:modified>
</cp:coreProperties>
</file>