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건설기술계약과\2. 토목 CM\2026년도\2. 무안군 매립시설 수직증설 및 침출수처리시설 개선사업 감독권한 대행 등 건설사업관리용역\3. 입찰공고\"/>
    </mc:Choice>
  </mc:AlternateContent>
  <xr:revisionPtr revIDLastSave="0" documentId="8_{77467F8D-3B65-48D5-8F9E-8D9C7EA7CF85}" xr6:coauthVersionLast="47" xr6:coauthVersionMax="47" xr10:uidLastSave="{00000000-0000-0000-0000-000000000000}"/>
  <bookViews>
    <workbookView xWindow="28680" yWindow="-120" windowWidth="29040" windowHeight="15720" tabRatio="961"/>
  </bookViews>
  <sheets>
    <sheet name="제출방법" sheetId="34" r:id="rId1"/>
    <sheet name="1.사업수행능력평가신청서" sheetId="20" r:id="rId2"/>
    <sheet name="2.자기평가기술서(1000억원이상)" sheetId="37" r:id="rId3"/>
    <sheet name="2.자기평가기술서(500억원이상-1000억원미만))" sheetId="47" r:id="rId4"/>
    <sheet name="2.자기평가기술서(300억원미만-100억원이상)" sheetId="49" r:id="rId5"/>
    <sheet name="2.자기평가기술서(300억원이상-500억원미만)" sheetId="48" r:id="rId6"/>
    <sheet name="2.자기평가기술서(100억원미만)" sheetId="50" r:id="rId7"/>
    <sheet name="3. 공동수급체결 협정현황" sheetId="22" r:id="rId8"/>
    <sheet name="4. 참여기술자 자격사항" sheetId="15" r:id="rId9"/>
    <sheet name="5. 참여기술자 경력사항" sheetId="7" r:id="rId10"/>
    <sheet name="5-1. 참여기술자 해당(직무)분야경력" sheetId="38" r:id="rId11"/>
    <sheet name="6. 유사용역수행실적" sheetId="8" r:id="rId12"/>
    <sheet name="7. 입찰참가제한 및 업무정지" sheetId="10" r:id="rId13"/>
    <sheet name="8. 부실벌점" sheetId="17" r:id="rId14"/>
    <sheet name="9. 재정상태,투자실적" sheetId="13" r:id="rId15"/>
    <sheet name="10. 건설기술개발활용실적" sheetId="56" r:id="rId16"/>
    <sheet name="10-1. 건설기술개발활용실적" sheetId="11" r:id="rId17"/>
    <sheet name="10-1. 건설기술개발활용실적(공동수급)" sheetId="57" r:id="rId18"/>
    <sheet name="11. 교육훈련" sheetId="31" r:id="rId19"/>
    <sheet name="12. 교체빈도" sheetId="16" r:id="rId20"/>
    <sheet name="13.건설기술인 신규고용률" sheetId="30" r:id="rId21"/>
    <sheet name="14.공사비절감기여 기술자" sheetId="41" r:id="rId22"/>
    <sheet name="15.부패행위 관련자" sheetId="42" r:id="rId23"/>
    <sheet name="16. 업무중첩도" sheetId="14" r:id="rId24"/>
    <sheet name="17. 서약서" sheetId="29" r:id="rId25"/>
    <sheet name="18. 확인서" sheetId="39" r:id="rId26"/>
    <sheet name="--------" sheetId="4" state="veryHidden" r:id="rId27"/>
    <sheet name="19. 참여기술자 동의서" sheetId="53" r:id="rId28"/>
    <sheet name="20.적격심사 기술자경력(지방계약법)" sheetId="54" r:id="rId29"/>
  </sheets>
  <definedNames>
    <definedName name="_xlnm.Print_Area" localSheetId="28">'20.적격심사 기술자경력(지방계약법)'!$A$1:$AG$76</definedName>
    <definedName name="_xlnm.Print_Area" localSheetId="10">'5-1. 참여기술자 해당(직무)분야경력'!$A$1:$G$46</definedName>
    <definedName name="_xlnm.Print_Area" localSheetId="14">'9. 재정상태,투자실적'!$A$1:$H$26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7" i="8" l="1"/>
  <c r="C4" i="56"/>
  <c r="L25" i="57"/>
  <c r="L23" i="57"/>
  <c r="L27" i="57"/>
  <c r="D5" i="56"/>
  <c r="L18" i="57"/>
  <c r="L16" i="57"/>
  <c r="L20" i="57"/>
  <c r="C5" i="56"/>
  <c r="L9" i="57"/>
  <c r="L7" i="57"/>
  <c r="L5" i="57"/>
  <c r="L11" i="57"/>
  <c r="B5" i="56"/>
  <c r="L5" i="11"/>
  <c r="L7" i="11"/>
  <c r="L9" i="11"/>
  <c r="H13" i="37"/>
  <c r="I13" i="37"/>
  <c r="N5" i="30"/>
  <c r="N8" i="30"/>
  <c r="O5" i="30"/>
  <c r="P5" i="30"/>
  <c r="Q5" i="30"/>
  <c r="N6" i="50"/>
  <c r="F6" i="50"/>
  <c r="T5" i="50"/>
  <c r="D5" i="50"/>
  <c r="W4" i="50"/>
  <c r="V4" i="50"/>
  <c r="T4" i="50"/>
  <c r="D4" i="50"/>
  <c r="Y3" i="50"/>
  <c r="T3" i="50"/>
  <c r="D3" i="50"/>
  <c r="N6" i="49"/>
  <c r="F6" i="49"/>
  <c r="T5" i="49"/>
  <c r="D5" i="49"/>
  <c r="W4" i="49"/>
  <c r="V4" i="49"/>
  <c r="T4" i="49"/>
  <c r="D4" i="49"/>
  <c r="Y3" i="49"/>
  <c r="T3" i="49"/>
  <c r="D3" i="49"/>
  <c r="N6" i="48"/>
  <c r="F6" i="48"/>
  <c r="T5" i="48"/>
  <c r="D5" i="48"/>
  <c r="W4" i="48"/>
  <c r="V4" i="48"/>
  <c r="T4" i="48"/>
  <c r="D4" i="48"/>
  <c r="Y3" i="48"/>
  <c r="T3" i="48"/>
  <c r="D3" i="48"/>
  <c r="N6" i="47"/>
  <c r="F6" i="47"/>
  <c r="T5" i="47"/>
  <c r="D5" i="47"/>
  <c r="W4" i="47"/>
  <c r="V4" i="47"/>
  <c r="T4" i="47"/>
  <c r="D4" i="47"/>
  <c r="Y3" i="47"/>
  <c r="T3" i="47"/>
  <c r="D3" i="47"/>
  <c r="F6" i="37"/>
  <c r="T5" i="37"/>
  <c r="W4" i="37"/>
  <c r="T4" i="37"/>
  <c r="T3" i="37"/>
  <c r="I11" i="8"/>
  <c r="L11" i="8"/>
  <c r="D70" i="54"/>
  <c r="D68" i="54"/>
  <c r="J66" i="54"/>
  <c r="A66" i="54"/>
  <c r="AE52" i="54"/>
  <c r="R70" i="54"/>
  <c r="AE51" i="54"/>
  <c r="N70" i="54"/>
  <c r="AE47" i="54"/>
  <c r="N68" i="54"/>
  <c r="AE46" i="54"/>
  <c r="J68" i="54"/>
  <c r="AE44" i="54"/>
  <c r="R66" i="54"/>
  <c r="AE45" i="54"/>
  <c r="AE42" i="54"/>
  <c r="AE35" i="54"/>
  <c r="AE34" i="54"/>
  <c r="AE33" i="54"/>
  <c r="AE32" i="54"/>
  <c r="AE31" i="54"/>
  <c r="AE29" i="54"/>
  <c r="AE28" i="54"/>
  <c r="AE27" i="54"/>
  <c r="AE26" i="54"/>
  <c r="AE25" i="54"/>
  <c r="AE23" i="54"/>
  <c r="AE22" i="54"/>
  <c r="AE21" i="54"/>
  <c r="AE20" i="54"/>
  <c r="AE19" i="54"/>
  <c r="AE24" i="54"/>
  <c r="D66" i="54"/>
  <c r="AE14" i="54"/>
  <c r="AE13" i="54"/>
  <c r="AE12" i="54"/>
  <c r="AE11" i="54"/>
  <c r="AE10" i="54"/>
  <c r="AE9" i="54"/>
  <c r="AE8" i="54"/>
  <c r="AE7" i="54"/>
  <c r="G43" i="38"/>
  <c r="F6" i="7"/>
  <c r="G6" i="7"/>
  <c r="H12" i="47"/>
  <c r="I12" i="47"/>
  <c r="L23" i="11"/>
  <c r="G6" i="38"/>
  <c r="G7" i="38"/>
  <c r="G8" i="38"/>
  <c r="G9" i="38"/>
  <c r="G34" i="38"/>
  <c r="H6" i="7"/>
  <c r="I6" i="7"/>
  <c r="G10" i="38"/>
  <c r="G11" i="38"/>
  <c r="G12" i="38"/>
  <c r="G13" i="38"/>
  <c r="G14" i="38"/>
  <c r="G15" i="38"/>
  <c r="G16" i="38"/>
  <c r="G17" i="38"/>
  <c r="G18" i="38"/>
  <c r="G19" i="38"/>
  <c r="G5" i="38"/>
  <c r="G4" i="38"/>
  <c r="L18" i="11"/>
  <c r="L16" i="11"/>
  <c r="L20" i="11"/>
  <c r="L25" i="11"/>
  <c r="L27" i="11"/>
  <c r="D4" i="56"/>
  <c r="G35" i="8"/>
  <c r="G22" i="8"/>
  <c r="L22" i="8"/>
  <c r="L26" i="8"/>
  <c r="D16" i="50"/>
  <c r="C16" i="50"/>
  <c r="D15" i="50"/>
  <c r="C15" i="50"/>
  <c r="D14" i="50"/>
  <c r="C14" i="50"/>
  <c r="D13" i="50"/>
  <c r="C13" i="50"/>
  <c r="D12" i="50"/>
  <c r="C12" i="50"/>
  <c r="U11" i="50"/>
  <c r="T11" i="50"/>
  <c r="S11" i="50"/>
  <c r="D16" i="49"/>
  <c r="C16" i="49"/>
  <c r="D15" i="49"/>
  <c r="C15" i="49"/>
  <c r="D14" i="49"/>
  <c r="C14" i="49"/>
  <c r="D13" i="49"/>
  <c r="C13" i="49"/>
  <c r="D12" i="49"/>
  <c r="C12" i="49"/>
  <c r="U11" i="49"/>
  <c r="T11" i="49"/>
  <c r="S11" i="49"/>
  <c r="D16" i="48"/>
  <c r="C16" i="48"/>
  <c r="D15" i="48"/>
  <c r="C15" i="48"/>
  <c r="D14" i="48"/>
  <c r="C14" i="48"/>
  <c r="D13" i="48"/>
  <c r="C13" i="48"/>
  <c r="D12" i="48"/>
  <c r="C12" i="48"/>
  <c r="U11" i="48"/>
  <c r="T11" i="48"/>
  <c r="S11" i="48"/>
  <c r="D16" i="47"/>
  <c r="C16" i="47"/>
  <c r="D15" i="47"/>
  <c r="C15" i="47"/>
  <c r="D14" i="47"/>
  <c r="C14" i="47"/>
  <c r="D13" i="47"/>
  <c r="C13" i="47"/>
  <c r="D12" i="47"/>
  <c r="C12" i="47"/>
  <c r="U11" i="47"/>
  <c r="T11" i="47"/>
  <c r="S11" i="47"/>
  <c r="J5" i="41"/>
  <c r="J13" i="41"/>
  <c r="J7" i="41"/>
  <c r="J8" i="41"/>
  <c r="S11" i="37"/>
  <c r="T11" i="37"/>
  <c r="U11" i="37"/>
  <c r="G6" i="8"/>
  <c r="G7" i="8"/>
  <c r="G10" i="8"/>
  <c r="L10" i="8"/>
  <c r="L16" i="8"/>
  <c r="G11" i="8"/>
  <c r="G17" i="8"/>
  <c r="G18" i="8"/>
  <c r="G23" i="8"/>
  <c r="G24" i="8"/>
  <c r="G25" i="8"/>
  <c r="G27" i="8"/>
  <c r="G28" i="8"/>
  <c r="G29" i="8"/>
  <c r="L29" i="8"/>
  <c r="G30" i="8"/>
  <c r="L30" i="8"/>
  <c r="G31" i="8"/>
  <c r="L31" i="8"/>
  <c r="G32" i="8"/>
  <c r="L32" i="8"/>
  <c r="G34" i="8"/>
  <c r="G8" i="8"/>
  <c r="G12" i="8"/>
  <c r="L12" i="8"/>
  <c r="G13" i="8"/>
  <c r="L13" i="8"/>
  <c r="G14" i="8"/>
  <c r="G15" i="8"/>
  <c r="L15" i="8"/>
  <c r="G19" i="8"/>
  <c r="G8" i="7"/>
  <c r="H14" i="49"/>
  <c r="I14" i="49"/>
  <c r="L14" i="49"/>
  <c r="G9" i="7"/>
  <c r="H15" i="50"/>
  <c r="I15" i="50"/>
  <c r="H15" i="37"/>
  <c r="I15" i="37"/>
  <c r="G10" i="7"/>
  <c r="H16" i="49"/>
  <c r="I16" i="49"/>
  <c r="Y3" i="37"/>
  <c r="C6" i="4"/>
  <c r="A23" i="4"/>
  <c r="C29" i="4"/>
  <c r="D13" i="37"/>
  <c r="D14" i="37"/>
  <c r="D15" i="37"/>
  <c r="D16" i="37"/>
  <c r="D12" i="37"/>
  <c r="C13" i="37"/>
  <c r="C14" i="37"/>
  <c r="C15" i="37"/>
  <c r="C16" i="37"/>
  <c r="C12" i="37"/>
  <c r="N6" i="37"/>
  <c r="D5" i="37"/>
  <c r="V4" i="37"/>
  <c r="D4" i="37"/>
  <c r="D3" i="37"/>
  <c r="J33" i="8"/>
  <c r="J9" i="8"/>
  <c r="J16" i="8"/>
  <c r="J26" i="8"/>
  <c r="J36" i="8"/>
  <c r="J20" i="8"/>
  <c r="D15" i="13"/>
  <c r="D18" i="13"/>
  <c r="E18" i="13"/>
  <c r="C17" i="13"/>
  <c r="B17" i="13"/>
  <c r="A17" i="13"/>
  <c r="H10" i="7"/>
  <c r="I10" i="7"/>
  <c r="H9" i="7"/>
  <c r="I9" i="7"/>
  <c r="F15" i="50"/>
  <c r="G15" i="50"/>
  <c r="H8" i="7"/>
  <c r="I8" i="7"/>
  <c r="F14" i="47"/>
  <c r="G14" i="47"/>
  <c r="F14" i="37"/>
  <c r="G14" i="37"/>
  <c r="H7" i="7"/>
  <c r="I7" i="7"/>
  <c r="G7" i="7"/>
  <c r="H13" i="47"/>
  <c r="I13" i="47"/>
  <c r="H13" i="50"/>
  <c r="I13" i="50"/>
  <c r="H13" i="48"/>
  <c r="I13" i="48"/>
  <c r="N66" i="54"/>
  <c r="I17" i="8"/>
  <c r="I34" i="8"/>
  <c r="L34" i="8"/>
  <c r="I24" i="8"/>
  <c r="L24" i="8"/>
  <c r="I13" i="8"/>
  <c r="I23" i="8"/>
  <c r="L23" i="8"/>
  <c r="I19" i="8"/>
  <c r="L19" i="8"/>
  <c r="I28" i="8"/>
  <c r="L28" i="8"/>
  <c r="I12" i="8"/>
  <c r="I31" i="8"/>
  <c r="I27" i="8"/>
  <c r="L27" i="8"/>
  <c r="I7" i="8"/>
  <c r="L7" i="8"/>
  <c r="I15" i="8"/>
  <c r="I18" i="8"/>
  <c r="L18" i="8"/>
  <c r="I8" i="8"/>
  <c r="L8" i="8"/>
  <c r="I30" i="8"/>
  <c r="I25" i="8"/>
  <c r="L25" i="8"/>
  <c r="I6" i="8"/>
  <c r="L6" i="8"/>
  <c r="L9" i="8"/>
  <c r="I29" i="8"/>
  <c r="I10" i="8"/>
  <c r="I35" i="8"/>
  <c r="L35" i="8"/>
  <c r="I14" i="8"/>
  <c r="L14" i="8"/>
  <c r="I22" i="8"/>
  <c r="F14" i="49"/>
  <c r="G14" i="49"/>
  <c r="H16" i="47"/>
  <c r="I16" i="47"/>
  <c r="H16" i="37"/>
  <c r="I16" i="37"/>
  <c r="H16" i="50"/>
  <c r="I16" i="50"/>
  <c r="AE55" i="54"/>
  <c r="H15" i="47"/>
  <c r="I15" i="47"/>
  <c r="AE50" i="54"/>
  <c r="F15" i="49"/>
  <c r="G15" i="49"/>
  <c r="F15" i="47"/>
  <c r="G15" i="47"/>
  <c r="L15" i="47"/>
  <c r="F15" i="37"/>
  <c r="G15" i="37"/>
  <c r="L15" i="37"/>
  <c r="F14" i="50"/>
  <c r="G14" i="50"/>
  <c r="H13" i="49"/>
  <c r="I13" i="49"/>
  <c r="H16" i="48"/>
  <c r="I16" i="48"/>
  <c r="F14" i="48"/>
  <c r="G14" i="48"/>
  <c r="L11" i="11"/>
  <c r="B4" i="56"/>
  <c r="L36" i="8"/>
  <c r="H12" i="50"/>
  <c r="I12" i="50"/>
  <c r="A31" i="4"/>
  <c r="A38" i="4"/>
  <c r="A24" i="4"/>
  <c r="C39" i="4"/>
  <c r="C4" i="4"/>
  <c r="C10" i="4"/>
  <c r="A32" i="4"/>
  <c r="A40" i="4"/>
  <c r="C5" i="4"/>
  <c r="C35" i="4"/>
  <c r="A41" i="4"/>
  <c r="A36" i="4"/>
  <c r="A35" i="4"/>
  <c r="A26" i="4"/>
  <c r="C23" i="4"/>
  <c r="A37" i="4"/>
  <c r="A33" i="4"/>
  <c r="C14" i="4"/>
  <c r="C1" i="4"/>
  <c r="A21" i="4"/>
  <c r="C7" i="4"/>
  <c r="C36" i="4"/>
  <c r="C12" i="4"/>
  <c r="A25" i="4"/>
  <c r="A17" i="4"/>
  <c r="A22" i="4"/>
  <c r="C40" i="4"/>
  <c r="C8" i="4"/>
  <c r="C31" i="4"/>
  <c r="C32" i="4"/>
  <c r="A15" i="4"/>
  <c r="C9" i="4"/>
  <c r="A29" i="4"/>
  <c r="A27" i="4"/>
  <c r="A16" i="4"/>
  <c r="C11" i="4"/>
  <c r="C30" i="4"/>
  <c r="C33" i="4"/>
  <c r="C20" i="4"/>
  <c r="C18" i="4"/>
  <c r="A39" i="4"/>
  <c r="C28" i="4"/>
  <c r="A28" i="4"/>
  <c r="C41" i="4"/>
  <c r="C13" i="4"/>
  <c r="C21" i="4"/>
  <c r="C19" i="4"/>
  <c r="A30" i="4"/>
  <c r="C27" i="4"/>
  <c r="A34" i="4"/>
  <c r="C34" i="4"/>
  <c r="C22" i="4"/>
  <c r="L33" i="8"/>
  <c r="F12" i="47"/>
  <c r="G12" i="47"/>
  <c r="L12" i="47"/>
  <c r="F12" i="50"/>
  <c r="G12" i="50"/>
  <c r="L12" i="50"/>
  <c r="F12" i="49"/>
  <c r="G12" i="49"/>
  <c r="F12" i="37"/>
  <c r="G12" i="37"/>
  <c r="F12" i="48"/>
  <c r="G12" i="48"/>
  <c r="L15" i="50"/>
  <c r="L37" i="8"/>
  <c r="F16" i="37"/>
  <c r="G16" i="37"/>
  <c r="L16" i="37"/>
  <c r="F16" i="50"/>
  <c r="G16" i="50"/>
  <c r="L16" i="50"/>
  <c r="F16" i="47"/>
  <c r="G16" i="47"/>
  <c r="L16" i="47"/>
  <c r="F16" i="49"/>
  <c r="G16" i="49"/>
  <c r="L16" i="49"/>
  <c r="F16" i="48"/>
  <c r="G16" i="48"/>
  <c r="L16" i="48"/>
  <c r="L15" i="49"/>
  <c r="L21" i="8"/>
  <c r="L38" i="8"/>
  <c r="L14" i="47"/>
  <c r="E10" i="56"/>
  <c r="F13" i="50"/>
  <c r="G13" i="50"/>
  <c r="L13" i="50"/>
  <c r="F13" i="48"/>
  <c r="G13" i="48"/>
  <c r="L13" i="48"/>
  <c r="F13" i="37"/>
  <c r="G13" i="37"/>
  <c r="L13" i="37"/>
  <c r="F13" i="49"/>
  <c r="G13" i="49"/>
  <c r="L13" i="49"/>
  <c r="F13" i="47"/>
  <c r="G13" i="47"/>
  <c r="L13" i="47"/>
  <c r="G75" i="54"/>
  <c r="N75" i="54"/>
  <c r="L20" i="8"/>
  <c r="H12" i="37"/>
  <c r="I12" i="37"/>
  <c r="H14" i="47"/>
  <c r="I14" i="47"/>
  <c r="H12" i="49"/>
  <c r="I12" i="49"/>
  <c r="F15" i="48"/>
  <c r="G15" i="48"/>
  <c r="H15" i="48"/>
  <c r="I15" i="48"/>
  <c r="H15" i="49"/>
  <c r="I15" i="49"/>
  <c r="H14" i="37"/>
  <c r="I14" i="37"/>
  <c r="L14" i="37"/>
  <c r="H14" i="50"/>
  <c r="I14" i="50"/>
  <c r="L14" i="50"/>
  <c r="H14" i="48"/>
  <c r="I14" i="48"/>
  <c r="L14" i="48"/>
  <c r="H12" i="48"/>
  <c r="I12" i="48"/>
  <c r="R11" i="47"/>
  <c r="R11" i="50"/>
  <c r="R11" i="49"/>
  <c r="R11" i="48"/>
  <c r="R11" i="37"/>
  <c r="M11" i="50"/>
  <c r="N11" i="50"/>
  <c r="M11" i="47"/>
  <c r="N11" i="47"/>
  <c r="M11" i="48"/>
  <c r="N11" i="48"/>
  <c r="M11" i="37"/>
  <c r="N11" i="37"/>
  <c r="M11" i="49"/>
  <c r="N11" i="49"/>
  <c r="L15" i="48"/>
  <c r="L12" i="37"/>
  <c r="L11" i="37"/>
  <c r="L12" i="49"/>
  <c r="L11" i="49"/>
  <c r="V11" i="49"/>
  <c r="L11" i="50"/>
  <c r="V11" i="50"/>
  <c r="L11" i="47"/>
  <c r="V11" i="47"/>
  <c r="L12" i="48"/>
  <c r="L11" i="48"/>
  <c r="V11" i="48"/>
  <c r="V11" i="37"/>
  <c r="W11" i="49"/>
  <c r="Z11" i="49"/>
  <c r="W11" i="48"/>
  <c r="Z11" i="48"/>
  <c r="W11" i="50"/>
  <c r="Z11" i="50"/>
  <c r="W11" i="47"/>
  <c r="Z11" i="47"/>
  <c r="W11" i="37"/>
  <c r="Z11" i="37"/>
</calcChain>
</file>

<file path=xl/comments1.xml><?xml version="1.0" encoding="utf-8"?>
<comments xmlns="http://schemas.openxmlformats.org/spreadsheetml/2006/main">
  <authors>
    <author>user</author>
  </authors>
  <commentList>
    <comment ref="E22" authorId="0" shapeId="0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필히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입력바람</t>
        </r>
      </text>
    </comment>
  </commentList>
</comments>
</file>

<file path=xl/comments2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11"/>
            <color indexed="81"/>
            <rFont val="돋움"/>
            <family val="3"/>
            <charset val="129"/>
          </rPr>
          <t>실제 배치기술인 등급이 아닌 입찰공고서 상 요구된 기술인 등급 명시 必
(책임, 분야별, 기술지원 모두)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11"/>
            <color indexed="81"/>
            <rFont val="돋움"/>
            <family val="3"/>
            <charset val="129"/>
          </rPr>
          <t>입찰공고서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요구등급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변경된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참여기술인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직무분야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실적평가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방법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3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4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5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6.xml><?xml version="1.0" encoding="utf-8"?>
<comments xmlns="http://schemas.openxmlformats.org/spreadsheetml/2006/main">
  <authors>
    <author>user</author>
    <author>이일호</author>
  </authors>
  <commentList>
    <comment ref="E12" authorId="0" shapeId="0">
      <text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배치기술인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명시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必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기술지원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모두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F12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요구등급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변경된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참여기술인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직무분야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실적평가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F13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4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5" authorId="1" shapeId="0">
      <text>
        <r>
          <rPr>
            <b/>
            <sz val="9"/>
            <color indexed="81"/>
            <rFont val="굴림"/>
            <family val="3"/>
            <charset val="129"/>
          </rPr>
          <t>월수기재</t>
        </r>
      </text>
    </comment>
    <comment ref="F16" authorId="1" shapeId="0">
      <text>
        <r>
          <rPr>
            <b/>
            <sz val="9"/>
            <color indexed="81"/>
            <rFont val="굴림"/>
            <family val="3"/>
            <charset val="129"/>
          </rPr>
          <t>년수기재</t>
        </r>
      </text>
    </comment>
  </commentList>
</comments>
</file>

<file path=xl/comments7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10"/>
            <rFont val="맑은 고딕"/>
            <family val="3"/>
            <charset val="129"/>
          </rPr>
          <t>평가대상 기술자만 기입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" authorId="0" shapeId="0">
      <text>
        <r>
          <rPr>
            <b/>
            <sz val="9"/>
            <color indexed="81"/>
            <rFont val="굴림"/>
            <family val="3"/>
            <charset val="129"/>
          </rPr>
          <t>공동도급시 반드시 기재하여야 함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user</author>
  </authors>
  <commentList>
    <comment ref="E3" authorId="0" shapeId="0">
      <text>
        <r>
          <rPr>
            <b/>
            <sz val="9"/>
            <color indexed="81"/>
            <rFont val="굴림"/>
            <family val="3"/>
            <charset val="129"/>
          </rPr>
          <t>- 용역참여기간 입력.
  중복일수는 참여일수 계산식에 의해 자동제외됨</t>
        </r>
      </text>
    </comment>
    <comment ref="G16" authorId="0" shapeId="0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용역을 포함하여 녹색으로 칠해진 용역은  삭제바람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참여기간이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중첩되는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용역임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G39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1"/>
            <color indexed="10"/>
            <rFont val="맑은 고딕"/>
            <family val="3"/>
            <charset val="129"/>
          </rPr>
          <t>참여기술인의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직무분야에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해당하는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건설업무를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수행한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 xml:space="preserve">기간
</t>
        </r>
        <r>
          <rPr>
            <b/>
            <sz val="11"/>
            <color indexed="10"/>
            <rFont val="Tahoma"/>
            <family val="2"/>
          </rPr>
          <t>(</t>
        </r>
        <r>
          <rPr>
            <b/>
            <sz val="11"/>
            <color indexed="10"/>
            <rFont val="맑은 고딕"/>
            <family val="3"/>
            <charset val="129"/>
          </rPr>
          <t>수탁기관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경력증명서의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인정일로</t>
        </r>
        <r>
          <rPr>
            <b/>
            <sz val="11"/>
            <color indexed="10"/>
            <rFont val="Tahoma"/>
            <family val="2"/>
          </rPr>
          <t xml:space="preserve"> </t>
        </r>
        <r>
          <rPr>
            <b/>
            <sz val="11"/>
            <color indexed="10"/>
            <rFont val="맑은 고딕"/>
            <family val="3"/>
            <charset val="129"/>
          </rPr>
          <t>평가합니다</t>
        </r>
        <r>
          <rPr>
            <b/>
            <sz val="11"/>
            <color indexed="10"/>
            <rFont val="Tahoma"/>
            <family val="2"/>
          </rPr>
          <t>.)</t>
        </r>
      </text>
    </comment>
  </commentList>
</comments>
</file>

<file path=xl/comments9.xml><?xml version="1.0" encoding="utf-8"?>
<comments xmlns="http://schemas.openxmlformats.org/spreadsheetml/2006/main">
  <authors>
    <author>user</author>
    <author>최영두</author>
  </authors>
  <commentList>
    <comment ref="E2" authorId="0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2014.07.01부터 실적인정기간은
공고일기준 3년간만 인정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3" authorId="1" shapeId="0">
      <text>
        <r>
          <rPr>
            <b/>
            <sz val="9"/>
            <color indexed="81"/>
            <rFont val="굴림"/>
            <family val="3"/>
            <charset val="129"/>
          </rPr>
          <t>직접입력</t>
        </r>
      </text>
    </comment>
    <comment ref="F4" authorId="1" shapeId="0">
      <text>
        <r>
          <rPr>
            <b/>
            <sz val="9"/>
            <color indexed="81"/>
            <rFont val="굴림"/>
            <family val="3"/>
            <charset val="129"/>
          </rPr>
          <t>입찰 공고일로부터 3년을 차감한 날짜를 입력합니다.
예)공고일이 2014년07월01일이면, 2011년07월02일 입력</t>
        </r>
      </text>
    </comment>
    <comment ref="B10" authorId="0" shapeId="0">
      <text>
        <r>
          <rPr>
            <b/>
            <sz val="9"/>
            <color indexed="81"/>
            <rFont val="굴림"/>
            <family val="3"/>
            <charset val="129"/>
          </rPr>
          <t>* 설계용역실적 70% 인정</t>
        </r>
      </text>
    </comment>
    <comment ref="B17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건축법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주택법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감리실적</t>
        </r>
        <r>
          <rPr>
            <b/>
            <sz val="9"/>
            <color indexed="81"/>
            <rFont val="Tahoma"/>
            <family val="2"/>
          </rPr>
          <t xml:space="preserve"> 70% </t>
        </r>
        <r>
          <rPr>
            <b/>
            <sz val="9"/>
            <color indexed="81"/>
            <rFont val="돋움"/>
            <family val="3"/>
            <charset val="129"/>
          </rPr>
          <t xml:space="preserve">인정
</t>
        </r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건설기술관리법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전면책임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시공감리</t>
        </r>
        <r>
          <rPr>
            <b/>
            <sz val="9"/>
            <color indexed="81"/>
            <rFont val="Tahoma"/>
            <family val="2"/>
          </rPr>
          <t xml:space="preserve">,                                      </t>
        </r>
        <r>
          <rPr>
            <b/>
            <sz val="9"/>
            <color indexed="81"/>
            <rFont val="돋움"/>
            <family val="3"/>
            <charset val="129"/>
          </rPr>
          <t>검측감리</t>
        </r>
        <r>
          <rPr>
            <b/>
            <sz val="9"/>
            <color indexed="81"/>
            <rFont val="Tahoma"/>
            <family val="2"/>
          </rPr>
          <t xml:space="preserve"> 100% </t>
        </r>
        <r>
          <rPr>
            <b/>
            <sz val="9"/>
            <color indexed="81"/>
            <rFont val="돋움"/>
            <family val="3"/>
            <charset val="129"/>
          </rPr>
          <t>인정</t>
        </r>
      </text>
    </comment>
    <comment ref="B27" authorId="0" shapeId="0">
      <text>
        <r>
          <rPr>
            <b/>
            <sz val="9"/>
            <color indexed="81"/>
            <rFont val="굴림"/>
            <family val="3"/>
            <charset val="129"/>
          </rPr>
          <t>* 설계용역실적 70% 인정</t>
        </r>
      </text>
    </comment>
    <comment ref="B34" authorId="0" shapeId="0">
      <text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건축법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주택법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감리실적</t>
        </r>
        <r>
          <rPr>
            <b/>
            <sz val="9"/>
            <color indexed="81"/>
            <rFont val="Tahoma"/>
            <family val="2"/>
          </rPr>
          <t xml:space="preserve"> 70% </t>
        </r>
        <r>
          <rPr>
            <b/>
            <sz val="9"/>
            <color indexed="81"/>
            <rFont val="돋움"/>
            <family val="3"/>
            <charset val="129"/>
          </rPr>
          <t xml:space="preserve">인정
</t>
        </r>
        <r>
          <rPr>
            <b/>
            <sz val="9"/>
            <color indexed="81"/>
            <rFont val="Tahoma"/>
            <family val="2"/>
          </rPr>
          <t xml:space="preserve">* </t>
        </r>
        <r>
          <rPr>
            <b/>
            <sz val="9"/>
            <color indexed="81"/>
            <rFont val="돋움"/>
            <family val="3"/>
            <charset val="129"/>
          </rPr>
          <t>건설기술관리법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전면책임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시공감리</t>
        </r>
        <r>
          <rPr>
            <b/>
            <sz val="9"/>
            <color indexed="81"/>
            <rFont val="Tahoma"/>
            <family val="2"/>
          </rPr>
          <t xml:space="preserve">, 
  </t>
        </r>
        <r>
          <rPr>
            <b/>
            <sz val="9"/>
            <color indexed="81"/>
            <rFont val="돋움"/>
            <family val="3"/>
            <charset val="129"/>
          </rPr>
          <t>검측감리</t>
        </r>
        <r>
          <rPr>
            <b/>
            <sz val="9"/>
            <color indexed="81"/>
            <rFont val="Tahoma"/>
            <family val="2"/>
          </rPr>
          <t xml:space="preserve"> 100% </t>
        </r>
        <r>
          <rPr>
            <b/>
            <sz val="9"/>
            <color indexed="81"/>
            <rFont val="돋움"/>
            <family val="3"/>
            <charset val="129"/>
          </rPr>
          <t>인정</t>
        </r>
      </text>
    </comment>
  </commentList>
</comments>
</file>

<file path=xl/comments10.xml><?xml version="1.0" encoding="utf-8"?>
<comments xmlns="http://schemas.openxmlformats.org/spreadsheetml/2006/main">
  <authors>
    <author>user</author>
  </authors>
  <commentList>
    <comment ref="E4" authorId="0" shapeId="0">
      <text>
        <r>
          <rPr>
            <sz val="9"/>
            <color indexed="81"/>
            <rFont val="돋움"/>
            <family val="3"/>
            <charset val="129"/>
          </rPr>
          <t>지분율만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comments11.xml><?xml version="1.0" encoding="utf-8"?>
<comments xmlns="http://schemas.openxmlformats.org/spreadsheetml/2006/main">
  <authors>
    <author>user</author>
  </authors>
  <commentList>
    <comment ref="H1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사용건수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사용금액중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가중치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12.xml><?xml version="1.0" encoding="utf-8"?>
<comments xmlns="http://schemas.openxmlformats.org/spreadsheetml/2006/main">
  <authors>
    <author>user</author>
  </authors>
  <commentList>
    <comment ref="H14" authorId="0" shapeId="0">
      <text>
        <r>
          <rPr>
            <b/>
            <sz val="9"/>
            <color indexed="81"/>
            <rFont val="돋움"/>
            <family val="3"/>
            <charset val="129"/>
          </rPr>
          <t>사용건수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사용금액중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가중치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13.xml><?xml version="1.0" encoding="utf-8"?>
<comments xmlns="http://schemas.openxmlformats.org/spreadsheetml/2006/main">
  <authors>
    <author>user</author>
  </authors>
  <commentList>
    <comment ref="M4" authorId="0" shapeId="0">
      <text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개월전
예</t>
        </r>
        <r>
          <rPr>
            <b/>
            <sz val="9"/>
            <color indexed="81"/>
            <rFont val="Tahoma"/>
            <family val="2"/>
          </rPr>
          <t>) '10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'09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5</t>
        </r>
        <r>
          <rPr>
            <b/>
            <sz val="9"/>
            <color indexed="81"/>
            <rFont val="돋움"/>
            <family val="3"/>
            <charset val="129"/>
          </rPr>
          <t>월</t>
        </r>
      </text>
    </comment>
  </commentList>
</comments>
</file>

<file path=xl/comments14.xml><?xml version="1.0" encoding="utf-8"?>
<comments xmlns="http://schemas.openxmlformats.org/spreadsheetml/2006/main">
  <authors>
    <author>user</author>
  </authors>
  <commentList>
    <comment ref="V6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용역참여기간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.
  </t>
        </r>
        <r>
          <rPr>
            <b/>
            <sz val="9"/>
            <color indexed="81"/>
            <rFont val="돋움"/>
            <family val="3"/>
            <charset val="129"/>
          </rPr>
          <t>중복일수는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참여일수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계산식에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자동제외됨</t>
        </r>
      </text>
    </comment>
    <comment ref="V7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시작일이</t>
        </r>
        <r>
          <rPr>
            <b/>
            <sz val="9"/>
            <color indexed="81"/>
            <rFont val="Tahoma"/>
            <family val="2"/>
          </rPr>
          <t xml:space="preserve"> 2010.2.3. </t>
        </r>
        <r>
          <rPr>
            <b/>
            <sz val="9"/>
            <color indexed="81"/>
            <rFont val="돋움"/>
            <family val="3"/>
            <charset val="129"/>
          </rPr>
          <t>이전일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
  2010.2.3.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AB40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중복기간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순위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건설사업관리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책임기술자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상주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비상주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기술자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설계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사업책임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책임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기술자</t>
        </r>
      </text>
    </comment>
    <comment ref="AE44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기술지원기술자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비상주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경력기간의</t>
        </r>
        <r>
          <rPr>
            <b/>
            <sz val="9"/>
            <color indexed="81"/>
            <rFont val="Tahoma"/>
            <family val="2"/>
          </rPr>
          <t xml:space="preserve"> 0.5</t>
        </r>
        <r>
          <rPr>
            <b/>
            <sz val="9"/>
            <color indexed="81"/>
            <rFont val="돋움"/>
            <family val="3"/>
            <charset val="129"/>
          </rPr>
          <t>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</text>
    </comment>
    <comment ref="AE52" authorId="0" shapeId="0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기술지원기술자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비상주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경력기간
의</t>
        </r>
        <r>
          <rPr>
            <b/>
            <sz val="9"/>
            <color indexed="81"/>
            <rFont val="Tahoma"/>
            <family val="2"/>
          </rPr>
          <t xml:space="preserve"> 0.5</t>
        </r>
        <r>
          <rPr>
            <b/>
            <sz val="9"/>
            <color indexed="81"/>
            <rFont val="돋움"/>
            <family val="3"/>
            <charset val="129"/>
          </rPr>
          <t>배를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</text>
    </comment>
    <comment ref="AE53" authorId="0" shapeId="0">
      <text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※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협회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증명서에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표기가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없는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경력합산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인정하지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않음</t>
        </r>
      </text>
    </comment>
  </commentList>
</comments>
</file>

<file path=xl/sharedStrings.xml><?xml version="1.0" encoding="utf-8"?>
<sst xmlns="http://schemas.openxmlformats.org/spreadsheetml/2006/main" count="1003" uniqueCount="556">
  <si>
    <t>Sheet1</t>
  </si>
  <si>
    <t>최초pq작성자료-설계(누원중기준).xls</t>
  </si>
  <si>
    <t>C:\PROGRAM FILES\MICROSOFT OFFICE\OFFICE\xlstart\Book1.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</si>
  <si>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</si>
  <si>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</si>
  <si>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</si>
  <si>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</si>
  <si>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</si>
  <si>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</si>
  <si>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</si>
  <si>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</si>
  <si>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</si>
  <si>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</si>
  <si>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분야</t>
    <phoneticPr fontId="11" type="noConversion"/>
  </si>
  <si>
    <t>책임</t>
    <phoneticPr fontId="11" type="noConversion"/>
  </si>
  <si>
    <t>점수</t>
    <phoneticPr fontId="11" type="noConversion"/>
  </si>
  <si>
    <t>보조</t>
    <phoneticPr fontId="11" type="noConversion"/>
  </si>
  <si>
    <t>계</t>
    <phoneticPr fontId="11" type="noConversion"/>
  </si>
  <si>
    <t>상주</t>
    <phoneticPr fontId="11" type="noConversion"/>
  </si>
  <si>
    <t>비상주</t>
    <phoneticPr fontId="11" type="noConversion"/>
  </si>
  <si>
    <t>1. 회    사     명 :</t>
    <phoneticPr fontId="11" type="noConversion"/>
  </si>
  <si>
    <t>2. 설  립  년  도 :</t>
    <phoneticPr fontId="11" type="noConversion"/>
  </si>
  <si>
    <t>입찰참가제한</t>
    <phoneticPr fontId="11" type="noConversion"/>
  </si>
  <si>
    <t>업무정지</t>
    <phoneticPr fontId="11" type="noConversion"/>
  </si>
  <si>
    <t>계(월)</t>
    <phoneticPr fontId="11" type="noConversion"/>
  </si>
  <si>
    <t>감점</t>
    <phoneticPr fontId="11" type="noConversion"/>
  </si>
  <si>
    <t>(감리원)</t>
    <phoneticPr fontId="11" type="noConversion"/>
  </si>
  <si>
    <t>소계</t>
    <phoneticPr fontId="11" type="noConversion"/>
  </si>
  <si>
    <t>1개월마다</t>
    <phoneticPr fontId="11" type="noConversion"/>
  </si>
  <si>
    <t>3개월마다</t>
    <phoneticPr fontId="11" type="noConversion"/>
  </si>
  <si>
    <t>계</t>
    <phoneticPr fontId="11" type="noConversion"/>
  </si>
  <si>
    <t>배점</t>
    <phoneticPr fontId="11" type="noConversion"/>
  </si>
  <si>
    <t>구분</t>
    <phoneticPr fontId="11" type="noConversion"/>
  </si>
  <si>
    <t>용     역     명</t>
    <phoneticPr fontId="11" type="noConversion"/>
  </si>
  <si>
    <t>용역기간</t>
    <phoneticPr fontId="11" type="noConversion"/>
  </si>
  <si>
    <t>건수</t>
    <phoneticPr fontId="11" type="noConversion"/>
  </si>
  <si>
    <t>교      육
수료일자</t>
    <phoneticPr fontId="11" type="noConversion"/>
  </si>
  <si>
    <t>이  름</t>
    <phoneticPr fontId="11" type="noConversion"/>
  </si>
  <si>
    <t>등   급</t>
    <phoneticPr fontId="11" type="noConversion"/>
  </si>
  <si>
    <t>소계</t>
    <phoneticPr fontId="11" type="noConversion"/>
  </si>
  <si>
    <t>구분(회사명)</t>
    <phoneticPr fontId="11" type="noConversion"/>
  </si>
  <si>
    <t>이름</t>
    <phoneticPr fontId="11" type="noConversion"/>
  </si>
  <si>
    <t>계</t>
    <phoneticPr fontId="11" type="noConversion"/>
  </si>
  <si>
    <t>구분</t>
    <phoneticPr fontId="11" type="noConversion"/>
  </si>
  <si>
    <t>계</t>
    <phoneticPr fontId="11" type="noConversion"/>
  </si>
  <si>
    <r>
      <t>2</t>
    </r>
    <r>
      <rPr>
        <sz val="11"/>
        <rFont val="돋움"/>
        <family val="3"/>
        <charset val="129"/>
      </rPr>
      <t>0%이상</t>
    </r>
    <phoneticPr fontId="11" type="noConversion"/>
  </si>
  <si>
    <t>회사명</t>
    <phoneticPr fontId="11" type="noConversion"/>
  </si>
  <si>
    <t>평가점수</t>
    <phoneticPr fontId="11" type="noConversion"/>
  </si>
  <si>
    <t>구분</t>
    <phoneticPr fontId="11" type="noConversion"/>
  </si>
  <si>
    <t>상주감리원</t>
    <phoneticPr fontId="11" type="noConversion"/>
  </si>
  <si>
    <t>비상주감리원</t>
    <phoneticPr fontId="11" type="noConversion"/>
  </si>
  <si>
    <r>
      <t xml:space="preserve">최근 </t>
    </r>
    <r>
      <rPr>
        <sz val="11"/>
        <rFont val="돋움"/>
        <family val="3"/>
        <charset val="129"/>
      </rPr>
      <t xml:space="preserve">1년간
</t>
    </r>
    <r>
      <rPr>
        <sz val="11"/>
        <rFont val="돋움"/>
        <family val="3"/>
        <charset val="129"/>
      </rPr>
      <t>교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체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건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수</t>
    </r>
    <phoneticPr fontId="11" type="noConversion"/>
  </si>
  <si>
    <t>최근 1년간 교체 1회당 0.1점 감점</t>
    <phoneticPr fontId="11" type="noConversion"/>
  </si>
  <si>
    <t>회사명 또는 감리원</t>
    <phoneticPr fontId="11" type="noConversion"/>
  </si>
  <si>
    <t>수 신 : 조달청장</t>
    <phoneticPr fontId="11" type="noConversion"/>
  </si>
  <si>
    <t xml:space="preserve">                ======= 아                     래 =======</t>
    <phoneticPr fontId="11" type="noConversion"/>
  </si>
  <si>
    <t>관 리 번 호 :</t>
    <phoneticPr fontId="11" type="noConversion"/>
  </si>
  <si>
    <t>용   역   명 :</t>
    <phoneticPr fontId="11" type="noConversion"/>
  </si>
  <si>
    <t>수 요 기 관 :</t>
    <phoneticPr fontId="11" type="noConversion"/>
  </si>
  <si>
    <t>입찰공고일 :</t>
    <phoneticPr fontId="11" type="noConversion"/>
  </si>
  <si>
    <t>붙         임 :</t>
    <phoneticPr fontId="11" type="noConversion"/>
  </si>
  <si>
    <t>사업수행능력평가서 1부</t>
    <phoneticPr fontId="11" type="noConversion"/>
  </si>
  <si>
    <t>구분</t>
    <phoneticPr fontId="11" type="noConversion"/>
  </si>
  <si>
    <t>대표자</t>
    <phoneticPr fontId="11" type="noConversion"/>
  </si>
  <si>
    <t>전화</t>
    <phoneticPr fontId="11" type="noConversion"/>
  </si>
  <si>
    <t>출자비율</t>
    <phoneticPr fontId="11" type="noConversion"/>
  </si>
  <si>
    <t>비고</t>
    <phoneticPr fontId="11" type="noConversion"/>
  </si>
  <si>
    <t>공동이행</t>
    <phoneticPr fontId="11" type="noConversion"/>
  </si>
  <si>
    <t>분담이행</t>
    <phoneticPr fontId="11" type="noConversion"/>
  </si>
  <si>
    <t>분담내용</t>
    <phoneticPr fontId="11" type="noConversion"/>
  </si>
  <si>
    <t>업종</t>
    <phoneticPr fontId="11" type="noConversion"/>
  </si>
  <si>
    <t>비율</t>
    <phoneticPr fontId="11" type="noConversion"/>
  </si>
  <si>
    <t xml:space="preserve">관리번호 </t>
    <phoneticPr fontId="11" type="noConversion"/>
  </si>
  <si>
    <t>용 역 명</t>
    <phoneticPr fontId="11" type="noConversion"/>
  </si>
  <si>
    <t>본 업체는 귀 청에서 발주하는 상기용역의 사업수행능력 평가자료를</t>
    <phoneticPr fontId="11" type="noConversion"/>
  </si>
  <si>
    <t>제출함에 있어 평가자료의 허위기재 또는 부실한 자료작성 및 중대한</t>
    <phoneticPr fontId="11" type="noConversion"/>
  </si>
  <si>
    <t xml:space="preserve"> 및 부실벌점 등 평가점수와 중대한 관계가 있는 서류에 하자가 발생할</t>
    <phoneticPr fontId="11" type="noConversion"/>
  </si>
  <si>
    <t xml:space="preserve">경우)로 인하여 초래되는 평가상의 불이익은 물론 평가대상에서 제외,  </t>
    <phoneticPr fontId="11" type="noConversion"/>
  </si>
  <si>
    <t>입찰참가 대상에서 제외 등 귀 청의 어떠한 처분에도 이의를 제기하지</t>
    <phoneticPr fontId="11" type="noConversion"/>
  </si>
  <si>
    <t xml:space="preserve">않을 것임을 서약합니다. </t>
    <phoneticPr fontId="11" type="noConversion"/>
  </si>
  <si>
    <t xml:space="preserve">주  소 </t>
    <phoneticPr fontId="11" type="noConversion"/>
  </si>
  <si>
    <t>업체명</t>
    <phoneticPr fontId="11" type="noConversion"/>
  </si>
  <si>
    <t>대표자                           인</t>
    <phoneticPr fontId="11" type="noConversion"/>
  </si>
  <si>
    <t xml:space="preserve">조달청장   귀하 </t>
    <phoneticPr fontId="11" type="noConversion"/>
  </si>
  <si>
    <t>입찰일시</t>
    <phoneticPr fontId="11" type="noConversion"/>
  </si>
  <si>
    <t>3. 공동수급협정 체결현황</t>
    <phoneticPr fontId="11" type="noConversion"/>
  </si>
  <si>
    <t>6. 용역수행실적</t>
    <phoneticPr fontId="11" type="noConversion"/>
  </si>
  <si>
    <t>가중치</t>
    <phoneticPr fontId="11" type="noConversion"/>
  </si>
  <si>
    <t>면허사항</t>
    <phoneticPr fontId="11" type="noConversion"/>
  </si>
  <si>
    <t>대표자</t>
    <phoneticPr fontId="11" type="noConversion"/>
  </si>
  <si>
    <t>전화</t>
    <phoneticPr fontId="11" type="noConversion"/>
  </si>
  <si>
    <t>(투자실적)</t>
    <phoneticPr fontId="11" type="noConversion"/>
  </si>
  <si>
    <t>비율(A/B)</t>
    <phoneticPr fontId="11" type="noConversion"/>
  </si>
  <si>
    <r>
      <t xml:space="preserve">최근 </t>
    </r>
    <r>
      <rPr>
        <sz val="11"/>
        <rFont val="돋움"/>
        <family val="3"/>
        <charset val="129"/>
      </rPr>
      <t>3개년 매출액</t>
    </r>
    <phoneticPr fontId="11" type="noConversion"/>
  </si>
  <si>
    <t>계</t>
    <phoneticPr fontId="11" type="noConversion"/>
  </si>
  <si>
    <r>
      <t>계(</t>
    </r>
    <r>
      <rPr>
        <sz val="11"/>
        <rFont val="돋움"/>
        <family val="3"/>
        <charset val="129"/>
      </rPr>
      <t>A)</t>
    </r>
    <phoneticPr fontId="11" type="noConversion"/>
  </si>
  <si>
    <r>
      <t>계(</t>
    </r>
    <r>
      <rPr>
        <sz val="11"/>
        <rFont val="돋움"/>
        <family val="3"/>
        <charset val="129"/>
      </rPr>
      <t>B)</t>
    </r>
    <phoneticPr fontId="11" type="noConversion"/>
  </si>
  <si>
    <t>최근 3개년도 기술개발투자금액</t>
    <phoneticPr fontId="11" type="noConversion"/>
  </si>
  <si>
    <t>평점</t>
    <phoneticPr fontId="11" type="noConversion"/>
  </si>
  <si>
    <t>평점</t>
    <phoneticPr fontId="11" type="noConversion"/>
  </si>
  <si>
    <r>
      <t xml:space="preserve">이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름</t>
    </r>
    <phoneticPr fontId="11" type="noConversion"/>
  </si>
  <si>
    <t>(참여감리원전체를 대상)</t>
    <phoneticPr fontId="11" type="noConversion"/>
  </si>
  <si>
    <t>12. 교체빈도</t>
    <phoneticPr fontId="11" type="noConversion"/>
  </si>
  <si>
    <t>이름</t>
    <phoneticPr fontId="11" type="noConversion"/>
  </si>
  <si>
    <t>교육 훈련 내역</t>
    <phoneticPr fontId="11" type="noConversion"/>
  </si>
  <si>
    <t>교육기간</t>
    <phoneticPr fontId="11" type="noConversion"/>
  </si>
  <si>
    <t>교육훈련기관</t>
    <phoneticPr fontId="11" type="noConversion"/>
  </si>
  <si>
    <t>교육종류</t>
    <phoneticPr fontId="11" type="noConversion"/>
  </si>
  <si>
    <t>첨부 : 관련협회 증명서 각1부</t>
    <phoneticPr fontId="11" type="noConversion"/>
  </si>
  <si>
    <t>인   정
기관명</t>
    <phoneticPr fontId="11" type="noConversion"/>
  </si>
  <si>
    <t>개발내용</t>
    <phoneticPr fontId="11" type="noConversion"/>
  </si>
  <si>
    <t>신기술</t>
    <phoneticPr fontId="11" type="noConversion"/>
  </si>
  <si>
    <t>특허</t>
    <phoneticPr fontId="11" type="noConversion"/>
  </si>
  <si>
    <t>해당
점수</t>
    <phoneticPr fontId="11" type="noConversion"/>
  </si>
  <si>
    <t>완     료</t>
    <phoneticPr fontId="11" type="noConversion"/>
  </si>
  <si>
    <t>학력내용</t>
    <phoneticPr fontId="11" type="noConversion"/>
  </si>
  <si>
    <t>소속회사</t>
    <phoneticPr fontId="11" type="noConversion"/>
  </si>
  <si>
    <t>자격명</t>
    <phoneticPr fontId="11" type="noConversion"/>
  </si>
  <si>
    <t>최종학력</t>
    <phoneticPr fontId="11" type="noConversion"/>
  </si>
  <si>
    <t>졸업일 또는
학위취득일</t>
    <phoneticPr fontId="11" type="noConversion"/>
  </si>
  <si>
    <t xml:space="preserve">업 체 명   </t>
    <phoneticPr fontId="11" type="noConversion"/>
  </si>
  <si>
    <t>5. 참여감리원 경력사항</t>
    <phoneticPr fontId="11" type="noConversion"/>
  </si>
  <si>
    <t>1. 관리번호</t>
  </si>
  <si>
    <t>2. 수요기관</t>
  </si>
  <si>
    <t>3. 용 역 명</t>
  </si>
  <si>
    <t>7. 연 락 처</t>
  </si>
  <si>
    <t>팩스</t>
  </si>
  <si>
    <t>5. 평가작성자</t>
  </si>
  <si>
    <t>000000000000기관</t>
    <phoneticPr fontId="11" type="noConversion"/>
  </si>
  <si>
    <t>접수번호</t>
    <phoneticPr fontId="11" type="noConversion"/>
  </si>
  <si>
    <t>홍길동</t>
    <phoneticPr fontId="11" type="noConversion"/>
  </si>
  <si>
    <t>(인)</t>
    <phoneticPr fontId="11" type="noConversion"/>
  </si>
  <si>
    <t>주       소 :</t>
    <phoneticPr fontId="11" type="noConversion"/>
  </si>
  <si>
    <t>FAX 번 호  :</t>
    <phoneticPr fontId="11" type="noConversion"/>
  </si>
  <si>
    <t xml:space="preserve">구내전화 : </t>
    <phoneticPr fontId="11" type="noConversion"/>
  </si>
  <si>
    <t>입   찰   일   시  :</t>
    <phoneticPr fontId="11" type="noConversion"/>
  </si>
  <si>
    <t>평가서마감 일시 :</t>
    <phoneticPr fontId="11" type="noConversion"/>
  </si>
  <si>
    <t>접 수 인</t>
    <phoneticPr fontId="11" type="noConversion"/>
  </si>
  <si>
    <t>업   체   명 :</t>
    <phoneticPr fontId="11" type="noConversion"/>
  </si>
  <si>
    <t>대   표   자 :</t>
    <phoneticPr fontId="11" type="noConversion"/>
  </si>
  <si>
    <t>전 화 번 호 :</t>
    <phoneticPr fontId="11" type="noConversion"/>
  </si>
  <si>
    <t>비고</t>
    <phoneticPr fontId="11" type="noConversion"/>
  </si>
  <si>
    <t>점수</t>
  </si>
  <si>
    <t>분야</t>
    <phoneticPr fontId="11" type="noConversion"/>
  </si>
  <si>
    <t>등급</t>
    <phoneticPr fontId="11" type="noConversion"/>
  </si>
  <si>
    <t>일수</t>
    <phoneticPr fontId="11" type="noConversion"/>
  </si>
  <si>
    <t>년수</t>
    <phoneticPr fontId="11" type="noConversion"/>
  </si>
  <si>
    <t>용          역          명</t>
    <phoneticPr fontId="11" type="noConversion"/>
  </si>
  <si>
    <t>발      주      청</t>
    <phoneticPr fontId="11" type="noConversion"/>
  </si>
  <si>
    <t>구         분</t>
    <phoneticPr fontId="11" type="noConversion"/>
  </si>
  <si>
    <t>ㅇㅇㅇㅇㅇ시</t>
    <phoneticPr fontId="11" type="noConversion"/>
  </si>
  <si>
    <t>업무정지 사유</t>
    <phoneticPr fontId="11" type="noConversion"/>
  </si>
  <si>
    <t>계(월)</t>
    <phoneticPr fontId="11" type="noConversion"/>
  </si>
  <si>
    <r>
      <t>2차년도</t>
    </r>
    <r>
      <rPr>
        <sz val="11"/>
        <rFont val="돋움"/>
        <family val="3"/>
        <charset val="129"/>
      </rPr>
      <t>(2001)</t>
    </r>
    <phoneticPr fontId="11" type="noConversion"/>
  </si>
  <si>
    <r>
      <t>3차년도</t>
    </r>
    <r>
      <rPr>
        <sz val="11"/>
        <rFont val="돋움"/>
        <family val="3"/>
        <charset val="129"/>
      </rPr>
      <t>(2002)</t>
    </r>
    <phoneticPr fontId="11" type="noConversion"/>
  </si>
  <si>
    <r>
      <t>1차년도</t>
    </r>
    <r>
      <rPr>
        <sz val="11"/>
        <rFont val="돋움"/>
        <family val="3"/>
        <charset val="129"/>
      </rPr>
      <t>(2000)</t>
    </r>
    <phoneticPr fontId="11" type="noConversion"/>
  </si>
  <si>
    <t xml:space="preserve">         3. 최근 3년간의 연구 및 인력개발에 관한 명세서 1부.</t>
    <phoneticPr fontId="11" type="noConversion"/>
  </si>
  <si>
    <t>ㅇㅇㅇㅇㅇㅇㅇㅇㅇ</t>
    <phoneticPr fontId="11" type="noConversion"/>
  </si>
  <si>
    <t>제 ㅇㅇㅇ호</t>
    <phoneticPr fontId="11" type="noConversion"/>
  </si>
  <si>
    <t>4. 회   사   명</t>
  </si>
  <si>
    <t>구  분</t>
  </si>
  <si>
    <t>총  점</t>
  </si>
  <si>
    <t>이  름</t>
  </si>
  <si>
    <t>분  야</t>
  </si>
  <si>
    <t>직무분야</t>
  </si>
  <si>
    <t>점 수</t>
  </si>
  <si>
    <t>년수</t>
  </si>
  <si>
    <t>(평가대상자)</t>
  </si>
  <si>
    <t>상주</t>
  </si>
  <si>
    <t>책임</t>
  </si>
  <si>
    <t>보조</t>
  </si>
  <si>
    <t>비상주</t>
  </si>
  <si>
    <r>
      <t xml:space="preserve">용      역
수행실적
</t>
    </r>
    <r>
      <rPr>
        <b/>
        <i/>
        <u/>
        <sz val="12"/>
        <rFont val="돋움"/>
        <family val="3"/>
        <charset val="129"/>
      </rPr>
      <t>(10)</t>
    </r>
    <phoneticPr fontId="11" type="noConversion"/>
  </si>
  <si>
    <r>
      <t xml:space="preserve">교체
빈도
</t>
    </r>
    <r>
      <rPr>
        <b/>
        <i/>
        <u/>
        <sz val="12"/>
        <rFont val="돋움"/>
        <family val="3"/>
        <charset val="129"/>
      </rPr>
      <t>(5)</t>
    </r>
    <phoneticPr fontId="11" type="noConversion"/>
  </si>
  <si>
    <r>
      <t>계</t>
    </r>
    <r>
      <rPr>
        <b/>
        <u/>
        <sz val="12"/>
        <rFont val="돋움"/>
        <family val="3"/>
        <charset val="129"/>
      </rPr>
      <t xml:space="preserve">
(100)</t>
    </r>
    <phoneticPr fontId="11" type="noConversion"/>
  </si>
  <si>
    <t xml:space="preserve">        2. 단독이행시는 첨부물 필요없음.</t>
    <phoneticPr fontId="11" type="noConversion"/>
  </si>
  <si>
    <t>붙임 : 1. 공동수급협정서(나라장터 시스템으로 승인 처리한 출력물) 1부.</t>
    <phoneticPr fontId="11" type="noConversion"/>
  </si>
  <si>
    <t>입찰공고시 요구한 면허사항 기재</t>
    <phoneticPr fontId="11" type="noConversion"/>
  </si>
  <si>
    <t>관련 법적 근거</t>
    <phoneticPr fontId="11" type="noConversion"/>
  </si>
  <si>
    <t xml:space="preserve">    3) 공동수급협정체결현황</t>
    <phoneticPr fontId="11" type="noConversion"/>
  </si>
  <si>
    <t xml:space="preserve">    1) 사업수행능력평가신청서</t>
    <phoneticPr fontId="11" type="noConversion"/>
  </si>
  <si>
    <t xml:space="preserve">   12) 교체빈도</t>
    <phoneticPr fontId="11" type="noConversion"/>
  </si>
  <si>
    <t xml:space="preserve">         2. 최근 3년간의 정기결산서의 재무제표(손익계산서, 원가명세서, 합계잔액시산표)</t>
    <phoneticPr fontId="11" type="noConversion"/>
  </si>
  <si>
    <t xml:space="preserve">        2. 붙임의 서류를 첨부하지 않았을 경우 평가에서 제외함</t>
    <phoneticPr fontId="11" type="noConversion"/>
  </si>
  <si>
    <t>감점 처리 방법</t>
    <phoneticPr fontId="11" type="noConversion"/>
  </si>
  <si>
    <t xml:space="preserve">    2) 자기평가기술서</t>
    <phoneticPr fontId="11" type="noConversion"/>
  </si>
  <si>
    <t>ㅇㅇㅇ</t>
    <phoneticPr fontId="11" type="noConversion"/>
  </si>
  <si>
    <t>6. 사업자등록번호</t>
    <phoneticPr fontId="9" type="noConversion"/>
  </si>
  <si>
    <t>111-12-34567</t>
    <phoneticPr fontId="11" type="noConversion"/>
  </si>
  <si>
    <t>설계,시공,시험 검사,사업관리,
유지관리,감독,감리</t>
    <phoneticPr fontId="9" type="noConversion"/>
  </si>
  <si>
    <t>년월</t>
    <phoneticPr fontId="9" type="noConversion"/>
  </si>
  <si>
    <r>
      <t xml:space="preserve">기술개발
투자실적
</t>
    </r>
    <r>
      <rPr>
        <b/>
        <i/>
        <u/>
        <sz val="12"/>
        <rFont val="돋움"/>
        <family val="3"/>
        <charset val="129"/>
      </rPr>
      <t>(10)</t>
    </r>
    <phoneticPr fontId="11" type="noConversion"/>
  </si>
  <si>
    <t>성명</t>
    <phoneticPr fontId="11" type="noConversion"/>
  </si>
  <si>
    <t>년
개월</t>
    <phoneticPr fontId="11" type="noConversion"/>
  </si>
  <si>
    <t>구                 분</t>
    <phoneticPr fontId="11" type="noConversion"/>
  </si>
  <si>
    <t>당해 전문분야의 기사</t>
    <phoneticPr fontId="11" type="noConversion"/>
  </si>
  <si>
    <t>당해 전문분야의 산업기사</t>
    <phoneticPr fontId="11" type="noConversion"/>
  </si>
  <si>
    <t>당해 전문분야의 기술사 또는 건축사</t>
    <phoneticPr fontId="11" type="noConversion"/>
  </si>
  <si>
    <t>* 상주책임감리원의 자격사항에 따라 아래 배점에 의거 점수 기재→</t>
    <phoneticPr fontId="11" type="noConversion"/>
  </si>
  <si>
    <t>합  계</t>
    <phoneticPr fontId="11" type="noConversion"/>
  </si>
  <si>
    <t>7. 입찰참가제한 및 업무정지 현황</t>
    <phoneticPr fontId="11" type="noConversion"/>
  </si>
  <si>
    <t>윤봉길</t>
    <phoneticPr fontId="11" type="noConversion"/>
  </si>
  <si>
    <t>허  준</t>
    <phoneticPr fontId="11" type="noConversion"/>
  </si>
  <si>
    <t>토목</t>
    <phoneticPr fontId="11" type="noConversion"/>
  </si>
  <si>
    <t>기계</t>
    <phoneticPr fontId="11" type="noConversion"/>
  </si>
  <si>
    <t>건축</t>
    <phoneticPr fontId="11" type="noConversion"/>
  </si>
  <si>
    <t>특급</t>
    <phoneticPr fontId="11" type="noConversion"/>
  </si>
  <si>
    <t>등록번호</t>
    <phoneticPr fontId="11" type="noConversion"/>
  </si>
  <si>
    <t>출원일자</t>
    <phoneticPr fontId="11" type="noConversion"/>
  </si>
  <si>
    <t>기준
점수</t>
    <phoneticPr fontId="11" type="noConversion"/>
  </si>
  <si>
    <t>인정
기관명</t>
    <phoneticPr fontId="11" type="noConversion"/>
  </si>
  <si>
    <t xml:space="preserve">        2. 위의 서류를 첨부하지 않았을 경우 평가에서 제외함</t>
    <phoneticPr fontId="11" type="noConversion"/>
  </si>
  <si>
    <r>
      <t xml:space="preserve">1. 각 시트의 출력물 </t>
    </r>
    <r>
      <rPr>
        <b/>
        <sz val="15"/>
        <rFont val="돋움"/>
        <family val="3"/>
        <charset val="129"/>
      </rPr>
      <t>1부</t>
    </r>
    <r>
      <rPr>
        <sz val="12"/>
        <rFont val="돋움"/>
        <family val="3"/>
        <charset val="129"/>
      </rPr>
      <t>씩을 다음의 순서대로 좌철(1권),합본하여 제출하여야 합니다.</t>
    </r>
    <phoneticPr fontId="11" type="noConversion"/>
  </si>
  <si>
    <t xml:space="preserve">  주 ) 1. 위의 서류는 원본 제출이 원칙이나 관련서류를 기제출한 업체는 사본도 가능함</t>
    <phoneticPr fontId="11" type="noConversion"/>
  </si>
  <si>
    <t>* 관련서류는 공인회계사법 제7조에 의하여 등록한 공인회계사가 확인.분석.검토하여야 함</t>
    <phoneticPr fontId="11" type="noConversion"/>
  </si>
  <si>
    <t xml:space="preserve">         2. 특허증 사본(등록원부 및 최초 출원인 확인용은 원본)</t>
    <phoneticPr fontId="11" type="noConversion"/>
  </si>
  <si>
    <t xml:space="preserve">         3. 실용신안등록증 사본(등록원부 및 최초 출원인 확인용은 원본)</t>
    <phoneticPr fontId="11" type="noConversion"/>
  </si>
  <si>
    <t xml:space="preserve">ㅇㅇㅇㅇㅇㅇ청사 신축공사 </t>
    <phoneticPr fontId="11" type="noConversion"/>
  </si>
  <si>
    <t>착공일</t>
    <phoneticPr fontId="11" type="noConversion"/>
  </si>
  <si>
    <t>준공일(예정)</t>
    <phoneticPr fontId="11" type="noConversion"/>
  </si>
  <si>
    <t>진 행 중</t>
    <phoneticPr fontId="11" type="noConversion"/>
  </si>
  <si>
    <t>최종기성
실적기간</t>
    <phoneticPr fontId="11" type="noConversion"/>
  </si>
  <si>
    <t>전체일수
(기성실적기간)</t>
    <phoneticPr fontId="11" type="noConversion"/>
  </si>
  <si>
    <t>적용일수</t>
    <phoneticPr fontId="11" type="noConversion"/>
  </si>
  <si>
    <t>5-1. 해당분야 경력현황</t>
    <phoneticPr fontId="11" type="noConversion"/>
  </si>
  <si>
    <t>용역명</t>
  </si>
  <si>
    <t>발주처</t>
  </si>
  <si>
    <t>참여기간</t>
  </si>
  <si>
    <t>참여일수</t>
  </si>
  <si>
    <t>ooo</t>
  </si>
  <si>
    <t>계</t>
  </si>
  <si>
    <t>해당분야경력</t>
  </si>
  <si>
    <t>실적시작일</t>
    <phoneticPr fontId="11" type="noConversion"/>
  </si>
  <si>
    <t>합계</t>
    <phoneticPr fontId="11" type="noConversion"/>
  </si>
  <si>
    <t>총계</t>
    <phoneticPr fontId="11" type="noConversion"/>
  </si>
  <si>
    <t>실적
(백만원)</t>
    <phoneticPr fontId="11" type="noConversion"/>
  </si>
  <si>
    <t>인정실적
(백만원)</t>
    <phoneticPr fontId="11" type="noConversion"/>
  </si>
  <si>
    <t>사업자등록번호 :</t>
    <phoneticPr fontId="11" type="noConversion"/>
  </si>
  <si>
    <t>* 주의사항</t>
    <phoneticPr fontId="11" type="noConversion"/>
  </si>
  <si>
    <t xml:space="preserve"> - 해당분야 경력은 경력증명서(관련협회) 상에 기재된 근무기간에서 중복일수를 제외한 실제 참여기간을 입력하여 주시기바랍니다.</t>
    <phoneticPr fontId="11" type="noConversion"/>
  </si>
  <si>
    <t xml:space="preserve">    평가서 작성자  : </t>
    <phoneticPr fontId="11" type="noConversion"/>
  </si>
  <si>
    <t>*흰색 부분에 기재바랍니다.(색이 채워져 있는 부분은 자동 계산됨)</t>
    <phoneticPr fontId="11" type="noConversion"/>
  </si>
  <si>
    <t xml:space="preserve">관리번호 </t>
    <phoneticPr fontId="11" type="noConversion"/>
  </si>
  <si>
    <t>용 역 명</t>
    <phoneticPr fontId="11" type="noConversion"/>
  </si>
  <si>
    <t xml:space="preserve">주  소 </t>
    <phoneticPr fontId="11" type="noConversion"/>
  </si>
  <si>
    <t>업체명</t>
    <phoneticPr fontId="11" type="noConversion"/>
  </si>
  <si>
    <t>대표자                           인</t>
    <phoneticPr fontId="11" type="noConversion"/>
  </si>
  <si>
    <t xml:space="preserve">조달청장   귀하 </t>
    <phoneticPr fontId="11" type="noConversion"/>
  </si>
  <si>
    <t>수요기관명</t>
    <phoneticPr fontId="11" type="noConversion"/>
  </si>
  <si>
    <r>
      <t>소속
(회사명</t>
    </r>
    <r>
      <rPr>
        <sz val="11"/>
        <rFont val="돋움"/>
        <family val="3"/>
        <charset val="129"/>
      </rPr>
      <t>)</t>
    </r>
    <phoneticPr fontId="11" type="noConversion"/>
  </si>
  <si>
    <r>
      <t>붙임 :</t>
    </r>
    <r>
      <rPr>
        <sz val="11"/>
        <color indexed="10"/>
        <rFont val="돋움"/>
        <family val="3"/>
        <charset val="129"/>
      </rPr>
      <t xml:space="preserve"> 1. 최근 3년간의 재무상태 검토보고서 1부</t>
    </r>
    <phoneticPr fontId="11" type="noConversion"/>
  </si>
  <si>
    <t>*  G2B(나라장터)에서 등록한후 출력한 경쟁입찰참가자격등록증(사본)을 출력하여 첨부할것[공동도급(공동이행,분담이행 )]
   사의 경쟁입찰참가자격등록증 사본도 동시 합본 제출</t>
    <phoneticPr fontId="11" type="noConversion"/>
  </si>
  <si>
    <t>18.  확    인    서</t>
    <phoneticPr fontId="11" type="noConversion"/>
  </si>
  <si>
    <t>등 
급</t>
    <phoneticPr fontId="11" type="noConversion"/>
  </si>
  <si>
    <t>* 평가대상참여기술자(책임기술자 제외)중 수요기관 지정 평가기술자일 경우 가점(입찰공고문 별도 명시)</t>
    <phoneticPr fontId="11" type="noConversion"/>
  </si>
  <si>
    <t xml:space="preserve">★ 경력증명서의 용역명 등 해당사항에 표시(형광펜, 사인펜 등)하여 주시기 바랍니다. </t>
    <phoneticPr fontId="11" type="noConversion"/>
  </si>
  <si>
    <t xml:space="preserve">★ 실적증명서 등 증명서류의 해당사항에 표시(형광펜, 사인펜 등)하여 주시기 바랍니다. </t>
    <phoneticPr fontId="11" type="noConversion"/>
  </si>
  <si>
    <t>실적마감일</t>
    <phoneticPr fontId="11" type="noConversion"/>
  </si>
  <si>
    <t>공사비절감기여</t>
    <phoneticPr fontId="9" type="noConversion"/>
  </si>
  <si>
    <t>부
패
행
위</t>
    <phoneticPr fontId="11" type="noConversion"/>
  </si>
  <si>
    <t>교체빈도율</t>
    <phoneticPr fontId="11" type="noConversion"/>
  </si>
  <si>
    <t>신용정보업체</t>
    <phoneticPr fontId="21" type="noConversion"/>
  </si>
  <si>
    <t>신용평가등급</t>
    <phoneticPr fontId="21" type="noConversion"/>
  </si>
  <si>
    <t>등급평가일</t>
    <phoneticPr fontId="21" type="noConversion"/>
  </si>
  <si>
    <t>등급유효기간</t>
    <phoneticPr fontId="21" type="noConversion"/>
  </si>
  <si>
    <t>재무결산기준일</t>
    <phoneticPr fontId="21" type="noConversion"/>
  </si>
  <si>
    <t>평점</t>
    <phoneticPr fontId="21" type="noConversion"/>
  </si>
  <si>
    <t>(재정상태 건실도)</t>
    <phoneticPr fontId="11" type="noConversion"/>
  </si>
  <si>
    <t>5%미만</t>
    <phoneticPr fontId="11" type="noConversion"/>
  </si>
  <si>
    <t>5%이상
10%미만</t>
    <phoneticPr fontId="11" type="noConversion"/>
  </si>
  <si>
    <r>
      <t>1</t>
    </r>
    <r>
      <rPr>
        <sz val="11"/>
        <rFont val="돋움"/>
        <family val="3"/>
        <charset val="129"/>
      </rPr>
      <t>0%이상
15%미만</t>
    </r>
    <phoneticPr fontId="11" type="noConversion"/>
  </si>
  <si>
    <r>
      <t>1</t>
    </r>
    <r>
      <rPr>
        <sz val="11"/>
        <rFont val="돋움"/>
        <family val="3"/>
        <charset val="129"/>
      </rPr>
      <t>5%이상
20%미만</t>
    </r>
    <phoneticPr fontId="11" type="noConversion"/>
  </si>
  <si>
    <t>최근 1년간 교체 1회당 0.25점 감점</t>
    <phoneticPr fontId="11" type="noConversion"/>
  </si>
  <si>
    <t>합  계</t>
    <phoneticPr fontId="11" type="noConversion"/>
  </si>
  <si>
    <t>구분</t>
    <phoneticPr fontId="11" type="noConversion"/>
  </si>
  <si>
    <t>OOO</t>
    <phoneticPr fontId="11" type="noConversion"/>
  </si>
  <si>
    <t>발주청</t>
    <phoneticPr fontId="11" type="noConversion"/>
  </si>
  <si>
    <t>용역명</t>
    <phoneticPr fontId="11" type="noConversion"/>
  </si>
  <si>
    <t>점수산출</t>
    <phoneticPr fontId="11" type="noConversion"/>
  </si>
  <si>
    <t>건당배접</t>
    <phoneticPr fontId="11" type="noConversion"/>
  </si>
  <si>
    <t>가중치</t>
    <phoneticPr fontId="11" type="noConversion"/>
  </si>
  <si>
    <t>점수</t>
    <phoneticPr fontId="11" type="noConversion"/>
  </si>
  <si>
    <t>절감금액</t>
    <phoneticPr fontId="11" type="noConversion"/>
  </si>
  <si>
    <t>절감율</t>
    <phoneticPr fontId="11" type="noConversion"/>
  </si>
  <si>
    <t>부패행위 감리전문회사</t>
    <phoneticPr fontId="11" type="noConversion"/>
  </si>
  <si>
    <t>부패행위 감리원</t>
    <phoneticPr fontId="11" type="noConversion"/>
  </si>
  <si>
    <t>OOOOO</t>
    <phoneticPr fontId="11" type="noConversion"/>
  </si>
  <si>
    <t>피해금액</t>
    <phoneticPr fontId="11" type="noConversion"/>
  </si>
  <si>
    <t>피해금액 비율</t>
    <phoneticPr fontId="11" type="noConversion"/>
  </si>
  <si>
    <t>감점</t>
    <phoneticPr fontId="11" type="noConversion"/>
  </si>
  <si>
    <t>처분(처벌)일</t>
    <phoneticPr fontId="11" type="noConversion"/>
  </si>
  <si>
    <t>5. 위의 제출방법에 따라  각 시트(18항목)를 출력,  관련 증빙서류를 합철(1권)하여 
    제출하시기 바랍니다.</t>
    <phoneticPr fontId="11" type="noConversion"/>
  </si>
  <si>
    <t>건설사업관리용역업자 사업수행능력 평가서(용역참여 신청서)</t>
    <phoneticPr fontId="11" type="noConversion"/>
  </si>
  <si>
    <t>제 목 : 건설사업관리용역업자 사업수행능력평가서 제출</t>
    <phoneticPr fontId="11" type="noConversion"/>
  </si>
  <si>
    <t xml:space="preserve">          아래 용역에 대한 "건설사업관리용역업자 수행능력평가서"를 붙임과 같이 제출합니다.</t>
    <phoneticPr fontId="11" type="noConversion"/>
  </si>
  <si>
    <t>0000 공사 건설사업관리용역</t>
    <phoneticPr fontId="11" type="noConversion"/>
  </si>
  <si>
    <t xml:space="preserve">(주)000 </t>
    <phoneticPr fontId="11" type="noConversion"/>
  </si>
  <si>
    <t>(건설사업관리용역업자 사업수행능력평가서 제출요령)</t>
    <phoneticPr fontId="11" type="noConversion"/>
  </si>
  <si>
    <t>2. 자기평가기술서(공사비 1,000억원 이상)</t>
    <phoneticPr fontId="9" type="noConversion"/>
  </si>
  <si>
    <t xml:space="preserve">참여 기술자 </t>
    <phoneticPr fontId="11" type="noConversion"/>
  </si>
  <si>
    <t>성  명</t>
    <phoneticPr fontId="11" type="noConversion"/>
  </si>
  <si>
    <t>해당분야</t>
    <phoneticPr fontId="9" type="noConversion"/>
  </si>
  <si>
    <t>면접
(발표)</t>
    <phoneticPr fontId="11" type="noConversion"/>
  </si>
  <si>
    <t>교육훈련
및
기술자격</t>
    <phoneticPr fontId="11" type="noConversion"/>
  </si>
  <si>
    <t>건설사업관리기간</t>
    <phoneticPr fontId="11" type="noConversion"/>
  </si>
  <si>
    <t>4. 참여기술자 자격사항</t>
    <phoneticPr fontId="11" type="noConversion"/>
  </si>
  <si>
    <t>* 비평가 대상 기술자는 비실명이며, 사업수행능력평가자료를 제출할 필요가 없습니다.</t>
    <phoneticPr fontId="11" type="noConversion"/>
  </si>
  <si>
    <t>2. 자기평가기술서(공사비 500억원 이상~1,000억원 미만)</t>
    <phoneticPr fontId="9" type="noConversion"/>
  </si>
  <si>
    <t>2. 자기평가기술서(공사비 300억원 이상 ~ 500억원 미만)</t>
    <phoneticPr fontId="9" type="noConversion"/>
  </si>
  <si>
    <t>2. 자기평가기술서(공사비 100억원 이상 ~ 300억원 미만)</t>
    <phoneticPr fontId="9" type="noConversion"/>
  </si>
  <si>
    <t>2. 자기평가기술서(공사비 100억원 미만)</t>
    <phoneticPr fontId="9" type="noConversion"/>
  </si>
  <si>
    <t>기술자 성명</t>
    <phoneticPr fontId="11" type="noConversion"/>
  </si>
  <si>
    <t>* 평가대상 기술자에 대하여 작성하시면 됨</t>
    <phoneticPr fontId="11" type="noConversion"/>
  </si>
  <si>
    <t>생년월일</t>
    <phoneticPr fontId="11" type="noConversion"/>
  </si>
  <si>
    <t>설계와 시공단계를 포함한
건설사업관리</t>
    <phoneticPr fontId="11" type="noConversion"/>
  </si>
  <si>
    <t>설계단계의
건설사업관리</t>
    <phoneticPr fontId="11" type="noConversion"/>
  </si>
  <si>
    <t>ㅇㅇ사업 건설사업관리</t>
    <phoneticPr fontId="11" type="noConversion"/>
  </si>
  <si>
    <t>ㅇㅇ사업 기본설계</t>
    <phoneticPr fontId="11" type="noConversion"/>
  </si>
  <si>
    <t>시공단계의
건설사업관리</t>
    <phoneticPr fontId="11" type="noConversion"/>
  </si>
  <si>
    <t>설계와 시공단계를 포함한
건설사업관리</t>
    <phoneticPr fontId="11" type="noConversion"/>
  </si>
  <si>
    <t>설계단계의 
건설사업관리</t>
    <phoneticPr fontId="11" type="noConversion"/>
  </si>
  <si>
    <t>국토부</t>
    <phoneticPr fontId="11" type="noConversion"/>
  </si>
  <si>
    <t>국토부</t>
    <phoneticPr fontId="11" type="noConversion"/>
  </si>
  <si>
    <t xml:space="preserve">         4. 건설신기술의 선행기술조사 관련 서류(국토교통과학기술진흥윈에 등재된 자료 등)_ 필요시 제출</t>
    <phoneticPr fontId="11" type="noConversion"/>
  </si>
  <si>
    <t>○ 개발실적</t>
    <phoneticPr fontId="11" type="noConversion"/>
  </si>
  <si>
    <t>보호기간</t>
    <phoneticPr fontId="11" type="noConversion"/>
  </si>
  <si>
    <t>○ 활용실적</t>
    <phoneticPr fontId="11" type="noConversion"/>
  </si>
  <si>
    <t>고시일자</t>
    <phoneticPr fontId="11" type="noConversion"/>
  </si>
  <si>
    <t>만료일자</t>
    <phoneticPr fontId="11" type="noConversion"/>
  </si>
  <si>
    <t>실적건수(건)</t>
    <phoneticPr fontId="11" type="noConversion"/>
  </si>
  <si>
    <t>실적금액(억원)</t>
    <phoneticPr fontId="11" type="noConversion"/>
  </si>
  <si>
    <t>-</t>
    <phoneticPr fontId="11" type="noConversion"/>
  </si>
  <si>
    <t>사용실적
가중치</t>
    <phoneticPr fontId="11" type="noConversion"/>
  </si>
  <si>
    <t>기준점수</t>
    <phoneticPr fontId="11" type="noConversion"/>
  </si>
  <si>
    <t>지정번호
(활용년도)</t>
    <phoneticPr fontId="11" type="noConversion"/>
  </si>
  <si>
    <t>인정
기관명</t>
  </si>
  <si>
    <t>제ㅇㅇㅇ호
(2007)</t>
    <phoneticPr fontId="11" type="noConversion"/>
  </si>
  <si>
    <t>등록번호
(활용년도)</t>
    <phoneticPr fontId="11" type="noConversion"/>
  </si>
  <si>
    <t>10-1100000
(2013)</t>
    <phoneticPr fontId="11" type="noConversion"/>
  </si>
  <si>
    <t>존속(예정)기간
만료일</t>
    <phoneticPr fontId="11" type="noConversion"/>
  </si>
  <si>
    <t>제ㅇㅇㅇ호
(2008)</t>
    <phoneticPr fontId="11" type="noConversion"/>
  </si>
  <si>
    <t>경과기간</t>
    <phoneticPr fontId="11" type="noConversion"/>
  </si>
  <si>
    <t>기술
개발자수</t>
    <phoneticPr fontId="11" type="noConversion"/>
  </si>
  <si>
    <t>경과기간
가중치</t>
    <phoneticPr fontId="11" type="noConversion"/>
  </si>
  <si>
    <t>예) 건기법 제20조 등</t>
    <phoneticPr fontId="11" type="noConversion"/>
  </si>
  <si>
    <t>* 교육수료증 상에 건설기술진흥법 제20조 등 또는 관련 교육기관이 건설기술법 등에 지정된 기관임을 확인할 수 있는 증거서류를 반드시 첨부하여야 함</t>
    <phoneticPr fontId="11" type="noConversion"/>
  </si>
  <si>
    <t>건설사업관리용역업자</t>
    <phoneticPr fontId="11" type="noConversion"/>
  </si>
  <si>
    <t>참여기술자</t>
    <phoneticPr fontId="11" type="noConversion"/>
  </si>
  <si>
    <t>상주기술자</t>
    <phoneticPr fontId="11" type="noConversion"/>
  </si>
  <si>
    <t>기술지원기술자</t>
    <phoneticPr fontId="11" type="noConversion"/>
  </si>
  <si>
    <t>13. 청년신규기술자의 참여</t>
    <phoneticPr fontId="11" type="noConversion"/>
  </si>
  <si>
    <t>기술지원기술자의 당해용역 포함 10개이상의 현장배치, 부정당업자 제재</t>
    <phoneticPr fontId="11" type="noConversion"/>
  </si>
  <si>
    <t>오류 (제출한 평가자료중 입찰공고일 기준하여 상주기술자의 이중배치</t>
    <phoneticPr fontId="11" type="noConversion"/>
  </si>
  <si>
    <t>아무런 관련이 없음을 확인하며, 건설사업관리용역업자로 선정될 경우 관계법령에 따라</t>
    <phoneticPr fontId="11" type="noConversion"/>
  </si>
  <si>
    <t>성실히 건설사업관리업무를 수행할 것임을 확인합니다.</t>
    <phoneticPr fontId="11" type="noConversion"/>
  </si>
  <si>
    <t>15. 부패행위 관련자</t>
    <phoneticPr fontId="11" type="noConversion"/>
  </si>
  <si>
    <t xml:space="preserve">   15) 부패행위 관련자</t>
    <phoneticPr fontId="11" type="noConversion"/>
  </si>
  <si>
    <t>8. 부실벌점</t>
    <phoneticPr fontId="11" type="noConversion"/>
  </si>
  <si>
    <t>9.  재정상태,투자실적</t>
    <phoneticPr fontId="11" type="noConversion"/>
  </si>
  <si>
    <t>10. 건설기술개발·활용실적</t>
    <phoneticPr fontId="11" type="noConversion"/>
  </si>
  <si>
    <t>11. 교육훈련</t>
    <phoneticPr fontId="11" type="noConversion"/>
  </si>
  <si>
    <t>14. 공사비절감 감리원</t>
    <phoneticPr fontId="11" type="noConversion"/>
  </si>
  <si>
    <t xml:space="preserve">* 업무중첩도 참여기술자수에 따라 나누어 계산하지 않음 </t>
    <phoneticPr fontId="11" type="noConversion"/>
  </si>
  <si>
    <t>보조기술자</t>
    <phoneticPr fontId="11" type="noConversion"/>
  </si>
  <si>
    <t>책임
기술자</t>
    <phoneticPr fontId="11" type="noConversion"/>
  </si>
  <si>
    <t xml:space="preserve">    8) 부실벌점 </t>
    <phoneticPr fontId="11" type="noConversion"/>
  </si>
  <si>
    <t xml:space="preserve">   16) 업무중첩도</t>
    <phoneticPr fontId="11" type="noConversion"/>
  </si>
  <si>
    <t xml:space="preserve">   17) 서약서</t>
    <phoneticPr fontId="11" type="noConversion"/>
  </si>
  <si>
    <t>16. 업무중첩도</t>
    <phoneticPr fontId="11" type="noConversion"/>
  </si>
  <si>
    <t>17. 서     약      서</t>
    <phoneticPr fontId="11" type="noConversion"/>
  </si>
  <si>
    <t xml:space="preserve">4. 참여기술자 경력, 유사용역수행실적 등의 증명서류에는 해당 항목에 표시(형광펜, 사인펜 등)를 
    하여 주시기 바랍니다. </t>
    <phoneticPr fontId="11" type="noConversion"/>
  </si>
  <si>
    <t>가감점</t>
    <phoneticPr fontId="11" type="noConversion"/>
  </si>
  <si>
    <t>전화</t>
    <phoneticPr fontId="11" type="noConversion"/>
  </si>
  <si>
    <r>
      <t xml:space="preserve">재정
상태
</t>
    </r>
    <r>
      <rPr>
        <b/>
        <i/>
        <u/>
        <sz val="12"/>
        <rFont val="돋움"/>
        <family val="3"/>
        <charset val="129"/>
      </rPr>
      <t>(3)</t>
    </r>
    <phoneticPr fontId="11" type="noConversion"/>
  </si>
  <si>
    <r>
      <t xml:space="preserve">계
</t>
    </r>
    <r>
      <rPr>
        <b/>
        <i/>
        <u/>
        <sz val="12"/>
        <rFont val="돋움"/>
        <family val="3"/>
        <charset val="129"/>
      </rPr>
      <t>(60)</t>
    </r>
    <phoneticPr fontId="11" type="noConversion"/>
  </si>
  <si>
    <r>
      <rPr>
        <sz val="10"/>
        <rFont val="돋움"/>
        <family val="3"/>
        <charset val="129"/>
      </rPr>
      <t>입찰참가제한 등</t>
    </r>
    <r>
      <rPr>
        <b/>
        <i/>
        <u/>
        <sz val="10"/>
        <rFont val="돋움"/>
        <family val="3"/>
        <charset val="129"/>
      </rPr>
      <t xml:space="preserve">
(7)</t>
    </r>
    <phoneticPr fontId="11" type="noConversion"/>
  </si>
  <si>
    <r>
      <rPr>
        <sz val="10"/>
        <rFont val="돋움"/>
        <family val="3"/>
        <charset val="129"/>
      </rPr>
      <t>부실벌점</t>
    </r>
    <r>
      <rPr>
        <b/>
        <i/>
        <u/>
        <sz val="10"/>
        <rFont val="돋움"/>
        <family val="3"/>
        <charset val="129"/>
      </rPr>
      <t xml:space="preserve">
(5)</t>
    </r>
    <phoneticPr fontId="11" type="noConversion"/>
  </si>
  <si>
    <r>
      <t xml:space="preserve">개발활용실적
</t>
    </r>
    <r>
      <rPr>
        <b/>
        <i/>
        <u/>
        <sz val="12"/>
        <rFont val="돋움"/>
        <family val="3"/>
        <charset val="129"/>
      </rPr>
      <t>(3)</t>
    </r>
    <phoneticPr fontId="11" type="noConversion"/>
  </si>
  <si>
    <r>
      <t xml:space="preserve">투자실적
</t>
    </r>
    <r>
      <rPr>
        <b/>
        <i/>
        <u/>
        <sz val="12"/>
        <rFont val="돋움"/>
        <family val="3"/>
        <charset val="129"/>
      </rPr>
      <t>(7)</t>
    </r>
    <phoneticPr fontId="11" type="noConversion"/>
  </si>
  <si>
    <r>
      <t xml:space="preserve">건설사업관리용역업자
</t>
    </r>
    <r>
      <rPr>
        <b/>
        <i/>
        <u/>
        <sz val="12"/>
        <rFont val="돋움"/>
        <family val="3"/>
        <charset val="129"/>
      </rPr>
      <t>(3)</t>
    </r>
    <phoneticPr fontId="11" type="noConversion"/>
  </si>
  <si>
    <r>
      <t xml:space="preserve">참여기술자
</t>
    </r>
    <r>
      <rPr>
        <b/>
        <i/>
        <u/>
        <sz val="12"/>
        <rFont val="돋움"/>
        <family val="3"/>
        <charset val="129"/>
      </rPr>
      <t>(2)</t>
    </r>
    <phoneticPr fontId="11" type="noConversion"/>
  </si>
  <si>
    <r>
      <rPr>
        <sz val="10"/>
        <rFont val="돋움"/>
        <family val="3"/>
        <charset val="129"/>
      </rPr>
      <t>신용도</t>
    </r>
    <r>
      <rPr>
        <b/>
        <i/>
        <u/>
        <sz val="10"/>
        <rFont val="돋움"/>
        <family val="3"/>
        <charset val="129"/>
      </rPr>
      <t xml:space="preserve">
(15)</t>
    </r>
    <phoneticPr fontId="11" type="noConversion"/>
  </si>
  <si>
    <t>점수</t>
    <phoneticPr fontId="11" type="noConversion"/>
  </si>
  <si>
    <t>붙임 : 1. 신기술지정서 및 실적확인서 사본("사실과과 상위없음" 인감 날인)제출 가능</t>
    <phoneticPr fontId="11" type="noConversion"/>
  </si>
  <si>
    <t>5-2. 직무분야 경력현황</t>
    <phoneticPr fontId="11" type="noConversion"/>
  </si>
  <si>
    <t>직무분야경력</t>
    <phoneticPr fontId="11" type="noConversion"/>
  </si>
  <si>
    <t>직무분야</t>
    <phoneticPr fontId="11" type="noConversion"/>
  </si>
  <si>
    <r>
      <t xml:space="preserve">용역완수일이 </t>
    </r>
    <r>
      <rPr>
        <b/>
        <sz val="10"/>
        <color indexed="10"/>
        <rFont val="돋움"/>
        <family val="3"/>
        <charset val="129"/>
      </rPr>
      <t xml:space="preserve">1994-03-02 </t>
    </r>
    <r>
      <rPr>
        <b/>
        <sz val="10"/>
        <rFont val="돋움"/>
        <family val="3"/>
        <charset val="129"/>
      </rPr>
      <t>이전이므로
중첩되는 용역임</t>
    </r>
    <phoneticPr fontId="11" type="noConversion"/>
  </si>
  <si>
    <t>용역완수일</t>
    <phoneticPr fontId="11" type="noConversion"/>
  </si>
  <si>
    <t>삭제</t>
    <phoneticPr fontId="11" type="noConversion"/>
  </si>
  <si>
    <t xml:space="preserve">  주 ) 1. 위의 서류 증서는 사본제출이 가능하며 사본제출 시 사실과상이없음 명시하고 사용인감 날인바람</t>
    <phoneticPr fontId="11" type="noConversion"/>
  </si>
  <si>
    <t xml:space="preserve">   14) 공사비절감기여 기술자</t>
    <phoneticPr fontId="11" type="noConversion"/>
  </si>
  <si>
    <t>본 업체(인)는 0000 수요 " 0000000 민간투자(BTL)시설사업 건설사업관리용역"</t>
    <phoneticPr fontId="11" type="noConversion"/>
  </si>
  <si>
    <t>용역업자 선정과 관련하여 동 사업에 참여한 사업시행자(계열사 포함)와</t>
    <phoneticPr fontId="11" type="noConversion"/>
  </si>
  <si>
    <t>18.  참여기술자 동의서</t>
    <phoneticPr fontId="11" type="noConversion"/>
  </si>
  <si>
    <t>건설사업관리기술자로 참여하는 것에 동의하며, 건설사업관리기술자로 투입될 경우</t>
    <phoneticPr fontId="11" type="noConversion"/>
  </si>
  <si>
    <t>관계법령에 따라 성실히 건설사업관리업무를 수행할 것임을 확인합니다.</t>
    <phoneticPr fontId="11" type="noConversion"/>
  </si>
  <si>
    <t>서명(또는 인)</t>
    <phoneticPr fontId="11" type="noConversion"/>
  </si>
  <si>
    <t>본인은 0000 수요 " 0000000 건설사업관리용역"의 사업수행능력평가에</t>
    <phoneticPr fontId="11" type="noConversion"/>
  </si>
  <si>
    <t>강 o o</t>
    <phoneticPr fontId="11" type="noConversion"/>
  </si>
  <si>
    <t>김 o o</t>
    <phoneticPr fontId="11" type="noConversion"/>
  </si>
  <si>
    <t>전문분야</t>
    <phoneticPr fontId="11" type="noConversion"/>
  </si>
  <si>
    <t>직무분야
경력조사표</t>
    <phoneticPr fontId="11" type="noConversion"/>
  </si>
  <si>
    <t>해당분야
경력조사표</t>
    <phoneticPr fontId="11" type="noConversion"/>
  </si>
  <si>
    <t>붙임 1.건설기술자 경력증명서(원본) 1부.</t>
    <phoneticPr fontId="11" type="noConversion"/>
  </si>
  <si>
    <t>붙임 1. 건설기술자 보유증명서 1부.</t>
    <phoneticPr fontId="11" type="noConversion"/>
  </si>
  <si>
    <t xml:space="preserve">   18)  확인서{민간투자(BTL)사업 건설사업관리용역일 경우 반드시 합본하여 제출하여야함}</t>
    <phoneticPr fontId="11" type="noConversion"/>
  </si>
  <si>
    <t xml:space="preserve">   19) 참여기술자 동의서</t>
    <phoneticPr fontId="11" type="noConversion"/>
  </si>
  <si>
    <t>20. 해당 용역의 사업 책임 및 분야별 책임기술자 경력 평가</t>
    <phoneticPr fontId="11" type="noConversion"/>
  </si>
  <si>
    <r>
      <t xml:space="preserve">※ 경력 기산일은 건설기술인력의 경력인정 방법 절차 기준 개정(국토부, </t>
    </r>
    <r>
      <rPr>
        <b/>
        <sz val="14"/>
        <color indexed="10"/>
        <rFont val="돋움"/>
        <family val="3"/>
        <charset val="129"/>
      </rPr>
      <t>2010.2.3.</t>
    </r>
    <r>
      <rPr>
        <b/>
        <sz val="12"/>
        <color indexed="10"/>
        <rFont val="돋움"/>
        <family val="3"/>
        <charset val="129"/>
      </rPr>
      <t>) 이후부터 산정</t>
    </r>
    <phoneticPr fontId="11" type="noConversion"/>
  </si>
  <si>
    <t xml:space="preserve">★ 경력증명서의 용역명 등 해당사항에 표시(형광펜, 사인펜 등)하여 주시기 바랍니다. </t>
    <phoneticPr fontId="11" type="noConversion"/>
  </si>
  <si>
    <t>20-1. 기술자 해당 용역 경력</t>
    <phoneticPr fontId="11" type="noConversion"/>
  </si>
  <si>
    <t>생년월일</t>
    <phoneticPr fontId="11" type="noConversion"/>
  </si>
  <si>
    <t>책임정도</t>
    <phoneticPr fontId="11" type="noConversion"/>
  </si>
  <si>
    <t>가가가</t>
    <phoneticPr fontId="11" type="noConversion"/>
  </si>
  <si>
    <t>79.03.01</t>
    <phoneticPr fontId="11" type="noConversion"/>
  </si>
  <si>
    <t>AAA</t>
    <phoneticPr fontId="11" type="noConversion"/>
  </si>
  <si>
    <t>BBB</t>
    <phoneticPr fontId="11" type="noConversion"/>
  </si>
  <si>
    <t>CCC</t>
    <phoneticPr fontId="11" type="noConversion"/>
  </si>
  <si>
    <t>DDD</t>
    <phoneticPr fontId="11" type="noConversion"/>
  </si>
  <si>
    <t>EEE</t>
    <phoneticPr fontId="11" type="noConversion"/>
  </si>
  <si>
    <t>FFF</t>
    <phoneticPr fontId="11" type="noConversion"/>
  </si>
  <si>
    <t>GGG</t>
    <phoneticPr fontId="11" type="noConversion"/>
  </si>
  <si>
    <t>HHH</t>
    <phoneticPr fontId="11" type="noConversion"/>
  </si>
  <si>
    <t>20-1-1. 평가대상기술자 해당 용역 전체경력일 산정 방법</t>
    <phoneticPr fontId="11" type="noConversion"/>
  </si>
  <si>
    <t xml:space="preserve">  : 20-1. 평가대상기술자 해당 용역 경력 중 참여일수가 마이너스인 용역 및 녹색으로 칠해진 용역을 삭제 후 산정 (참여기간이 중첩되는 용역임)</t>
    <phoneticPr fontId="11" type="noConversion"/>
  </si>
  <si>
    <t>건설분야전체경력</t>
    <phoneticPr fontId="11" type="noConversion"/>
  </si>
  <si>
    <t>나나나</t>
    <phoneticPr fontId="11" type="noConversion"/>
  </si>
  <si>
    <t>69.01.01</t>
    <phoneticPr fontId="11" type="noConversion"/>
  </si>
  <si>
    <t>다다다</t>
    <phoneticPr fontId="11" type="noConversion"/>
  </si>
  <si>
    <t>66.01.02</t>
    <phoneticPr fontId="11" type="noConversion"/>
  </si>
  <si>
    <t>20-1-2. 사업책임기술자 , 상주, 기술지원기술자의  사업책임, 분야별책임 등 해당 경력일 산정 방법</t>
    <phoneticPr fontId="11" type="noConversion"/>
  </si>
  <si>
    <t xml:space="preserve">  20-1. 사업책임기술자 등 해당 용역 경력 중 책임정도에 따라 산정 (단, 참여기간이 중첩되는 용역일 경우 우선순위를 적용하여 산정)</t>
    <phoneticPr fontId="11" type="noConversion"/>
  </si>
  <si>
    <t>예  시</t>
    <phoneticPr fontId="11" type="noConversion"/>
  </si>
  <si>
    <t>경력일</t>
    <phoneticPr fontId="11" type="noConversion"/>
  </si>
  <si>
    <t>상주</t>
    <phoneticPr fontId="11" type="noConversion"/>
  </si>
  <si>
    <t>기술지원</t>
    <phoneticPr fontId="11" type="noConversion"/>
  </si>
  <si>
    <t>해당경력 산정</t>
    <phoneticPr fontId="11" type="noConversion"/>
  </si>
  <si>
    <t>책임건설사업관리</t>
    <phoneticPr fontId="11" type="noConversion"/>
  </si>
  <si>
    <t>-</t>
    <phoneticPr fontId="11" type="noConversion"/>
  </si>
  <si>
    <t>20-2. 사업책임 및 분야책임기술자 평가</t>
    <phoneticPr fontId="11" type="noConversion"/>
  </si>
  <si>
    <t>성명</t>
    <phoneticPr fontId="11" type="noConversion"/>
  </si>
  <si>
    <t>전체경력
(단위:일)</t>
    <phoneticPr fontId="11" type="noConversion"/>
  </si>
  <si>
    <t>건설사업관리</t>
    <phoneticPr fontId="11" type="noConversion"/>
  </si>
  <si>
    <t>설계</t>
    <phoneticPr fontId="11" type="noConversion"/>
  </si>
  <si>
    <t>건진법</t>
    <phoneticPr fontId="11" type="noConversion"/>
  </si>
  <si>
    <t>책임건설
사업관리기술자</t>
    <phoneticPr fontId="11" type="noConversion"/>
  </si>
  <si>
    <t>상주기술자</t>
    <phoneticPr fontId="11" type="noConversion"/>
  </si>
  <si>
    <t>기술지원기술자</t>
    <phoneticPr fontId="11" type="noConversion"/>
  </si>
  <si>
    <t>사업
책임기술자</t>
    <phoneticPr fontId="11" type="noConversion"/>
  </si>
  <si>
    <t>분야별
책임기술자</t>
    <phoneticPr fontId="11" type="noConversion"/>
  </si>
  <si>
    <t>참여기술자</t>
    <phoneticPr fontId="11" type="noConversion"/>
  </si>
  <si>
    <t>주택법</t>
    <phoneticPr fontId="11" type="noConversion"/>
  </si>
  <si>
    <t>총괄감리원</t>
    <phoneticPr fontId="11" type="noConversion"/>
  </si>
  <si>
    <t>상주감리원,
상주감리원(신규)</t>
    <phoneticPr fontId="11" type="noConversion"/>
  </si>
  <si>
    <t>비상주감리원</t>
    <phoneticPr fontId="11" type="noConversion"/>
  </si>
  <si>
    <t>건축법</t>
    <phoneticPr fontId="11" type="noConversion"/>
  </si>
  <si>
    <t>책임 기술자</t>
    <phoneticPr fontId="11" type="noConversion"/>
  </si>
  <si>
    <t>분야기술자,
상주(건축사보)기술자</t>
    <phoneticPr fontId="11" type="noConversion"/>
  </si>
  <si>
    <t>평가</t>
    <phoneticPr fontId="11" type="noConversion"/>
  </si>
  <si>
    <t>합산 비율</t>
    <phoneticPr fontId="11" type="noConversion"/>
  </si>
  <si>
    <t>삭제</t>
    <phoneticPr fontId="11" type="noConversion"/>
  </si>
  <si>
    <r>
      <t xml:space="preserve">용역완수일이 </t>
    </r>
    <r>
      <rPr>
        <b/>
        <sz val="10"/>
        <color indexed="10"/>
        <rFont val="돋움"/>
        <family val="3"/>
        <charset val="129"/>
      </rPr>
      <t xml:space="preserve">2016-03-02 
</t>
    </r>
    <r>
      <rPr>
        <b/>
        <sz val="10"/>
        <rFont val="돋움"/>
        <family val="3"/>
        <charset val="129"/>
      </rPr>
      <t>이전이므로
중첩되는 용역임</t>
    </r>
    <phoneticPr fontId="11" type="noConversion"/>
  </si>
  <si>
    <t>중복기간 제외</t>
    <phoneticPr fontId="11" type="noConversion"/>
  </si>
  <si>
    <t>전체용역기간</t>
    <phoneticPr fontId="11" type="noConversion"/>
  </si>
  <si>
    <t>배점</t>
    <phoneticPr fontId="11" type="noConversion"/>
  </si>
  <si>
    <t>붙임 :  건설기술용역 실적 확인서 1부.</t>
    <phoneticPr fontId="11" type="noConversion"/>
  </si>
  <si>
    <t>설계와 시공단계를 포함한 건설사업관리 경력일 경우 : 입찰공고서, 과업지시서 등의 설계와 시공단계 건설사업관리를 증빙할 수 있는 서류를 첨부하셔야 합니다.</t>
    <phoneticPr fontId="11" type="noConversion"/>
  </si>
  <si>
    <t>2. 서류 사본제출이 가능하며 「조달청 건설사업관리용역사업자 사업수행능력 세부평가기준」
   [별첨 4]'확인각서 양식' 를 첨부하시기 바랍니다.</t>
    <phoneticPr fontId="11" type="noConversion"/>
  </si>
  <si>
    <t>3. 공동수급협정서는 반드시 나라장터시스템을 이용하여 작성하셔야 합니다.</t>
    <phoneticPr fontId="11" type="noConversion"/>
  </si>
  <si>
    <t>금액
(억원)</t>
    <phoneticPr fontId="11" type="noConversion"/>
  </si>
  <si>
    <t>적용비율</t>
    <phoneticPr fontId="11" type="noConversion"/>
  </si>
  <si>
    <t>점수</t>
    <phoneticPr fontId="11" type="noConversion"/>
  </si>
  <si>
    <t>12개월전</t>
    <phoneticPr fontId="11" type="noConversion"/>
  </si>
  <si>
    <t>11개월전</t>
    <phoneticPr fontId="11" type="noConversion"/>
  </si>
  <si>
    <t>10개월전</t>
    <phoneticPr fontId="11" type="noConversion"/>
  </si>
  <si>
    <t>9개월전</t>
    <phoneticPr fontId="11" type="noConversion"/>
  </si>
  <si>
    <t>8개월전</t>
    <phoneticPr fontId="11" type="noConversion"/>
  </si>
  <si>
    <t>7개월전</t>
    <phoneticPr fontId="11" type="noConversion"/>
  </si>
  <si>
    <t>6개월전</t>
    <phoneticPr fontId="11" type="noConversion"/>
  </si>
  <si>
    <t>5개월전</t>
    <phoneticPr fontId="11" type="noConversion"/>
  </si>
  <si>
    <t>4개월전</t>
    <phoneticPr fontId="11" type="noConversion"/>
  </si>
  <si>
    <t>3개월전</t>
    <phoneticPr fontId="11" type="noConversion"/>
  </si>
  <si>
    <t>2개월전</t>
    <phoneticPr fontId="11" type="noConversion"/>
  </si>
  <si>
    <t>1개월전</t>
    <phoneticPr fontId="11" type="noConversion"/>
  </si>
  <si>
    <t>평균고용인원(A)</t>
    <phoneticPr fontId="11" type="noConversion"/>
  </si>
  <si>
    <t>최근 1년간 신규 건설기술인 고용인원</t>
    <phoneticPr fontId="11" type="noConversion"/>
  </si>
  <si>
    <t>1개월전</t>
    <phoneticPr fontId="11" type="noConversion"/>
  </si>
  <si>
    <t>첨부 : 발주청 증명서 1부.</t>
    <phoneticPr fontId="11" type="noConversion"/>
  </si>
  <si>
    <t>2023.        .           .</t>
    <phoneticPr fontId="11" type="noConversion"/>
  </si>
  <si>
    <t>건설
기술인
신규
고용률</t>
    <phoneticPr fontId="9" type="noConversion"/>
  </si>
  <si>
    <t>건설
기술인
신규
고용률</t>
    <phoneticPr fontId="9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</si>
  <si>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신규 건설기술인은 현재 해당업체 재직 중인 자로 건설기술인 경력관리 수탁기관의 경력확인서에 최초로 입사등록된 자(이전 건설분야 근무경력이 없는 자)에 한한다.</t>
    </r>
  </si>
  <si>
    <t xml:space="preserve">붙임 </t>
  </si>
  <si>
    <t>1. 신규 건설기술인 관련협회 경력확인서 1부.</t>
  </si>
  <si>
    <t>2. 기타 증빙자료(기술인경력증명서, 4대보험가입증명서 등) 1부.</t>
  </si>
  <si>
    <t>※  증빙서류는 가격 개찰 이후에 제출합니다.</t>
  </si>
  <si>
    <t>합산벌점</t>
    <phoneticPr fontId="11" type="noConversion"/>
  </si>
  <si>
    <t>10.  건설기술개발활용실적(합계)</t>
    <phoneticPr fontId="11" type="noConversion"/>
  </si>
  <si>
    <t>회  사  명</t>
    <phoneticPr fontId="11" type="noConversion"/>
  </si>
  <si>
    <t>비  고
(지분율)</t>
    <phoneticPr fontId="11" type="noConversion"/>
  </si>
  <si>
    <t>ㅇㅇㅇㅇㅇㅇㅇㅇ</t>
    <phoneticPr fontId="11" type="noConversion"/>
  </si>
  <si>
    <t>ㅁㅁㅁㅁㅁㅁㅁㅁ</t>
    <phoneticPr fontId="11" type="noConversion"/>
  </si>
  <si>
    <t>신기술 개발실적</t>
    <phoneticPr fontId="11" type="noConversion"/>
  </si>
  <si>
    <t>신기술 활용실적</t>
    <phoneticPr fontId="11" type="noConversion"/>
  </si>
  <si>
    <t>특허 활용실적</t>
    <phoneticPr fontId="11" type="noConversion"/>
  </si>
  <si>
    <t>김조달</t>
    <phoneticPr fontId="11" type="noConversion"/>
  </si>
  <si>
    <t xml:space="preserve">       (HP : 010-0000-0000)</t>
    <phoneticPr fontId="11" type="noConversion"/>
  </si>
  <si>
    <t>분야별</t>
    <phoneticPr fontId="11" type="noConversion"/>
  </si>
  <si>
    <t>2026.        .           .</t>
    <phoneticPr fontId="11" type="noConversion"/>
  </si>
  <si>
    <t>최근 1년간 평균 고용인원</t>
    <phoneticPr fontId="11" type="noConversion"/>
  </si>
  <si>
    <t>신규고용인원(C)</t>
    <phoneticPr fontId="11" type="noConversion"/>
  </si>
  <si>
    <t>구조</t>
    <phoneticPr fontId="11" type="noConversion"/>
  </si>
  <si>
    <t>참 조 : 기술서비스국 건설기술계약과</t>
    <phoneticPr fontId="11" type="noConversion"/>
  </si>
  <si>
    <t>ㅇ 참여업체 및 참여건설기술인이 시행령 제87조에 따라 벌점을 받은 경우 시행령 [별표8]에서 정하는 기준에 따라 감점</t>
    <phoneticPr fontId="11" type="noConversion"/>
  </si>
  <si>
    <r>
      <t>0.5</t>
    </r>
    <r>
      <rPr>
        <sz val="9"/>
        <color indexed="8"/>
        <rFont val="휴먼명조"/>
        <family val="3"/>
        <charset val="129"/>
      </rPr>
      <t>점 미만</t>
    </r>
  </si>
  <si>
    <r>
      <t>20</t>
    </r>
    <r>
      <rPr>
        <sz val="9"/>
        <color indexed="8"/>
        <rFont val="휴먼명조"/>
        <family val="3"/>
        <charset val="129"/>
      </rPr>
      <t>점 이상</t>
    </r>
  </si>
  <si>
    <r>
      <t>점수</t>
    </r>
    <r>
      <rPr>
        <sz val="9"/>
        <color indexed="8"/>
        <rFont val="HCI Poppy"/>
        <family val="2"/>
      </rPr>
      <t>(</t>
    </r>
    <r>
      <rPr>
        <sz val="9"/>
        <color indexed="8"/>
        <rFont val="휴먼명조"/>
        <family val="3"/>
        <charset val="129"/>
      </rPr>
      <t>감점</t>
    </r>
    <r>
      <rPr>
        <sz val="9"/>
        <color indexed="8"/>
        <rFont val="HCI Poppy"/>
        <family val="2"/>
      </rPr>
      <t>)</t>
    </r>
  </si>
  <si>
    <r>
      <t>합산</t>
    </r>
    <r>
      <rPr>
        <sz val="9"/>
        <color indexed="8"/>
        <rFont val="Arial Unicode MS"/>
        <family val="3"/>
        <charset val="129"/>
      </rPr>
      <t>벌점</t>
    </r>
    <phoneticPr fontId="11" type="noConversion"/>
  </si>
  <si>
    <r>
      <t>0.5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1점 미만</t>
    </r>
    <phoneticPr fontId="11" type="noConversion"/>
  </si>
  <si>
    <r>
      <t>1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2점 미만</t>
    </r>
    <phoneticPr fontId="11" type="noConversion"/>
  </si>
  <si>
    <r>
      <t>2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5점 미만</t>
    </r>
    <phoneticPr fontId="11" type="noConversion"/>
  </si>
  <si>
    <r>
      <t>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10점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미만</t>
    </r>
    <phoneticPr fontId="11" type="noConversion"/>
  </si>
  <si>
    <r>
      <t>10</t>
    </r>
    <r>
      <rPr>
        <sz val="9"/>
        <color indexed="8"/>
        <rFont val="휴먼명조"/>
        <family val="3"/>
        <charset val="129"/>
      </rPr>
      <t xml:space="preserve">점 이상
</t>
    </r>
    <r>
      <rPr>
        <sz val="9"/>
        <color indexed="8"/>
        <rFont val="HCI Poppy"/>
        <family val="3"/>
        <charset val="129"/>
      </rPr>
      <t>15점 미만</t>
    </r>
    <phoneticPr fontId="11" type="noConversion"/>
  </si>
  <si>
    <r>
      <t>15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20점 미만</t>
    </r>
    <phoneticPr fontId="11" type="noConversion"/>
  </si>
  <si>
    <t>042) 0000-0000</t>
    <phoneticPr fontId="11" type="noConversion"/>
  </si>
  <si>
    <t>042) 0000-0001</t>
    <phoneticPr fontId="11" type="noConversion"/>
  </si>
  <si>
    <t>안중근</t>
    <phoneticPr fontId="11" type="noConversion"/>
  </si>
  <si>
    <t>김   구</t>
    <phoneticPr fontId="11" type="noConversion"/>
  </si>
  <si>
    <t>00.00.00.</t>
    <phoneticPr fontId="11" type="noConversion"/>
  </si>
  <si>
    <t xml:space="preserve">조달청 건설엔지니어링사업자 사업수행능력 세부평가기준(2025. 11. 28. 시행 2026. 1. 1.) </t>
    <phoneticPr fontId="11" type="noConversion"/>
  </si>
  <si>
    <r>
      <t xml:space="preserve">비율 </t>
    </r>
    <r>
      <rPr>
        <sz val="9"/>
        <color indexed="8"/>
        <rFont val="HCI Poppy"/>
        <family val="2"/>
      </rPr>
      <t>(%)</t>
    </r>
  </si>
  <si>
    <r>
      <t>1%</t>
    </r>
    <r>
      <rPr>
        <sz val="9"/>
        <color indexed="8"/>
        <rFont val="휴먼명조"/>
        <family val="3"/>
        <charset val="129"/>
      </rPr>
      <t xml:space="preserve">이상 </t>
    </r>
    <r>
      <rPr>
        <sz val="9"/>
        <color indexed="8"/>
        <rFont val="HCI Poppy"/>
        <family val="2"/>
      </rPr>
      <t>2%</t>
    </r>
    <r>
      <rPr>
        <sz val="9"/>
        <color indexed="8"/>
        <rFont val="휴먼명조"/>
        <family val="3"/>
        <charset val="129"/>
      </rPr>
      <t>미만</t>
    </r>
  </si>
  <si>
    <r>
      <t>2%</t>
    </r>
    <r>
      <rPr>
        <sz val="9"/>
        <color indexed="8"/>
        <rFont val="휴먼명조"/>
        <family val="3"/>
        <charset val="129"/>
      </rPr>
      <t xml:space="preserve">이상 </t>
    </r>
    <r>
      <rPr>
        <sz val="9"/>
        <color indexed="8"/>
        <rFont val="HCI Poppy"/>
        <family val="2"/>
      </rPr>
      <t>3%</t>
    </r>
    <r>
      <rPr>
        <sz val="9"/>
        <color indexed="8"/>
        <rFont val="휴먼명조"/>
        <family val="3"/>
        <charset val="129"/>
      </rPr>
      <t>미만</t>
    </r>
  </si>
  <si>
    <r>
      <t>3%</t>
    </r>
    <r>
      <rPr>
        <sz val="9"/>
        <color indexed="8"/>
        <rFont val="휴먼명조"/>
        <family val="3"/>
        <charset val="129"/>
      </rPr>
      <t>이상</t>
    </r>
  </si>
  <si>
    <r>
      <t>4%</t>
    </r>
    <r>
      <rPr>
        <sz val="9"/>
        <color indexed="8"/>
        <rFont val="휴먼명조"/>
        <family val="3"/>
        <charset val="129"/>
      </rPr>
      <t>미만</t>
    </r>
  </si>
  <si>
    <r>
      <t>4%</t>
    </r>
    <r>
      <rPr>
        <sz val="9"/>
        <color indexed="8"/>
        <rFont val="휴먼명조"/>
        <family val="3"/>
        <charset val="129"/>
      </rPr>
      <t>이상</t>
    </r>
  </si>
  <si>
    <t>가산점수</t>
  </si>
  <si>
    <r>
      <t>0.1</t>
    </r>
    <r>
      <rPr>
        <sz val="9"/>
        <color indexed="8"/>
        <rFont val="휴먼명조"/>
        <family val="3"/>
        <charset val="129"/>
      </rPr>
      <t>점</t>
    </r>
  </si>
  <si>
    <r>
      <t>0.2</t>
    </r>
    <r>
      <rPr>
        <sz val="9"/>
        <color indexed="8"/>
        <rFont val="휴먼명조"/>
        <family val="3"/>
        <charset val="129"/>
      </rPr>
      <t>점</t>
    </r>
  </si>
  <si>
    <r>
      <t>0.3</t>
    </r>
    <r>
      <rPr>
        <sz val="9"/>
        <color indexed="8"/>
        <rFont val="휴먼명조"/>
        <family val="3"/>
        <charset val="129"/>
      </rPr>
      <t>점</t>
    </r>
  </si>
  <si>
    <r>
      <t>0.4</t>
    </r>
    <r>
      <rPr>
        <sz val="9"/>
        <color indexed="8"/>
        <rFont val="휴먼명조"/>
        <family val="3"/>
        <charset val="129"/>
      </rPr>
      <t>점</t>
    </r>
  </si>
  <si>
    <t xml:space="preserve">ㅇ 최근 1년간 신규고용인원 / 최근 1년간 평균 고용인원×100 (%) </t>
    <phoneticPr fontId="11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</si>
  <si>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건설엔지니어링사업자 등록일로부터</t>
    </r>
    <r>
      <rPr>
        <b/>
        <u/>
        <sz val="11"/>
        <rFont val="돋움"/>
        <family val="3"/>
        <charset val="129"/>
      </rPr>
      <t xml:space="preserve"> 6개월이 경과</t>
    </r>
    <r>
      <rPr>
        <sz val="11"/>
        <rFont val="돋움"/>
        <family val="3"/>
        <charset val="129"/>
      </rPr>
      <t>된 업체인 경우에만 해당한다.</t>
    </r>
    <phoneticPr fontId="11" type="noConversion"/>
  </si>
  <si>
    <t xml:space="preserve">조달청 건설엔지니어링사업자 사업수행능력 세부평가기준
(2025. 11. 28. 시행 2026. 1. 1.) </t>
    <phoneticPr fontId="11" type="noConversion"/>
  </si>
  <si>
    <t>R26DC00000000 - 00</t>
    <phoneticPr fontId="11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</si>
  <si>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최근 1년간 평균 고용인원은 건설기술인 경력관리 수탁기관에 신고한 자로서 해당업체의 기술인 재직인원(월말 단위)을 월단위로 평균하여 산정한다.(각 수탁기관의 건설기술인 신규고용율 확인서를 합산평가)</t>
    </r>
    <phoneticPr fontId="11" type="noConversion"/>
  </si>
  <si>
    <r>
      <rPr>
        <b/>
        <sz val="12"/>
        <color indexed="10"/>
        <rFont val="돋움"/>
        <family val="3"/>
        <charset val="129"/>
      </rPr>
      <t>※</t>
    </r>
    <r>
      <rPr>
        <sz val="12"/>
        <rFont val="돋움"/>
        <family val="3"/>
        <charset val="129"/>
      </rPr>
      <t>10) 건설기술개발활용실적</t>
    </r>
    <phoneticPr fontId="11" type="noConversion"/>
  </si>
  <si>
    <r>
      <rPr>
        <b/>
        <sz val="12"/>
        <color indexed="10"/>
        <rFont val="돋움"/>
        <family val="3"/>
        <charset val="129"/>
      </rPr>
      <t>※</t>
    </r>
    <r>
      <rPr>
        <sz val="12"/>
        <rFont val="돋움"/>
        <family val="3"/>
        <charset val="129"/>
      </rPr>
      <t>9) 재정상태,투자실적</t>
    </r>
    <phoneticPr fontId="11" type="noConversion"/>
  </si>
  <si>
    <r>
      <rPr>
        <b/>
        <sz val="12"/>
        <color indexed="10"/>
        <rFont val="돋움"/>
        <family val="3"/>
        <charset val="129"/>
      </rPr>
      <t>※</t>
    </r>
    <r>
      <rPr>
        <sz val="12"/>
        <rFont val="돋움"/>
        <family val="3"/>
        <charset val="129"/>
      </rPr>
      <t>6) 유사용역수행실적</t>
    </r>
    <phoneticPr fontId="11" type="noConversion"/>
  </si>
  <si>
    <r>
      <rPr>
        <b/>
        <sz val="12"/>
        <color indexed="10"/>
        <rFont val="돋움"/>
        <family val="3"/>
        <charset val="129"/>
      </rPr>
      <t>※</t>
    </r>
    <r>
      <rPr>
        <sz val="12"/>
        <rFont val="돋움"/>
        <family val="3"/>
        <charset val="129"/>
      </rPr>
      <t>5) 참여기술자 경력사항</t>
    </r>
    <phoneticPr fontId="11" type="noConversion"/>
  </si>
  <si>
    <r>
      <rPr>
        <b/>
        <sz val="12"/>
        <color indexed="10"/>
        <rFont val="돋움"/>
        <family val="3"/>
        <charset val="129"/>
      </rPr>
      <t>※</t>
    </r>
    <r>
      <rPr>
        <sz val="12"/>
        <rFont val="돋움"/>
        <family val="3"/>
        <charset val="129"/>
      </rPr>
      <t>4) 참여기술자 자격사항</t>
    </r>
    <phoneticPr fontId="11" type="noConversion"/>
  </si>
  <si>
    <r>
      <rPr>
        <b/>
        <sz val="12"/>
        <color indexed="10"/>
        <rFont val="돋움"/>
        <family val="3"/>
        <charset val="129"/>
      </rPr>
      <t>※</t>
    </r>
    <r>
      <rPr>
        <sz val="12"/>
        <rFont val="돋움"/>
        <family val="3"/>
        <charset val="129"/>
      </rPr>
      <t>13) 건설기술인 신규고용률</t>
    </r>
    <phoneticPr fontId="11" type="noConversion"/>
  </si>
  <si>
    <r>
      <t xml:space="preserve">   11) 교육훈련</t>
    </r>
    <r>
      <rPr>
        <b/>
        <sz val="12"/>
        <color indexed="10"/>
        <rFont val="돋움"/>
        <family val="3"/>
        <charset val="129"/>
      </rPr>
      <t>(35시간, 1주이상 기준에 맞는지 추가확인필요)</t>
    </r>
    <phoneticPr fontId="11" type="noConversion"/>
  </si>
  <si>
    <r>
      <t xml:space="preserve">   7) 입찰참가제한 및 업무정지</t>
    </r>
    <r>
      <rPr>
        <b/>
        <sz val="12"/>
        <color indexed="10"/>
        <rFont val="돋움"/>
        <family val="3"/>
        <charset val="129"/>
      </rPr>
      <t xml:space="preserve">(등록시 관련 내용을 누락할 수 있어서 추가확인필요) </t>
    </r>
    <phoneticPr fontId="11" type="noConversion"/>
  </si>
  <si>
    <t xml:space="preserve"> ※20) 적격심사 기술자 경력(지방계약법)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</si>
</sst>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1" formatCode="_-* #,##0_-;\-* #,##0_-;_-* &quot;-&quot;_-;_-@_-"/>
    <numFmt numFmtId="43" formatCode="_-* #,##0.00_-;\-* #,##0.00_-;_-* &quot;-&quot;??_-;_-@_-"/>
    <numFmt numFmtId="177" formatCode="0.0"/>
    <numFmt numFmtId="178" formatCode="_-* #,##0.0_-;\-* #,##0.0_-;_-* &quot;-&quot;_-;_-@_-"/>
    <numFmt numFmtId="179" formatCode="_ * #,##0_ ;_ * \-#,##0_ ;_ * &quot;-&quot;_ ;_ @_ "/>
    <numFmt numFmtId="180" formatCode="_ * #,##0.00_ ;_ * \-#,##0.00_ ;_ * &quot;-&quot;??_ ;_ @_ "/>
    <numFmt numFmtId="181" formatCode="_ &quot;SFr.&quot;\ * #,##0.00_ ;_ &quot;SFr.&quot;\ * \-#,##0.00_ ;_ &quot;SFr.&quot;\ * &quot;-&quot;??_ ;_ @_ "/>
    <numFmt numFmtId="182" formatCode="#,##0;[Red]&quot;-&quot;#,##0"/>
    <numFmt numFmtId="183" formatCode="_-* #,##0.0_-;\-* #,##0.0_-;_-* &quot;-&quot;??_-;_-@_-"/>
    <numFmt numFmtId="184" formatCode="0_ "/>
    <numFmt numFmtId="185" formatCode="_-* #,##0.00_-;\-* #,##0.00_-;_-* &quot;-&quot;_-;_-@_-"/>
    <numFmt numFmtId="186" formatCode="0_);[Red]\(0\)"/>
    <numFmt numFmtId="188" formatCode="0.00_);[Red]\(0.00\)"/>
    <numFmt numFmtId="191" formatCode="0.0%"/>
    <numFmt numFmtId="193" formatCode="#,##0.0_ "/>
    <numFmt numFmtId="199" formatCode="0.0_ "/>
    <numFmt numFmtId="201" formatCode="0.00_ "/>
    <numFmt numFmtId="224" formatCode="0.0&quot;억원&quot;"/>
    <numFmt numFmtId="226" formatCode="0.0000%"/>
    <numFmt numFmtId="232" formatCode="0.00&quot;점&quot;"/>
    <numFmt numFmtId="233" formatCode="yy&quot;/&quot;m&quot;/&quot;d"/>
  </numFmts>
  <fonts count="97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u/>
      <sz val="14"/>
      <name val="돋움"/>
      <family val="3"/>
      <charset val="129"/>
    </font>
    <font>
      <b/>
      <sz val="16"/>
      <name val="돋움"/>
      <family val="3"/>
      <charset val="129"/>
    </font>
    <font>
      <sz val="14"/>
      <name val="돋움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u/>
      <sz val="12"/>
      <name val="돋움"/>
      <family val="3"/>
      <charset val="129"/>
    </font>
    <font>
      <b/>
      <i/>
      <u/>
      <sz val="12"/>
      <name val="돋움"/>
      <family val="3"/>
      <charset val="129"/>
    </font>
    <font>
      <b/>
      <u/>
      <sz val="12"/>
      <name val="Symbol"/>
      <family val="1"/>
      <charset val="2"/>
    </font>
    <font>
      <b/>
      <u/>
      <sz val="16"/>
      <name val="돋움"/>
      <family val="3"/>
      <charset val="129"/>
    </font>
    <font>
      <sz val="11"/>
      <name val="돋움"/>
      <family val="3"/>
      <charset val="129"/>
    </font>
    <font>
      <b/>
      <sz val="9"/>
      <color indexed="81"/>
      <name val="굴림"/>
      <family val="3"/>
      <charset val="129"/>
    </font>
    <font>
      <b/>
      <u/>
      <sz val="20"/>
      <name val="돋움"/>
      <family val="3"/>
      <charset val="129"/>
    </font>
    <font>
      <b/>
      <sz val="15"/>
      <name val="돋움"/>
      <family val="3"/>
      <charset val="129"/>
    </font>
    <font>
      <sz val="12"/>
      <name val="궁서"/>
      <family val="1"/>
      <charset val="129"/>
    </font>
    <font>
      <b/>
      <sz val="11"/>
      <name val="궁서"/>
      <family val="1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0"/>
      <name val="궁서"/>
      <family val="1"/>
      <charset val="129"/>
    </font>
    <font>
      <sz val="11"/>
      <name val="궁서"/>
      <family val="1"/>
      <charset val="129"/>
    </font>
    <font>
      <b/>
      <sz val="11"/>
      <color indexed="10"/>
      <name val="궁서"/>
      <family val="1"/>
      <charset val="129"/>
    </font>
    <font>
      <b/>
      <sz val="14"/>
      <color indexed="8"/>
      <name val="돋움"/>
      <family val="3"/>
      <charset val="129"/>
    </font>
    <font>
      <sz val="9"/>
      <color indexed="81"/>
      <name val="굴림"/>
      <family val="3"/>
      <charset val="129"/>
    </font>
    <font>
      <sz val="11"/>
      <color indexed="10"/>
      <name val="궁서"/>
      <family val="1"/>
      <charset val="129"/>
    </font>
    <font>
      <b/>
      <sz val="10"/>
      <name val="궁서"/>
      <family val="1"/>
      <charset val="129"/>
    </font>
    <font>
      <sz val="10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i/>
      <u/>
      <sz val="10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10"/>
      <color indexed="10"/>
      <name val="돋움"/>
      <family val="3"/>
      <charset val="129"/>
    </font>
    <font>
      <b/>
      <sz val="11"/>
      <color indexed="10"/>
      <name val="맑은 고딕"/>
      <family val="3"/>
      <charset val="129"/>
    </font>
    <font>
      <b/>
      <sz val="12"/>
      <color indexed="10"/>
      <name val="돋움"/>
      <family val="3"/>
      <charset val="129"/>
    </font>
    <font>
      <b/>
      <sz val="14"/>
      <color indexed="10"/>
      <name val="돋움"/>
      <family val="3"/>
      <charset val="129"/>
    </font>
    <font>
      <b/>
      <sz val="9"/>
      <name val="돋움"/>
      <family val="3"/>
      <charset val="129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0"/>
      <name val="Tahoma"/>
      <family val="2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indexed="8"/>
      <name val="휴먼명조"/>
      <family val="3"/>
      <charset val="129"/>
    </font>
    <font>
      <sz val="9"/>
      <color indexed="8"/>
      <name val="HCI Poppy"/>
      <family val="2"/>
    </font>
    <font>
      <sz val="9"/>
      <color indexed="8"/>
      <name val="Arial Unicode MS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Arial"/>
      <family val="2"/>
    </font>
    <font>
      <sz val="9"/>
      <color indexed="8"/>
      <name val="HCI Poppy"/>
      <family val="3"/>
      <charset val="129"/>
    </font>
    <font>
      <b/>
      <sz val="11"/>
      <name val="HY목각파임B"/>
      <family val="1"/>
      <charset val="129"/>
    </font>
    <font>
      <sz val="11"/>
      <name val="HY중고딕"/>
      <family val="1"/>
      <charset val="129"/>
    </font>
    <font>
      <b/>
      <u/>
      <sz val="11"/>
      <name val="돋움"/>
      <family val="3"/>
      <charset val="129"/>
    </font>
    <font>
      <sz val="12"/>
      <name val="HY헤드라인M"/>
      <family val="1"/>
      <charset val="129"/>
    </font>
    <font>
      <b/>
      <sz val="12"/>
      <color indexed="10"/>
      <name val="돋움"/>
      <family val="3"/>
      <charset val="129"/>
    </font>
    <font>
      <b/>
      <sz val="11"/>
      <color rgb="FFFF0000"/>
      <name val="궁서"/>
      <family val="1"/>
      <charset val="129"/>
    </font>
    <font>
      <sz val="11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9"/>
      <color rgb="FF000000"/>
      <name val="휴먼명조"/>
      <family val="3"/>
      <charset val="129"/>
    </font>
    <font>
      <sz val="9"/>
      <color rgb="FF000000"/>
      <name val="HCI Poppy"/>
      <family val="2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HY헤드라인M"/>
      <family val="1"/>
      <charset val="129"/>
    </font>
  </fonts>
  <fills count="4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4506668294322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4">
    <xf numFmtId="0" fontId="0" fillId="0" borderId="0"/>
    <xf numFmtId="0" fontId="56" fillId="2" borderId="0" applyNumberFormat="0" applyBorder="0" applyAlignment="0" applyProtection="0">
      <alignment vertical="center"/>
    </xf>
    <xf numFmtId="0" fontId="56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56" fillId="7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9" borderId="0" applyNumberFormat="0" applyBorder="0" applyAlignment="0" applyProtection="0">
      <alignment vertical="center"/>
    </xf>
    <xf numFmtId="0" fontId="56" fillId="10" borderId="0" applyNumberFormat="0" applyBorder="0" applyAlignment="0" applyProtection="0">
      <alignment vertical="center"/>
    </xf>
    <xf numFmtId="0" fontId="56" fillId="5" borderId="0" applyNumberFormat="0" applyBorder="0" applyAlignment="0" applyProtection="0">
      <alignment vertical="center"/>
    </xf>
    <xf numFmtId="0" fontId="56" fillId="8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  <xf numFmtId="0" fontId="5" fillId="0" borderId="0"/>
    <xf numFmtId="0" fontId="57" fillId="16" borderId="0" applyNumberFormat="0" applyBorder="0" applyAlignment="0" applyProtection="0">
      <alignment vertical="center"/>
    </xf>
    <xf numFmtId="0" fontId="57" fillId="17" borderId="0" applyNumberFormat="0" applyBorder="0" applyAlignment="0" applyProtection="0">
      <alignment vertical="center"/>
    </xf>
    <xf numFmtId="0" fontId="57" fillId="18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9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0" borderId="3" applyNumberFormat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2" fillId="21" borderId="4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3" fillId="0" borderId="0"/>
    <xf numFmtId="0" fontId="62" fillId="0" borderId="0" applyNumberFormat="0" applyFill="0" applyBorder="0" applyAlignment="0" applyProtection="0">
      <alignment vertical="center"/>
    </xf>
    <xf numFmtId="0" fontId="63" fillId="23" borderId="5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64" fillId="0" borderId="6" applyNumberFormat="0" applyFill="0" applyAlignment="0" applyProtection="0">
      <alignment vertical="center"/>
    </xf>
    <xf numFmtId="0" fontId="65" fillId="0" borderId="7" applyNumberFormat="0" applyFill="0" applyAlignment="0" applyProtection="0">
      <alignment vertical="center"/>
    </xf>
    <xf numFmtId="0" fontId="66" fillId="7" borderId="3" applyNumberFormat="0" applyAlignment="0" applyProtection="0">
      <alignment vertical="center"/>
    </xf>
    <xf numFmtId="0" fontId="68" fillId="0" borderId="8" applyNumberFormat="0" applyFill="0" applyAlignment="0" applyProtection="0">
      <alignment vertical="center"/>
    </xf>
    <xf numFmtId="0" fontId="69" fillId="0" borderId="9" applyNumberFormat="0" applyFill="0" applyAlignment="0" applyProtection="0">
      <alignment vertical="center"/>
    </xf>
    <xf numFmtId="0" fontId="70" fillId="0" borderId="10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72" fillId="20" borderId="11" applyNumberFormat="0" applyAlignment="0" applyProtection="0">
      <alignment vertical="center"/>
    </xf>
    <xf numFmtId="3" fontId="4" fillId="0" borderId="0" applyFont="0" applyFill="0" applyBorder="0" applyAlignment="0" applyProtection="0"/>
    <xf numFmtId="43" fontId="4" fillId="0" borderId="0" applyFont="0" applyFill="0" applyAlignment="0" applyProtection="0"/>
    <xf numFmtId="0" fontId="5" fillId="0" borderId="0"/>
  </cellStyleXfs>
  <cellXfs count="806">
    <xf numFmtId="0" fontId="0" fillId="0" borderId="0" xfId="0"/>
    <xf numFmtId="0" fontId="8" fillId="24" borderId="0" xfId="63" applyFont="1" applyFill="1"/>
    <xf numFmtId="0" fontId="5" fillId="0" borderId="0" xfId="63"/>
    <xf numFmtId="0" fontId="5" fillId="24" borderId="0" xfId="63" applyFill="1"/>
    <xf numFmtId="0" fontId="5" fillId="25" borderId="12" xfId="63" applyFill="1" applyBorder="1"/>
    <xf numFmtId="0" fontId="5" fillId="26" borderId="13" xfId="63" applyFill="1" applyBorder="1"/>
    <xf numFmtId="0" fontId="9" fillId="27" borderId="14" xfId="63" applyFont="1" applyFill="1" applyBorder="1" applyAlignment="1">
      <alignment horizontal="center"/>
    </xf>
    <xf numFmtId="0" fontId="10" fillId="28" borderId="15" xfId="63" applyFont="1" applyFill="1" applyBorder="1" applyAlignment="1">
      <alignment horizontal="center"/>
    </xf>
    <xf numFmtId="0" fontId="9" fillId="27" borderId="15" xfId="63" applyFont="1" applyFill="1" applyBorder="1" applyAlignment="1">
      <alignment horizontal="center"/>
    </xf>
    <xf numFmtId="0" fontId="9" fillId="27" borderId="16" xfId="63" applyFont="1" applyFill="1" applyBorder="1" applyAlignment="1">
      <alignment horizontal="center"/>
    </xf>
    <xf numFmtId="0" fontId="5" fillId="26" borderId="17" xfId="63" applyFill="1" applyBorder="1"/>
    <xf numFmtId="0" fontId="5" fillId="25" borderId="18" xfId="63" applyFill="1" applyBorder="1"/>
    <xf numFmtId="0" fontId="5" fillId="26" borderId="18" xfId="63" applyFill="1" applyBorder="1"/>
    <xf numFmtId="0" fontId="5" fillId="25" borderId="19" xfId="63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1" fontId="0" fillId="0" borderId="0" xfId="48" applyFont="1" applyAlignment="1">
      <alignment vertical="center"/>
    </xf>
    <xf numFmtId="0" fontId="8" fillId="0" borderId="0" xfId="0" applyFont="1" applyAlignment="1">
      <alignment horizontal="center" vertical="center"/>
    </xf>
    <xf numFmtId="41" fontId="8" fillId="0" borderId="0" xfId="48" applyFont="1" applyAlignment="1">
      <alignment horizontal="center"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0" borderId="20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5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2" fillId="29" borderId="20" xfId="0" applyFont="1" applyFill="1" applyBorder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2" fillId="0" borderId="0" xfId="0" applyFont="1"/>
    <xf numFmtId="0" fontId="0" fillId="25" borderId="20" xfId="0" applyFill="1" applyBorder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19" fillId="0" borderId="0" xfId="0" applyFont="1"/>
    <xf numFmtId="0" fontId="22" fillId="0" borderId="0" xfId="0" applyFont="1"/>
    <xf numFmtId="9" fontId="0" fillId="0" borderId="20" xfId="0" applyNumberForma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0" fillId="25" borderId="22" xfId="0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0" xfId="0" applyFont="1" applyBorder="1" applyAlignment="1">
      <alignment vertical="center"/>
    </xf>
    <xf numFmtId="0" fontId="0" fillId="29" borderId="20" xfId="0" applyFill="1" applyBorder="1" applyAlignment="1">
      <alignment vertical="center"/>
    </xf>
    <xf numFmtId="0" fontId="2" fillId="25" borderId="20" xfId="0" applyFont="1" applyFill="1" applyBorder="1" applyAlignment="1">
      <alignment horizontal="center" vertical="center"/>
    </xf>
    <xf numFmtId="0" fontId="2" fillId="25" borderId="23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2" fillId="29" borderId="24" xfId="0" applyFont="1" applyFill="1" applyBorder="1" applyAlignment="1">
      <alignment horizontal="center" vertical="center"/>
    </xf>
    <xf numFmtId="0" fontId="2" fillId="29" borderId="19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29" borderId="17" xfId="0" applyFont="1" applyFill="1" applyBorder="1" applyAlignment="1">
      <alignment horizontal="center" vertical="center"/>
    </xf>
    <xf numFmtId="0" fontId="0" fillId="0" borderId="26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29" borderId="19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29" borderId="18" xfId="0" applyFill="1" applyBorder="1" applyAlignment="1">
      <alignment horizontal="center" vertical="center"/>
    </xf>
    <xf numFmtId="0" fontId="0" fillId="25" borderId="20" xfId="0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2" fillId="29" borderId="32" xfId="0" applyFont="1" applyFill="1" applyBorder="1" applyAlignment="1">
      <alignment horizontal="center" vertical="center"/>
    </xf>
    <xf numFmtId="0" fontId="2" fillId="25" borderId="19" xfId="0" applyFont="1" applyFill="1" applyBorder="1" applyAlignment="1">
      <alignment horizontal="center" vertical="center"/>
    </xf>
    <xf numFmtId="0" fontId="2" fillId="25" borderId="19" xfId="0" applyFont="1" applyFill="1" applyBorder="1" applyAlignment="1">
      <alignment horizontal="center" vertical="center" wrapText="1"/>
    </xf>
    <xf numFmtId="0" fontId="2" fillId="25" borderId="29" xfId="0" applyFont="1" applyFill="1" applyBorder="1" applyAlignment="1">
      <alignment horizontal="center" vertical="center"/>
    </xf>
    <xf numFmtId="0" fontId="2" fillId="25" borderId="30" xfId="0" applyFont="1" applyFill="1" applyBorder="1" applyAlignment="1">
      <alignment horizontal="center" vertical="center" wrapText="1"/>
    </xf>
    <xf numFmtId="0" fontId="2" fillId="25" borderId="30" xfId="0" applyFont="1" applyFill="1" applyBorder="1" applyAlignment="1">
      <alignment horizontal="center" vertical="center"/>
    </xf>
    <xf numFmtId="0" fontId="0" fillId="25" borderId="31" xfId="0" applyFill="1" applyBorder="1" applyAlignment="1">
      <alignment vertical="center"/>
    </xf>
    <xf numFmtId="0" fontId="2" fillId="25" borderId="20" xfId="0" applyFont="1" applyFill="1" applyBorder="1" applyAlignment="1">
      <alignment horizontal="center" vertical="center" textRotation="255"/>
    </xf>
    <xf numFmtId="0" fontId="0" fillId="29" borderId="20" xfId="0" applyFill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wrapText="1"/>
    </xf>
    <xf numFmtId="0" fontId="0" fillId="29" borderId="0" xfId="0" applyFill="1" applyAlignment="1">
      <alignment vertical="center"/>
    </xf>
    <xf numFmtId="0" fontId="0" fillId="29" borderId="21" xfId="0" applyFill="1" applyBorder="1" applyAlignment="1">
      <alignment horizontal="center" vertical="center"/>
    </xf>
    <xf numFmtId="41" fontId="0" fillId="29" borderId="20" xfId="48" applyFont="1" applyFill="1" applyBorder="1" applyAlignment="1">
      <alignment horizontal="center" vertical="center"/>
    </xf>
    <xf numFmtId="0" fontId="0" fillId="29" borderId="17" xfId="0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textRotation="255"/>
    </xf>
    <xf numFmtId="0" fontId="0" fillId="29" borderId="17" xfId="0" applyFill="1" applyBorder="1" applyAlignment="1">
      <alignment vertical="center"/>
    </xf>
    <xf numFmtId="0" fontId="0" fillId="29" borderId="25" xfId="0" applyFill="1" applyBorder="1" applyAlignment="1">
      <alignment horizontal="center" vertical="center"/>
    </xf>
    <xf numFmtId="0" fontId="0" fillId="29" borderId="26" xfId="0" applyFill="1" applyBorder="1" applyAlignment="1">
      <alignment vertical="center"/>
    </xf>
    <xf numFmtId="0" fontId="0" fillId="0" borderId="23" xfId="0" applyBorder="1" applyAlignment="1">
      <alignment vertical="center"/>
    </xf>
    <xf numFmtId="0" fontId="14" fillId="0" borderId="24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7" xfId="0" applyBorder="1" applyAlignment="1">
      <alignment vertical="center"/>
    </xf>
    <xf numFmtId="0" fontId="15" fillId="0" borderId="33" xfId="0" applyFont="1" applyBorder="1" applyAlignment="1">
      <alignment horizontal="center" vertical="center"/>
    </xf>
    <xf numFmtId="41" fontId="0" fillId="25" borderId="20" xfId="48" applyFont="1" applyFill="1" applyBorder="1" applyAlignment="1">
      <alignment horizontal="center" vertical="center"/>
    </xf>
    <xf numFmtId="0" fontId="0" fillId="25" borderId="34" xfId="0" applyFill="1" applyBorder="1" applyAlignment="1">
      <alignment horizontal="center" vertical="center"/>
    </xf>
    <xf numFmtId="0" fontId="0" fillId="25" borderId="35" xfId="0" applyFill="1" applyBorder="1" applyAlignment="1">
      <alignment horizontal="center" vertical="center"/>
    </xf>
    <xf numFmtId="0" fontId="0" fillId="25" borderId="36" xfId="0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0" fillId="29" borderId="0" xfId="0" applyFill="1"/>
    <xf numFmtId="0" fontId="15" fillId="29" borderId="20" xfId="0" applyFont="1" applyFill="1" applyBorder="1" applyAlignment="1">
      <alignment horizontal="center" vertical="center"/>
    </xf>
    <xf numFmtId="0" fontId="16" fillId="29" borderId="0" xfId="0" applyFont="1" applyFill="1" applyAlignment="1">
      <alignment vertical="center"/>
    </xf>
    <xf numFmtId="0" fontId="17" fillId="29" borderId="0" xfId="0" applyFont="1" applyFill="1" applyAlignment="1">
      <alignment vertical="center"/>
    </xf>
    <xf numFmtId="0" fontId="27" fillId="29" borderId="0" xfId="0" applyFont="1" applyFill="1"/>
    <xf numFmtId="0" fontId="20" fillId="29" borderId="0" xfId="0" applyFont="1" applyFill="1" applyAlignment="1">
      <alignment vertical="center"/>
    </xf>
    <xf numFmtId="0" fontId="17" fillId="29" borderId="0" xfId="0" applyFont="1" applyFill="1" applyAlignment="1">
      <alignment horizontal="center" vertical="center"/>
    </xf>
    <xf numFmtId="0" fontId="20" fillId="29" borderId="0" xfId="0" applyFont="1" applyFill="1" applyAlignment="1">
      <alignment horizontal="left" vertical="center"/>
    </xf>
    <xf numFmtId="0" fontId="17" fillId="29" borderId="0" xfId="0" applyFont="1" applyFill="1"/>
    <xf numFmtId="0" fontId="20" fillId="29" borderId="0" xfId="0" applyFont="1" applyFill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41" fontId="13" fillId="25" borderId="20" xfId="48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41" fontId="13" fillId="29" borderId="20" xfId="48" applyFont="1" applyFill="1" applyBorder="1" applyAlignment="1">
      <alignment horizontal="center" vertical="center"/>
    </xf>
    <xf numFmtId="178" fontId="13" fillId="29" borderId="20" xfId="48" applyNumberFormat="1" applyFont="1" applyFill="1" applyBorder="1" applyAlignment="1">
      <alignment horizontal="center" vertical="center"/>
    </xf>
    <xf numFmtId="0" fontId="13" fillId="29" borderId="20" xfId="0" applyFont="1" applyFill="1" applyBorder="1" applyAlignment="1">
      <alignment horizontal="center" vertical="center"/>
    </xf>
    <xf numFmtId="0" fontId="13" fillId="29" borderId="20" xfId="0" applyFont="1" applyFill="1" applyBorder="1" applyAlignment="1">
      <alignment horizontal="center" vertical="center" wrapText="1"/>
    </xf>
    <xf numFmtId="14" fontId="0" fillId="29" borderId="20" xfId="0" applyNumberFormat="1" applyFill="1" applyBorder="1" applyAlignment="1">
      <alignment horizontal="center" vertical="center"/>
    </xf>
    <xf numFmtId="14" fontId="0" fillId="25" borderId="20" xfId="0" applyNumberFormat="1" applyFill="1" applyBorder="1" applyAlignment="1">
      <alignment horizontal="center" vertical="center"/>
    </xf>
    <xf numFmtId="0" fontId="1" fillId="24" borderId="37" xfId="0" applyFont="1" applyFill="1" applyBorder="1" applyAlignment="1">
      <alignment horizontal="center" vertical="center" wrapText="1"/>
    </xf>
    <xf numFmtId="0" fontId="1" fillId="24" borderId="17" xfId="0" applyFont="1" applyFill="1" applyBorder="1" applyAlignment="1">
      <alignment horizontal="center" vertical="center" wrapText="1"/>
    </xf>
    <xf numFmtId="0" fontId="1" fillId="24" borderId="38" xfId="0" applyFont="1" applyFill="1" applyBorder="1" applyAlignment="1">
      <alignment horizontal="center" vertical="center" wrapText="1"/>
    </xf>
    <xf numFmtId="41" fontId="1" fillId="24" borderId="24" xfId="48" applyFont="1" applyFill="1" applyBorder="1" applyAlignment="1">
      <alignment horizontal="center" vertical="center"/>
    </xf>
    <xf numFmtId="41" fontId="1" fillId="24" borderId="32" xfId="48" applyFont="1" applyFill="1" applyBorder="1" applyAlignment="1">
      <alignment horizontal="center" vertical="center"/>
    </xf>
    <xf numFmtId="41" fontId="1" fillId="24" borderId="19" xfId="48" applyFont="1" applyFill="1" applyBorder="1" applyAlignment="1">
      <alignment horizontal="center" vertical="center"/>
    </xf>
    <xf numFmtId="41" fontId="1" fillId="24" borderId="39" xfId="41" applyNumberFormat="1" applyFont="1" applyFill="1" applyBorder="1" applyAlignment="1">
      <alignment horizontal="center" vertical="center"/>
    </xf>
    <xf numFmtId="193" fontId="1" fillId="29" borderId="12" xfId="48" applyNumberFormat="1" applyFont="1" applyFill="1" applyBorder="1" applyAlignment="1">
      <alignment horizontal="center" vertical="center"/>
    </xf>
    <xf numFmtId="0" fontId="1" fillId="25" borderId="37" xfId="0" applyFont="1" applyFill="1" applyBorder="1" applyAlignment="1">
      <alignment horizontal="center" vertical="center" wrapText="1"/>
    </xf>
    <xf numFmtId="0" fontId="1" fillId="25" borderId="17" xfId="0" applyFont="1" applyFill="1" applyBorder="1" applyAlignment="1">
      <alignment horizontal="center" vertical="center" wrapText="1"/>
    </xf>
    <xf numFmtId="41" fontId="1" fillId="25" borderId="24" xfId="48" applyFont="1" applyFill="1" applyBorder="1" applyAlignment="1">
      <alignment vertical="center"/>
    </xf>
    <xf numFmtId="41" fontId="1" fillId="25" borderId="32" xfId="48" applyFont="1" applyFill="1" applyBorder="1" applyAlignment="1">
      <alignment vertical="center"/>
    </xf>
    <xf numFmtId="41" fontId="1" fillId="25" borderId="19" xfId="48" applyFont="1" applyFill="1" applyBorder="1" applyAlignment="1">
      <alignment horizontal="center" vertical="center"/>
    </xf>
    <xf numFmtId="14" fontId="8" fillId="29" borderId="20" xfId="0" quotePrefix="1" applyNumberFormat="1" applyFont="1" applyFill="1" applyBorder="1" applyAlignment="1">
      <alignment vertical="center"/>
    </xf>
    <xf numFmtId="0" fontId="8" fillId="24" borderId="20" xfId="0" applyFont="1" applyFill="1" applyBorder="1" applyAlignment="1">
      <alignment horizontal="center" vertical="center"/>
    </xf>
    <xf numFmtId="0" fontId="0" fillId="29" borderId="27" xfId="0" applyFill="1" applyBorder="1" applyAlignment="1">
      <alignment horizontal="center" vertical="center"/>
    </xf>
    <xf numFmtId="0" fontId="17" fillId="29" borderId="0" xfId="0" applyFont="1" applyFill="1" applyBorder="1" applyAlignment="1">
      <alignment horizontal="center" vertical="center"/>
    </xf>
    <xf numFmtId="0" fontId="17" fillId="29" borderId="0" xfId="0" applyFont="1" applyFill="1" applyBorder="1" applyAlignment="1">
      <alignment vertical="center"/>
    </xf>
    <xf numFmtId="0" fontId="17" fillId="29" borderId="0" xfId="0" applyFont="1" applyFill="1" applyBorder="1" applyAlignment="1">
      <alignment horizontal="right" vertical="center"/>
    </xf>
    <xf numFmtId="0" fontId="17" fillId="29" borderId="0" xfId="0" applyFont="1" applyFill="1" applyBorder="1"/>
    <xf numFmtId="0" fontId="17" fillId="29" borderId="0" xfId="0" applyFont="1" applyFill="1" applyBorder="1" applyAlignment="1">
      <alignment horizontal="left" vertical="center"/>
    </xf>
    <xf numFmtId="0" fontId="1" fillId="25" borderId="38" xfId="0" applyFont="1" applyFill="1" applyBorder="1" applyAlignment="1">
      <alignment horizontal="center" vertical="center" wrapText="1"/>
    </xf>
    <xf numFmtId="41" fontId="1" fillId="25" borderId="39" xfId="41" applyNumberFormat="1" applyFont="1" applyFill="1" applyBorder="1" applyAlignment="1">
      <alignment horizontal="center" vertical="center"/>
    </xf>
    <xf numFmtId="0" fontId="1" fillId="29" borderId="40" xfId="0" applyFont="1" applyFill="1" applyBorder="1" applyAlignment="1">
      <alignment horizontal="center" vertical="center" wrapText="1"/>
    </xf>
    <xf numFmtId="9" fontId="1" fillId="29" borderId="41" xfId="41" applyFont="1" applyFill="1" applyBorder="1" applyAlignment="1">
      <alignment horizontal="center" vertical="center"/>
    </xf>
    <xf numFmtId="0" fontId="0" fillId="28" borderId="0" xfId="0" applyFill="1" applyAlignment="1">
      <alignment vertical="center"/>
    </xf>
    <xf numFmtId="0" fontId="16" fillId="0" borderId="0" xfId="0" applyFont="1" applyAlignment="1">
      <alignment vertical="center"/>
    </xf>
    <xf numFmtId="0" fontId="14" fillId="25" borderId="0" xfId="0" applyFont="1" applyFill="1" applyAlignment="1">
      <alignment vertical="center"/>
    </xf>
    <xf numFmtId="0" fontId="17" fillId="0" borderId="42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43" xfId="0" applyBorder="1" applyAlignment="1">
      <alignment vertical="center"/>
    </xf>
    <xf numFmtId="0" fontId="27" fillId="0" borderId="0" xfId="0" applyFont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8" fillId="29" borderId="20" xfId="0" quotePrefix="1" applyNumberFormat="1" applyFont="1" applyFill="1" applyBorder="1" applyAlignment="1">
      <alignment horizontal="center" vertical="center"/>
    </xf>
    <xf numFmtId="0" fontId="8" fillId="0" borderId="20" xfId="0" applyNumberFormat="1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7" fillId="30" borderId="44" xfId="0" applyFont="1" applyFill="1" applyBorder="1" applyAlignment="1">
      <alignment vertical="center"/>
    </xf>
    <xf numFmtId="0" fontId="0" fillId="30" borderId="45" xfId="0" applyFill="1" applyBorder="1" applyAlignment="1">
      <alignment vertical="center"/>
    </xf>
    <xf numFmtId="0" fontId="0" fillId="30" borderId="46" xfId="0" applyFill="1" applyBorder="1" applyAlignment="1">
      <alignment vertical="center"/>
    </xf>
    <xf numFmtId="0" fontId="0" fillId="30" borderId="0" xfId="0" applyFill="1" applyAlignment="1">
      <alignment vertical="center"/>
    </xf>
    <xf numFmtId="0" fontId="0" fillId="25" borderId="17" xfId="0" applyFill="1" applyBorder="1" applyAlignment="1">
      <alignment horizontal="center" vertical="center"/>
    </xf>
    <xf numFmtId="0" fontId="32" fillId="30" borderId="0" xfId="0" applyFont="1" applyFill="1"/>
    <xf numFmtId="0" fontId="36" fillId="30" borderId="0" xfId="0" applyFont="1" applyFill="1"/>
    <xf numFmtId="0" fontId="0" fillId="26" borderId="47" xfId="0" applyFill="1" applyBorder="1" applyAlignment="1">
      <alignment horizontal="center" vertical="center"/>
    </xf>
    <xf numFmtId="0" fontId="0" fillId="25" borderId="17" xfId="0" applyFill="1" applyBorder="1"/>
    <xf numFmtId="55" fontId="0" fillId="25" borderId="17" xfId="0" applyNumberFormat="1" applyFill="1" applyBorder="1"/>
    <xf numFmtId="186" fontId="0" fillId="25" borderId="17" xfId="0" applyNumberFormat="1" applyFill="1" applyBorder="1"/>
    <xf numFmtId="0" fontId="0" fillId="0" borderId="20" xfId="0" applyBorder="1"/>
    <xf numFmtId="0" fontId="14" fillId="25" borderId="20" xfId="0" applyFont="1" applyFill="1" applyBorder="1"/>
    <xf numFmtId="0" fontId="0" fillId="25" borderId="20" xfId="0" applyFill="1" applyBorder="1"/>
    <xf numFmtId="55" fontId="0" fillId="25" borderId="20" xfId="0" applyNumberFormat="1" applyFill="1" applyBorder="1"/>
    <xf numFmtId="0" fontId="0" fillId="0" borderId="17" xfId="0" applyBorder="1"/>
    <xf numFmtId="0" fontId="0" fillId="25" borderId="0" xfId="0" applyFill="1"/>
    <xf numFmtId="0" fontId="0" fillId="31" borderId="20" xfId="0" applyFill="1" applyBorder="1" applyAlignment="1">
      <alignment horizontal="center"/>
    </xf>
    <xf numFmtId="0" fontId="0" fillId="31" borderId="20" xfId="0" applyFill="1" applyBorder="1"/>
    <xf numFmtId="186" fontId="14" fillId="31" borderId="20" xfId="0" applyNumberFormat="1" applyFont="1" applyFill="1" applyBorder="1"/>
    <xf numFmtId="0" fontId="35" fillId="0" borderId="0" xfId="0" applyFont="1"/>
    <xf numFmtId="14" fontId="0" fillId="0" borderId="20" xfId="0" applyNumberFormat="1" applyFill="1" applyBorder="1" applyAlignment="1">
      <alignment horizontal="center" vertical="center"/>
    </xf>
    <xf numFmtId="186" fontId="0" fillId="25" borderId="20" xfId="0" applyNumberFormat="1" applyFill="1" applyBorder="1" applyAlignment="1">
      <alignment horizontal="center" vertical="center"/>
    </xf>
    <xf numFmtId="0" fontId="17" fillId="32" borderId="1" xfId="0" applyFont="1" applyFill="1" applyBorder="1" applyAlignment="1">
      <alignment vertical="center"/>
    </xf>
    <xf numFmtId="41" fontId="17" fillId="32" borderId="1" xfId="48" applyFont="1" applyFill="1" applyBorder="1" applyAlignment="1">
      <alignment vertical="center"/>
    </xf>
    <xf numFmtId="0" fontId="0" fillId="29" borderId="28" xfId="0" applyFill="1" applyBorder="1" applyAlignment="1">
      <alignment horizontal="center" vertical="center"/>
    </xf>
    <xf numFmtId="14" fontId="0" fillId="29" borderId="18" xfId="0" applyNumberFormat="1" applyFill="1" applyBorder="1" applyAlignment="1">
      <alignment horizontal="center" vertical="center"/>
    </xf>
    <xf numFmtId="186" fontId="0" fillId="25" borderId="18" xfId="0" applyNumberFormat="1" applyFill="1" applyBorder="1" applyAlignment="1">
      <alignment horizontal="center" vertical="center"/>
    </xf>
    <xf numFmtId="14" fontId="0" fillId="25" borderId="18" xfId="0" applyNumberFormat="1" applyFill="1" applyBorder="1" applyAlignment="1">
      <alignment horizontal="center" vertical="center"/>
    </xf>
    <xf numFmtId="41" fontId="0" fillId="29" borderId="18" xfId="48" applyFont="1" applyFill="1" applyBorder="1" applyAlignment="1">
      <alignment horizontal="center" vertical="center"/>
    </xf>
    <xf numFmtId="41" fontId="0" fillId="25" borderId="18" xfId="48" applyFont="1" applyFill="1" applyBorder="1" applyAlignment="1">
      <alignment horizontal="center" vertical="center"/>
    </xf>
    <xf numFmtId="14" fontId="0" fillId="29" borderId="17" xfId="0" applyNumberFormat="1" applyFill="1" applyBorder="1" applyAlignment="1">
      <alignment horizontal="center" vertical="center"/>
    </xf>
    <xf numFmtId="186" fontId="0" fillId="25" borderId="17" xfId="0" applyNumberFormat="1" applyFill="1" applyBorder="1" applyAlignment="1">
      <alignment horizontal="center" vertical="center"/>
    </xf>
    <xf numFmtId="41" fontId="0" fillId="29" borderId="17" xfId="48" applyFont="1" applyFill="1" applyBorder="1" applyAlignment="1">
      <alignment horizontal="center" vertical="center"/>
    </xf>
    <xf numFmtId="41" fontId="0" fillId="25" borderId="17" xfId="48" applyFont="1" applyFill="1" applyBorder="1" applyAlignment="1">
      <alignment horizontal="center" vertical="center"/>
    </xf>
    <xf numFmtId="0" fontId="0" fillId="25" borderId="29" xfId="0" applyFill="1" applyBorder="1" applyAlignment="1">
      <alignment horizontal="center" vertical="center"/>
    </xf>
    <xf numFmtId="0" fontId="0" fillId="25" borderId="30" xfId="0" applyFill="1" applyBorder="1" applyAlignment="1">
      <alignment horizontal="center" vertical="center"/>
    </xf>
    <xf numFmtId="14" fontId="0" fillId="25" borderId="30" xfId="0" applyNumberFormat="1" applyFill="1" applyBorder="1" applyAlignment="1">
      <alignment horizontal="center" vertical="center"/>
    </xf>
    <xf numFmtId="186" fontId="0" fillId="25" borderId="30" xfId="0" applyNumberFormat="1" applyFill="1" applyBorder="1" applyAlignment="1">
      <alignment horizontal="center" vertical="center"/>
    </xf>
    <xf numFmtId="41" fontId="0" fillId="25" borderId="30" xfId="48" applyFont="1" applyFill="1" applyBorder="1" applyAlignment="1">
      <alignment horizontal="center" vertical="center"/>
    </xf>
    <xf numFmtId="41" fontId="0" fillId="25" borderId="31" xfId="48" applyFont="1" applyFill="1" applyBorder="1" applyAlignment="1">
      <alignment horizontal="center" vertical="center"/>
    </xf>
    <xf numFmtId="0" fontId="0" fillId="25" borderId="48" xfId="0" applyFill="1" applyBorder="1" applyAlignment="1">
      <alignment horizontal="center" vertical="center"/>
    </xf>
    <xf numFmtId="0" fontId="0" fillId="25" borderId="49" xfId="0" applyFill="1" applyBorder="1" applyAlignment="1">
      <alignment horizontal="center" vertical="center"/>
    </xf>
    <xf numFmtId="14" fontId="0" fillId="25" borderId="49" xfId="0" applyNumberFormat="1" applyFill="1" applyBorder="1" applyAlignment="1">
      <alignment horizontal="center" vertical="center"/>
    </xf>
    <xf numFmtId="186" fontId="0" fillId="25" borderId="49" xfId="0" applyNumberFormat="1" applyFill="1" applyBorder="1" applyAlignment="1">
      <alignment horizontal="center" vertical="center"/>
    </xf>
    <xf numFmtId="41" fontId="0" fillId="25" borderId="49" xfId="48" applyFont="1" applyFill="1" applyBorder="1" applyAlignment="1">
      <alignment horizontal="center" vertical="center"/>
    </xf>
    <xf numFmtId="41" fontId="0" fillId="25" borderId="50" xfId="48" applyFont="1" applyFill="1" applyBorder="1" applyAlignment="1">
      <alignment horizontal="center" vertical="center"/>
    </xf>
    <xf numFmtId="0" fontId="0" fillId="24" borderId="30" xfId="0" applyFill="1" applyBorder="1" applyAlignment="1">
      <alignment horizontal="center" vertical="center"/>
    </xf>
    <xf numFmtId="14" fontId="0" fillId="24" borderId="30" xfId="0" applyNumberFormat="1" applyFill="1" applyBorder="1" applyAlignment="1">
      <alignment horizontal="center" vertical="center"/>
    </xf>
    <xf numFmtId="186" fontId="0" fillId="24" borderId="30" xfId="0" applyNumberFormat="1" applyFill="1" applyBorder="1" applyAlignment="1">
      <alignment horizontal="center" vertical="center"/>
    </xf>
    <xf numFmtId="41" fontId="0" fillId="24" borderId="30" xfId="48" applyFont="1" applyFill="1" applyBorder="1" applyAlignment="1">
      <alignment horizontal="center" vertical="center"/>
    </xf>
    <xf numFmtId="41" fontId="0" fillId="24" borderId="31" xfId="48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41" fontId="27" fillId="24" borderId="30" xfId="48" applyFont="1" applyFill="1" applyBorder="1" applyAlignment="1">
      <alignment horizontal="center" vertical="center"/>
    </xf>
    <xf numFmtId="41" fontId="27" fillId="24" borderId="31" xfId="48" applyFont="1" applyFill="1" applyBorder="1" applyAlignment="1">
      <alignment horizontal="center" vertical="center"/>
    </xf>
    <xf numFmtId="0" fontId="38" fillId="0" borderId="0" xfId="0" applyFont="1" applyFill="1" applyAlignment="1">
      <alignment horizontal="left" vertical="center"/>
    </xf>
    <xf numFmtId="41" fontId="20" fillId="32" borderId="12" xfId="48" applyFont="1" applyFill="1" applyBorder="1" applyAlignment="1">
      <alignment vertical="center"/>
    </xf>
    <xf numFmtId="0" fontId="13" fillId="29" borderId="0" xfId="0" applyFont="1" applyFill="1" applyBorder="1" applyAlignment="1">
      <alignment horizontal="center" vertical="center"/>
    </xf>
    <xf numFmtId="0" fontId="36" fillId="30" borderId="0" xfId="0" applyFont="1" applyFill="1" applyAlignment="1">
      <alignment vertic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13" fillId="29" borderId="0" xfId="0" applyFont="1" applyFill="1" applyBorder="1" applyAlignment="1">
      <alignment horizontal="left" vertical="center"/>
    </xf>
    <xf numFmtId="0" fontId="13" fillId="26" borderId="51" xfId="0" applyFont="1" applyFill="1" applyBorder="1" applyAlignment="1">
      <alignment vertical="center"/>
    </xf>
    <xf numFmtId="0" fontId="13" fillId="26" borderId="0" xfId="0" applyFont="1" applyFill="1" applyAlignment="1">
      <alignment horizontal="center" vertical="center"/>
    </xf>
    <xf numFmtId="41" fontId="13" fillId="26" borderId="52" xfId="48" applyFont="1" applyFill="1" applyBorder="1" applyAlignment="1">
      <alignment horizontal="center" vertical="center"/>
    </xf>
    <xf numFmtId="0" fontId="13" fillId="26" borderId="20" xfId="0" applyFont="1" applyFill="1" applyBorder="1" applyAlignment="1">
      <alignment horizontal="center" vertical="center" wrapText="1"/>
    </xf>
    <xf numFmtId="41" fontId="13" fillId="29" borderId="52" xfId="48" applyFont="1" applyFill="1" applyBorder="1" applyAlignment="1">
      <alignment horizontal="center" vertical="center"/>
    </xf>
    <xf numFmtId="183" fontId="13" fillId="29" borderId="20" xfId="0" applyNumberFormat="1" applyFont="1" applyFill="1" applyBorder="1" applyAlignment="1">
      <alignment horizontal="center" vertical="center"/>
    </xf>
    <xf numFmtId="0" fontId="37" fillId="30" borderId="0" xfId="0" applyFont="1" applyFill="1" applyAlignment="1">
      <alignment vertical="center"/>
    </xf>
    <xf numFmtId="0" fontId="40" fillId="30" borderId="0" xfId="0" applyFont="1" applyFill="1"/>
    <xf numFmtId="184" fontId="0" fillId="28" borderId="0" xfId="0" applyNumberFormat="1" applyFill="1" applyAlignment="1">
      <alignment vertical="center"/>
    </xf>
    <xf numFmtId="184" fontId="41" fillId="28" borderId="0" xfId="0" applyNumberFormat="1" applyFont="1" applyFill="1" applyAlignment="1">
      <alignment vertical="center"/>
    </xf>
    <xf numFmtId="0" fontId="43" fillId="0" borderId="0" xfId="0" applyFont="1" applyAlignment="1">
      <alignment vertical="center"/>
    </xf>
    <xf numFmtId="0" fontId="1" fillId="0" borderId="21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33" borderId="20" xfId="0" applyFill="1" applyBorder="1" applyAlignment="1">
      <alignment horizontal="center" vertical="center"/>
    </xf>
    <xf numFmtId="0" fontId="1" fillId="0" borderId="20" xfId="0" applyFont="1" applyBorder="1" applyAlignment="1">
      <alignment horizontal="left" vertical="center" indent="1"/>
    </xf>
    <xf numFmtId="0" fontId="1" fillId="0" borderId="21" xfId="0" applyFont="1" applyBorder="1" applyAlignment="1">
      <alignment horizontal="left" vertical="center" indent="1"/>
    </xf>
    <xf numFmtId="0" fontId="0" fillId="0" borderId="21" xfId="0" applyBorder="1" applyAlignment="1">
      <alignment horizontal="center" vertical="center"/>
    </xf>
    <xf numFmtId="0" fontId="0" fillId="25" borderId="19" xfId="0" applyFill="1" applyBorder="1" applyAlignment="1">
      <alignment horizontal="center" vertical="center"/>
    </xf>
    <xf numFmtId="0" fontId="0" fillId="25" borderId="19" xfId="0" applyFill="1" applyBorder="1" applyAlignment="1">
      <alignment horizontal="center" vertical="center" wrapText="1"/>
    </xf>
    <xf numFmtId="0" fontId="2" fillId="29" borderId="39" xfId="0" applyFont="1" applyFill="1" applyBorder="1" applyAlignment="1">
      <alignment vertical="center" wrapText="1"/>
    </xf>
    <xf numFmtId="0" fontId="2" fillId="29" borderId="32" xfId="0" applyFont="1" applyFill="1" applyBorder="1" applyAlignment="1">
      <alignment vertical="center"/>
    </xf>
    <xf numFmtId="0" fontId="2" fillId="29" borderId="19" xfId="0" applyFont="1" applyFill="1" applyBorder="1" applyAlignment="1">
      <alignment vertical="center" wrapText="1"/>
    </xf>
    <xf numFmtId="0" fontId="2" fillId="29" borderId="19" xfId="0" applyFont="1" applyFill="1" applyBorder="1" applyAlignment="1">
      <alignment vertical="center"/>
    </xf>
    <xf numFmtId="191" fontId="0" fillId="0" borderId="21" xfId="0" applyNumberFormat="1" applyBorder="1" applyAlignment="1">
      <alignment horizontal="center" vertical="center"/>
    </xf>
    <xf numFmtId="224" fontId="0" fillId="0" borderId="21" xfId="0" applyNumberFormat="1" applyBorder="1" applyAlignment="1">
      <alignment horizontal="center" vertical="center"/>
    </xf>
    <xf numFmtId="9" fontId="0" fillId="0" borderId="21" xfId="0" applyNumberFormat="1" applyBorder="1" applyAlignment="1">
      <alignment horizontal="center" vertical="center"/>
    </xf>
    <xf numFmtId="224" fontId="0" fillId="0" borderId="20" xfId="0" applyNumberFormat="1" applyBorder="1" applyAlignment="1">
      <alignment horizontal="center" vertical="center"/>
    </xf>
    <xf numFmtId="191" fontId="0" fillId="0" borderId="20" xfId="0" applyNumberFormat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2" fontId="42" fillId="0" borderId="20" xfId="0" applyNumberFormat="1" applyFont="1" applyFill="1" applyBorder="1" applyAlignment="1">
      <alignment horizontal="center" vertical="center"/>
    </xf>
    <xf numFmtId="178" fontId="13" fillId="0" borderId="20" xfId="0" applyNumberFormat="1" applyFont="1" applyFill="1" applyBorder="1" applyAlignment="1">
      <alignment horizontal="center" vertical="center"/>
    </xf>
    <xf numFmtId="177" fontId="8" fillId="0" borderId="20" xfId="0" applyNumberFormat="1" applyFont="1" applyFill="1" applyBorder="1" applyAlignment="1">
      <alignment horizontal="center" vertical="center"/>
    </xf>
    <xf numFmtId="2" fontId="8" fillId="0" borderId="20" xfId="0" applyNumberFormat="1" applyFont="1" applyFill="1" applyBorder="1" applyAlignment="1">
      <alignment horizontal="center" vertical="center"/>
    </xf>
    <xf numFmtId="2" fontId="25" fillId="0" borderId="20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 textRotation="255"/>
    </xf>
    <xf numFmtId="0" fontId="42" fillId="0" borderId="20" xfId="0" applyFont="1" applyFill="1" applyBorder="1" applyAlignment="1">
      <alignment horizontal="center" vertical="center"/>
    </xf>
    <xf numFmtId="177" fontId="42" fillId="0" borderId="20" xfId="0" applyNumberFormat="1" applyFont="1" applyFill="1" applyBorder="1" applyAlignment="1">
      <alignment horizontal="center" vertical="center"/>
    </xf>
    <xf numFmtId="199" fontId="42" fillId="0" borderId="20" xfId="0" applyNumberFormat="1" applyFont="1" applyFill="1" applyBorder="1" applyAlignment="1" applyProtection="1">
      <alignment horizontal="center" vertical="center"/>
    </xf>
    <xf numFmtId="0" fontId="13" fillId="0" borderId="20" xfId="0" applyFont="1" applyFill="1" applyBorder="1" applyAlignment="1">
      <alignment vertical="center" textRotation="255"/>
    </xf>
    <xf numFmtId="199" fontId="8" fillId="0" borderId="20" xfId="0" applyNumberFormat="1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88" fillId="0" borderId="0" xfId="0" applyFont="1" applyFill="1" applyAlignment="1">
      <alignment vertical="center"/>
    </xf>
    <xf numFmtId="0" fontId="35" fillId="0" borderId="0" xfId="0" applyFont="1" applyFill="1" applyAlignment="1">
      <alignment vertical="center"/>
    </xf>
    <xf numFmtId="41" fontId="0" fillId="25" borderId="53" xfId="48" applyFont="1" applyFill="1" applyBorder="1" applyAlignment="1">
      <alignment horizontal="center" vertical="center"/>
    </xf>
    <xf numFmtId="41" fontId="0" fillId="25" borderId="54" xfId="48" applyFont="1" applyFill="1" applyBorder="1" applyAlignment="1">
      <alignment horizontal="center" vertical="center"/>
    </xf>
    <xf numFmtId="41" fontId="0" fillId="24" borderId="53" xfId="48" applyFont="1" applyFill="1" applyBorder="1" applyAlignment="1">
      <alignment horizontal="center" vertical="center"/>
    </xf>
    <xf numFmtId="41" fontId="27" fillId="24" borderId="53" xfId="48" applyFont="1" applyFill="1" applyBorder="1" applyAlignment="1">
      <alignment horizontal="center" vertical="center"/>
    </xf>
    <xf numFmtId="9" fontId="0" fillId="29" borderId="20" xfId="48" applyNumberFormat="1" applyFont="1" applyFill="1" applyBorder="1" applyAlignment="1">
      <alignment horizontal="center" vertical="center"/>
    </xf>
    <xf numFmtId="9" fontId="0" fillId="29" borderId="17" xfId="48" applyNumberFormat="1" applyFont="1" applyFill="1" applyBorder="1" applyAlignment="1">
      <alignment horizontal="center" vertical="center"/>
    </xf>
    <xf numFmtId="9" fontId="0" fillId="29" borderId="18" xfId="48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vertical="center"/>
    </xf>
    <xf numFmtId="9" fontId="0" fillId="29" borderId="13" xfId="48" applyNumberFormat="1" applyFont="1" applyFill="1" applyBorder="1" applyAlignment="1">
      <alignment horizontal="center" vertical="center"/>
    </xf>
    <xf numFmtId="0" fontId="8" fillId="29" borderId="44" xfId="0" applyFont="1" applyFill="1" applyBorder="1" applyAlignment="1">
      <alignment horizontal="center" vertical="center"/>
    </xf>
    <xf numFmtId="0" fontId="8" fillId="29" borderId="45" xfId="0" applyFont="1" applyFill="1" applyBorder="1" applyAlignment="1">
      <alignment horizontal="center" vertical="center"/>
    </xf>
    <xf numFmtId="0" fontId="8" fillId="29" borderId="33" xfId="0" applyFont="1" applyFill="1" applyBorder="1" applyAlignment="1">
      <alignment horizontal="center" vertical="center"/>
    </xf>
    <xf numFmtId="14" fontId="8" fillId="29" borderId="33" xfId="0" quotePrefix="1" applyNumberFormat="1" applyFont="1" applyFill="1" applyBorder="1" applyAlignment="1">
      <alignment horizontal="center" vertical="center"/>
    </xf>
    <xf numFmtId="14" fontId="8" fillId="29" borderId="45" xfId="0" quotePrefix="1" applyNumberFormat="1" applyFont="1" applyFill="1" applyBorder="1" applyAlignment="1">
      <alignment horizontal="center" vertical="center"/>
    </xf>
    <xf numFmtId="0" fontId="8" fillId="29" borderId="33" xfId="0" quotePrefix="1" applyNumberFormat="1" applyFont="1" applyFill="1" applyBorder="1" applyAlignment="1">
      <alignment horizontal="center" vertical="center"/>
    </xf>
    <xf numFmtId="0" fontId="8" fillId="29" borderId="45" xfId="0" quotePrefix="1" applyNumberFormat="1" applyFont="1" applyFill="1" applyBorder="1" applyAlignment="1">
      <alignment horizontal="center" vertical="center"/>
    </xf>
    <xf numFmtId="185" fontId="8" fillId="29" borderId="45" xfId="48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185" fontId="8" fillId="29" borderId="33" xfId="48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186" fontId="8" fillId="29" borderId="20" xfId="0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88" fontId="14" fillId="0" borderId="20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201" fontId="8" fillId="0" borderId="20" xfId="0" applyNumberFormat="1" applyFont="1" applyFill="1" applyBorder="1" applyAlignment="1">
      <alignment horizontal="center" vertical="center"/>
    </xf>
    <xf numFmtId="55" fontId="0" fillId="35" borderId="20" xfId="0" applyNumberFormat="1" applyFill="1" applyBorder="1"/>
    <xf numFmtId="186" fontId="0" fillId="35" borderId="17" xfId="0" applyNumberFormat="1" applyFill="1" applyBorder="1"/>
    <xf numFmtId="0" fontId="0" fillId="35" borderId="20" xfId="0" applyFill="1" applyBorder="1"/>
    <xf numFmtId="0" fontId="0" fillId="35" borderId="17" xfId="0" applyFill="1" applyBorder="1"/>
    <xf numFmtId="14" fontId="0" fillId="0" borderId="0" xfId="0" applyNumberFormat="1"/>
    <xf numFmtId="14" fontId="89" fillId="0" borderId="0" xfId="0" applyNumberFormat="1" applyFont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/>
    </xf>
    <xf numFmtId="0" fontId="8" fillId="29" borderId="20" xfId="0" applyFont="1" applyFill="1" applyBorder="1" applyAlignment="1">
      <alignment horizontal="center" vertical="center"/>
    </xf>
    <xf numFmtId="14" fontId="8" fillId="29" borderId="20" xfId="0" quotePrefix="1" applyNumberFormat="1" applyFont="1" applyFill="1" applyBorder="1" applyAlignment="1">
      <alignment horizontal="center" vertical="center"/>
    </xf>
    <xf numFmtId="177" fontId="8" fillId="0" borderId="20" xfId="0" applyNumberFormat="1" applyFont="1" applyFill="1" applyBorder="1" applyAlignment="1">
      <alignment horizontal="center" vertical="center" wrapText="1"/>
    </xf>
    <xf numFmtId="0" fontId="8" fillId="29" borderId="13" xfId="0" applyFont="1" applyFill="1" applyBorder="1" applyAlignment="1">
      <alignment horizontal="center" vertical="center"/>
    </xf>
    <xf numFmtId="14" fontId="8" fillId="29" borderId="13" xfId="0" applyNumberFormat="1" applyFont="1" applyFill="1" applyBorder="1" applyAlignment="1">
      <alignment horizontal="center" vertical="center"/>
    </xf>
    <xf numFmtId="14" fontId="8" fillId="29" borderId="13" xfId="0" quotePrefix="1" applyNumberFormat="1" applyFont="1" applyFill="1" applyBorder="1" applyAlignment="1">
      <alignment horizontal="center" vertical="center"/>
    </xf>
    <xf numFmtId="199" fontId="8" fillId="0" borderId="42" xfId="41" applyNumberFormat="1" applyFont="1" applyFill="1" applyBorder="1" applyAlignment="1">
      <alignment horizontal="center" vertical="center"/>
    </xf>
    <xf numFmtId="199" fontId="8" fillId="0" borderId="43" xfId="41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14" fillId="29" borderId="20" xfId="0" applyFont="1" applyFill="1" applyBorder="1" applyAlignment="1">
      <alignment horizontal="center" vertical="center"/>
    </xf>
    <xf numFmtId="0" fontId="14" fillId="29" borderId="13" xfId="0" applyFont="1" applyFill="1" applyBorder="1" applyAlignment="1">
      <alignment horizontal="center" vertical="center"/>
    </xf>
    <xf numFmtId="0" fontId="0" fillId="25" borderId="17" xfId="0" applyFill="1" applyBorder="1" applyAlignment="1">
      <alignment horizontal="center"/>
    </xf>
    <xf numFmtId="0" fontId="0" fillId="25" borderId="2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86" fontId="14" fillId="0" borderId="0" xfId="0" applyNumberFormat="1" applyFont="1" applyFill="1" applyBorder="1"/>
    <xf numFmtId="0" fontId="0" fillId="0" borderId="0" xfId="0" applyFill="1"/>
    <xf numFmtId="0" fontId="0" fillId="36" borderId="0" xfId="0" applyFill="1" applyAlignment="1">
      <alignment vertical="center"/>
    </xf>
    <xf numFmtId="0" fontId="8" fillId="36" borderId="0" xfId="0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17" fillId="0" borderId="42" xfId="0" applyFont="1" applyFill="1" applyBorder="1" applyAlignment="1">
      <alignment vertical="center"/>
    </xf>
    <xf numFmtId="0" fontId="14" fillId="0" borderId="43" xfId="0" applyFont="1" applyFill="1" applyBorder="1" applyAlignment="1">
      <alignment vertical="center"/>
    </xf>
    <xf numFmtId="0" fontId="34" fillId="37" borderId="2" xfId="0" applyFont="1" applyFill="1" applyBorder="1" applyAlignment="1">
      <alignment vertical="center"/>
    </xf>
    <xf numFmtId="0" fontId="0" fillId="37" borderId="2" xfId="0" applyFill="1" applyBorder="1" applyAlignment="1">
      <alignment vertical="center"/>
    </xf>
    <xf numFmtId="0" fontId="0" fillId="37" borderId="21" xfId="0" applyFill="1" applyBorder="1" applyAlignment="1">
      <alignment vertical="center"/>
    </xf>
    <xf numFmtId="0" fontId="33" fillId="37" borderId="52" xfId="0" applyFont="1" applyFill="1" applyBorder="1" applyAlignment="1">
      <alignment vertical="center"/>
    </xf>
    <xf numFmtId="0" fontId="89" fillId="0" borderId="0" xfId="0" applyFont="1"/>
    <xf numFmtId="55" fontId="0" fillId="0" borderId="0" xfId="0" applyNumberFormat="1" applyFill="1" applyBorder="1" applyAlignment="1">
      <alignment horizontal="center" vertical="center"/>
    </xf>
    <xf numFmtId="186" fontId="0" fillId="0" borderId="0" xfId="0" applyNumberFormat="1" applyFill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0" xfId="0" applyBorder="1" applyAlignment="1">
      <alignment horizontal="center"/>
    </xf>
    <xf numFmtId="0" fontId="90" fillId="0" borderId="0" xfId="0" applyFont="1" applyAlignment="1">
      <alignment vertical="center"/>
    </xf>
    <xf numFmtId="0" fontId="0" fillId="0" borderId="45" xfId="0" applyBorder="1" applyAlignment="1">
      <alignment horizontal="center" vertical="center"/>
    </xf>
    <xf numFmtId="41" fontId="2" fillId="36" borderId="0" xfId="48" applyFont="1" applyFill="1" applyAlignment="1">
      <alignment vertical="center"/>
    </xf>
    <xf numFmtId="41" fontId="0" fillId="0" borderId="51" xfId="48" applyFont="1" applyFill="1" applyBorder="1" applyAlignment="1">
      <alignment horizontal="right" vertical="center"/>
    </xf>
    <xf numFmtId="43" fontId="0" fillId="0" borderId="51" xfId="48" applyNumberFormat="1" applyFont="1" applyFill="1" applyBorder="1" applyAlignment="1">
      <alignment vertical="center"/>
    </xf>
    <xf numFmtId="0" fontId="0" fillId="38" borderId="20" xfId="0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232" fontId="14" fillId="0" borderId="0" xfId="0" applyNumberFormat="1" applyFont="1" applyFill="1" applyBorder="1" applyAlignment="1">
      <alignment horizontal="center" vertical="center"/>
    </xf>
    <xf numFmtId="177" fontId="8" fillId="0" borderId="0" xfId="0" applyNumberFormat="1" applyFont="1" applyAlignment="1">
      <alignment vertical="center"/>
    </xf>
    <xf numFmtId="0" fontId="13" fillId="39" borderId="20" xfId="0" applyFont="1" applyFill="1" applyBorder="1" applyAlignment="1">
      <alignment horizontal="center" vertical="center" wrapText="1"/>
    </xf>
    <xf numFmtId="0" fontId="0" fillId="25" borderId="55" xfId="0" applyFill="1" applyBorder="1" applyAlignment="1">
      <alignment horizontal="center" vertical="center"/>
    </xf>
    <xf numFmtId="0" fontId="0" fillId="25" borderId="49" xfId="0" applyFill="1" applyBorder="1" applyAlignment="1">
      <alignment horizontal="center" vertical="center" wrapText="1"/>
    </xf>
    <xf numFmtId="0" fontId="0" fillId="25" borderId="35" xfId="0" applyFill="1" applyBorder="1" applyAlignment="1">
      <alignment horizontal="center" vertical="center" wrapText="1"/>
    </xf>
    <xf numFmtId="0" fontId="0" fillId="0" borderId="56" xfId="0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9" fontId="0" fillId="0" borderId="57" xfId="0" applyNumberFormat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9" fontId="0" fillId="0" borderId="59" xfId="0" applyNumberForma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233" fontId="2" fillId="0" borderId="59" xfId="0" applyNumberFormat="1" applyFont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233" fontId="2" fillId="0" borderId="22" xfId="0" applyNumberFormat="1" applyFont="1" applyBorder="1" applyAlignment="1">
      <alignment horizontal="center" vertical="center"/>
    </xf>
    <xf numFmtId="0" fontId="2" fillId="40" borderId="60" xfId="0" applyNumberFormat="1" applyFont="1" applyFill="1" applyBorder="1" applyAlignment="1">
      <alignment vertical="center"/>
    </xf>
    <xf numFmtId="0" fontId="2" fillId="40" borderId="61" xfId="0" applyNumberFormat="1" applyFont="1" applyFill="1" applyBorder="1" applyAlignment="1">
      <alignment vertical="center"/>
    </xf>
    <xf numFmtId="0" fontId="2" fillId="40" borderId="61" xfId="0" applyNumberFormat="1" applyFont="1" applyFill="1" applyBorder="1" applyAlignment="1">
      <alignment horizontal="center" vertical="center"/>
    </xf>
    <xf numFmtId="0" fontId="2" fillId="40" borderId="46" xfId="0" applyFont="1" applyFill="1" applyBorder="1" applyAlignment="1">
      <alignment vertical="center"/>
    </xf>
    <xf numFmtId="0" fontId="2" fillId="40" borderId="18" xfId="0" applyFont="1" applyFill="1" applyBorder="1" applyAlignment="1">
      <alignment vertical="center"/>
    </xf>
    <xf numFmtId="0" fontId="2" fillId="40" borderId="18" xfId="0" applyFont="1" applyFill="1" applyBorder="1" applyAlignment="1">
      <alignment horizontal="center" vertical="center"/>
    </xf>
    <xf numFmtId="0" fontId="2" fillId="40" borderId="21" xfId="0" applyFont="1" applyFill="1" applyBorder="1" applyAlignment="1">
      <alignment vertical="center"/>
    </xf>
    <xf numFmtId="0" fontId="2" fillId="40" borderId="20" xfId="0" applyFont="1" applyFill="1" applyBorder="1" applyAlignment="1">
      <alignment vertical="center"/>
    </xf>
    <xf numFmtId="0" fontId="15" fillId="40" borderId="32" xfId="0" applyFont="1" applyFill="1" applyBorder="1" applyAlignment="1">
      <alignment horizontal="center" vertical="center"/>
    </xf>
    <xf numFmtId="0" fontId="2" fillId="40" borderId="19" xfId="0" applyFont="1" applyFill="1" applyBorder="1" applyAlignment="1">
      <alignment vertical="center"/>
    </xf>
    <xf numFmtId="0" fontId="83" fillId="35" borderId="0" xfId="0" applyFont="1" applyFill="1" applyAlignment="1">
      <alignment vertical="center"/>
    </xf>
    <xf numFmtId="0" fontId="0" fillId="35" borderId="0" xfId="0" applyFill="1" applyAlignment="1">
      <alignment vertical="center"/>
    </xf>
    <xf numFmtId="0" fontId="91" fillId="35" borderId="20" xfId="0" applyFont="1" applyFill="1" applyBorder="1" applyAlignment="1">
      <alignment horizontal="center" vertical="center" wrapText="1"/>
    </xf>
    <xf numFmtId="0" fontId="92" fillId="35" borderId="20" xfId="0" applyFont="1" applyFill="1" applyBorder="1" applyAlignment="1">
      <alignment horizontal="center" vertical="center" wrapText="1"/>
    </xf>
    <xf numFmtId="0" fontId="84" fillId="35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35" borderId="0" xfId="0" applyFill="1" applyAlignment="1">
      <alignment horizontal="center" vertical="center"/>
    </xf>
    <xf numFmtId="0" fontId="92" fillId="35" borderId="83" xfId="0" applyFont="1" applyFill="1" applyBorder="1" applyAlignment="1">
      <alignment horizontal="center" vertical="center" wrapText="1"/>
    </xf>
    <xf numFmtId="0" fontId="92" fillId="35" borderId="84" xfId="0" applyFont="1" applyFill="1" applyBorder="1" applyAlignment="1">
      <alignment horizontal="center" vertical="center" wrapText="1"/>
    </xf>
    <xf numFmtId="0" fontId="91" fillId="35" borderId="85" xfId="0" applyFont="1" applyFill="1" applyBorder="1" applyAlignment="1">
      <alignment horizontal="center" vertical="center" wrapText="1"/>
    </xf>
    <xf numFmtId="0" fontId="92" fillId="35" borderId="85" xfId="0" applyFont="1" applyFill="1" applyBorder="1" applyAlignment="1">
      <alignment horizontal="center" vertical="center" wrapText="1"/>
    </xf>
    <xf numFmtId="0" fontId="0" fillId="35" borderId="0" xfId="0" applyFill="1" applyAlignment="1">
      <alignment horizontal="left" vertical="center"/>
    </xf>
    <xf numFmtId="0" fontId="17" fillId="30" borderId="52" xfId="0" applyFont="1" applyFill="1" applyBorder="1" applyAlignment="1">
      <alignment horizontal="left" vertical="center" wrapText="1"/>
    </xf>
    <xf numFmtId="0" fontId="17" fillId="30" borderId="2" xfId="0" applyFont="1" applyFill="1" applyBorder="1" applyAlignment="1">
      <alignment horizontal="left" vertical="center" wrapText="1"/>
    </xf>
    <xf numFmtId="0" fontId="17" fillId="30" borderId="21" xfId="0" applyFont="1" applyFill="1" applyBorder="1" applyAlignment="1">
      <alignment horizontal="left" vertical="center" wrapText="1"/>
    </xf>
    <xf numFmtId="0" fontId="29" fillId="0" borderId="0" xfId="0" applyFont="1" applyAlignment="1">
      <alignment horizontal="center" vertical="center"/>
    </xf>
    <xf numFmtId="0" fontId="93" fillId="0" borderId="38" xfId="0" applyFont="1" applyBorder="1" applyAlignment="1">
      <alignment horizontal="left" vertical="center"/>
    </xf>
    <xf numFmtId="0" fontId="93" fillId="0" borderId="33" xfId="0" applyFont="1" applyBorder="1" applyAlignment="1">
      <alignment horizontal="left" vertical="center"/>
    </xf>
    <xf numFmtId="0" fontId="93" fillId="0" borderId="28" xfId="0" applyFont="1" applyBorder="1" applyAlignment="1">
      <alignment horizontal="left" vertical="center"/>
    </xf>
    <xf numFmtId="0" fontId="17" fillId="25" borderId="20" xfId="0" applyFont="1" applyFill="1" applyBorder="1" applyAlignment="1">
      <alignment horizontal="left" vertical="center" wrapText="1"/>
    </xf>
    <xf numFmtId="0" fontId="17" fillId="0" borderId="42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43" xfId="0" applyFont="1" applyBorder="1" applyAlignment="1">
      <alignment horizontal="left" vertical="center" wrapText="1"/>
    </xf>
    <xf numFmtId="0" fontId="13" fillId="24" borderId="42" xfId="0" applyFont="1" applyFill="1" applyBorder="1" applyAlignment="1">
      <alignment horizontal="left" vertical="center" wrapText="1"/>
    </xf>
    <xf numFmtId="0" fontId="13" fillId="24" borderId="0" xfId="0" applyFont="1" applyFill="1" applyBorder="1" applyAlignment="1">
      <alignment horizontal="left" vertical="center" wrapText="1"/>
    </xf>
    <xf numFmtId="0" fontId="13" fillId="24" borderId="43" xfId="0" applyFont="1" applyFill="1" applyBorder="1" applyAlignment="1">
      <alignment horizontal="left" vertical="center" wrapText="1"/>
    </xf>
    <xf numFmtId="0" fontId="33" fillId="31" borderId="52" xfId="0" applyFont="1" applyFill="1" applyBorder="1" applyAlignment="1">
      <alignment horizontal="left" vertical="center" wrapText="1"/>
    </xf>
    <xf numFmtId="0" fontId="33" fillId="31" borderId="2" xfId="0" applyFont="1" applyFill="1" applyBorder="1" applyAlignment="1">
      <alignment horizontal="left" vertical="center" wrapText="1"/>
    </xf>
    <xf numFmtId="0" fontId="33" fillId="31" borderId="21" xfId="0" applyFont="1" applyFill="1" applyBorder="1" applyAlignment="1">
      <alignment horizontal="left" vertical="center" wrapText="1"/>
    </xf>
    <xf numFmtId="0" fontId="17" fillId="0" borderId="42" xfId="0" applyFont="1" applyBorder="1" applyAlignment="1">
      <alignment horizontal="left" vertical="center"/>
    </xf>
    <xf numFmtId="0" fontId="17" fillId="0" borderId="0" xfId="0" applyFont="1" applyBorder="1" applyAlignment="1">
      <alignment horizontal="left" vertical="center"/>
    </xf>
    <xf numFmtId="0" fontId="17" fillId="0" borderId="43" xfId="0" applyFont="1" applyBorder="1" applyAlignment="1">
      <alignment horizontal="left" vertical="center"/>
    </xf>
    <xf numFmtId="0" fontId="17" fillId="29" borderId="0" xfId="0" applyFont="1" applyFill="1" applyBorder="1" applyAlignment="1">
      <alignment horizontal="left" vertical="center"/>
    </xf>
    <xf numFmtId="0" fontId="17" fillId="29" borderId="0" xfId="0" applyFont="1" applyFill="1" applyBorder="1" applyAlignment="1">
      <alignment horizontal="center" vertical="center"/>
    </xf>
    <xf numFmtId="0" fontId="31" fillId="30" borderId="0" xfId="0" applyFont="1" applyFill="1" applyAlignment="1">
      <alignment horizontal="center" vertical="center"/>
    </xf>
    <xf numFmtId="0" fontId="0" fillId="29" borderId="0" xfId="0" applyFill="1" applyBorder="1" applyAlignment="1">
      <alignment horizontal="center"/>
    </xf>
    <xf numFmtId="0" fontId="17" fillId="29" borderId="0" xfId="0" applyFont="1" applyFill="1" applyBorder="1" applyAlignment="1">
      <alignment horizontal="left" vertical="center" indent="2"/>
    </xf>
    <xf numFmtId="0" fontId="0" fillId="29" borderId="0" xfId="0" applyFill="1" applyBorder="1" applyAlignment="1">
      <alignment horizontal="left"/>
    </xf>
    <xf numFmtId="0" fontId="26" fillId="29" borderId="0" xfId="0" applyFont="1" applyFill="1" applyBorder="1" applyAlignment="1">
      <alignment horizontal="center" vertical="center" wrapText="1"/>
    </xf>
    <xf numFmtId="0" fontId="19" fillId="29" borderId="20" xfId="0" applyFont="1" applyFill="1" applyBorder="1" applyAlignment="1">
      <alignment horizontal="center" vertical="center"/>
    </xf>
    <xf numFmtId="0" fontId="20" fillId="29" borderId="0" xfId="0" applyFont="1" applyFill="1" applyAlignment="1">
      <alignment horizontal="center" vertical="center"/>
    </xf>
    <xf numFmtId="0" fontId="19" fillId="29" borderId="44" xfId="0" applyFont="1" applyFill="1" applyBorder="1" applyAlignment="1">
      <alignment horizontal="center" vertical="center"/>
    </xf>
    <xf numFmtId="0" fontId="19" fillId="29" borderId="46" xfId="0" applyFont="1" applyFill="1" applyBorder="1" applyAlignment="1">
      <alignment horizontal="center" vertical="center"/>
    </xf>
    <xf numFmtId="0" fontId="19" fillId="29" borderId="42" xfId="0" applyFont="1" applyFill="1" applyBorder="1" applyAlignment="1">
      <alignment horizontal="center" vertical="center"/>
    </xf>
    <xf numFmtId="0" fontId="19" fillId="29" borderId="43" xfId="0" applyFont="1" applyFill="1" applyBorder="1" applyAlignment="1">
      <alignment horizontal="center" vertical="center"/>
    </xf>
    <xf numFmtId="0" fontId="19" fillId="29" borderId="38" xfId="0" applyFont="1" applyFill="1" applyBorder="1" applyAlignment="1">
      <alignment horizontal="center" vertical="center"/>
    </xf>
    <xf numFmtId="0" fontId="19" fillId="29" borderId="28" xfId="0" applyFont="1" applyFill="1" applyBorder="1" applyAlignment="1">
      <alignment horizontal="center" vertical="center"/>
    </xf>
    <xf numFmtId="184" fontId="17" fillId="29" borderId="0" xfId="0" applyNumberFormat="1" applyFont="1" applyFill="1" applyBorder="1" applyAlignment="1">
      <alignment horizontal="left" vertical="center" indent="1"/>
    </xf>
    <xf numFmtId="184" fontId="17" fillId="29" borderId="0" xfId="0" quotePrefix="1" applyNumberFormat="1" applyFont="1" applyFill="1" applyBorder="1" applyAlignment="1">
      <alignment horizontal="left" vertical="center" indent="1"/>
    </xf>
    <xf numFmtId="0" fontId="17" fillId="29" borderId="0" xfId="0" applyFont="1" applyFill="1" applyBorder="1" applyAlignment="1">
      <alignment horizontal="left" vertical="center" indent="1"/>
    </xf>
    <xf numFmtId="0" fontId="13" fillId="0" borderId="18" xfId="0" applyFont="1" applyFill="1" applyBorder="1" applyAlignment="1">
      <alignment horizontal="center" vertical="center" textRotation="255"/>
    </xf>
    <xf numFmtId="0" fontId="13" fillId="0" borderId="13" xfId="0" applyFont="1" applyFill="1" applyBorder="1" applyAlignment="1">
      <alignment horizontal="center" vertical="center" textRotation="255"/>
    </xf>
    <xf numFmtId="0" fontId="13" fillId="0" borderId="17" xfId="0" applyFont="1" applyFill="1" applyBorder="1" applyAlignment="1">
      <alignment horizontal="center" vertical="center" textRotation="255"/>
    </xf>
    <xf numFmtId="0" fontId="8" fillId="25" borderId="18" xfId="0" applyFont="1" applyFill="1" applyBorder="1" applyAlignment="1">
      <alignment horizontal="center" vertical="center" wrapText="1" readingOrder="1"/>
    </xf>
    <xf numFmtId="0" fontId="8" fillId="25" borderId="17" xfId="0" applyFont="1" applyFill="1" applyBorder="1" applyAlignment="1">
      <alignment horizontal="center" vertical="center" wrapText="1" readingOrder="1"/>
    </xf>
    <xf numFmtId="0" fontId="16" fillId="0" borderId="5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8" fillId="25" borderId="18" xfId="0" applyFont="1" applyFill="1" applyBorder="1" applyAlignment="1">
      <alignment horizontal="center" vertical="center" wrapText="1"/>
    </xf>
    <xf numFmtId="0" fontId="8" fillId="25" borderId="17" xfId="0" applyFont="1" applyFill="1" applyBorder="1" applyAlignment="1">
      <alignment horizontal="center" vertical="center" wrapText="1"/>
    </xf>
    <xf numFmtId="0" fontId="16" fillId="25" borderId="20" xfId="0" applyFont="1" applyFill="1" applyBorder="1" applyAlignment="1">
      <alignment horizontal="center" vertical="center" wrapText="1"/>
    </xf>
    <xf numFmtId="0" fontId="23" fillId="25" borderId="20" xfId="0" applyFont="1" applyFill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textRotation="255"/>
    </xf>
    <xf numFmtId="0" fontId="13" fillId="25" borderId="44" xfId="0" applyFont="1" applyFill="1" applyBorder="1" applyAlignment="1">
      <alignment horizontal="center" vertical="center" wrapText="1"/>
    </xf>
    <xf numFmtId="0" fontId="13" fillId="25" borderId="42" xfId="0" applyFont="1" applyFill="1" applyBorder="1" applyAlignment="1">
      <alignment horizontal="center" vertical="center"/>
    </xf>
    <xf numFmtId="0" fontId="13" fillId="25" borderId="38" xfId="0" applyFont="1" applyFill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wrapText="1"/>
    </xf>
    <xf numFmtId="0" fontId="8" fillId="25" borderId="20" xfId="0" applyFont="1" applyFill="1" applyBorder="1" applyAlignment="1">
      <alignment horizontal="center" vertical="center"/>
    </xf>
    <xf numFmtId="0" fontId="13" fillId="25" borderId="46" xfId="0" applyFont="1" applyFill="1" applyBorder="1" applyAlignment="1">
      <alignment horizontal="center" vertical="center" wrapText="1"/>
    </xf>
    <xf numFmtId="0" fontId="8" fillId="25" borderId="52" xfId="0" applyFont="1" applyFill="1" applyBorder="1" applyAlignment="1">
      <alignment horizontal="center" vertical="center" wrapText="1"/>
    </xf>
    <xf numFmtId="0" fontId="8" fillId="25" borderId="2" xfId="0" applyFont="1" applyFill="1" applyBorder="1" applyAlignment="1">
      <alignment horizontal="center" vertical="center" wrapText="1"/>
    </xf>
    <xf numFmtId="0" fontId="8" fillId="25" borderId="21" xfId="0" applyFont="1" applyFill="1" applyBorder="1" applyAlignment="1">
      <alignment horizontal="center" vertical="center" wrapText="1"/>
    </xf>
    <xf numFmtId="0" fontId="44" fillId="25" borderId="44" xfId="0" applyNumberFormat="1" applyFont="1" applyFill="1" applyBorder="1" applyAlignment="1">
      <alignment horizontal="center" vertical="center" wrapText="1"/>
    </xf>
    <xf numFmtId="0" fontId="44" fillId="25" borderId="45" xfId="0" applyNumberFormat="1" applyFont="1" applyFill="1" applyBorder="1" applyAlignment="1">
      <alignment horizontal="center" vertical="center" wrapText="1"/>
    </xf>
    <xf numFmtId="0" fontId="44" fillId="25" borderId="46" xfId="0" applyNumberFormat="1" applyFont="1" applyFill="1" applyBorder="1" applyAlignment="1">
      <alignment horizontal="center" vertical="center" wrapText="1"/>
    </xf>
    <xf numFmtId="0" fontId="44" fillId="25" borderId="38" xfId="0" applyNumberFormat="1" applyFont="1" applyFill="1" applyBorder="1" applyAlignment="1">
      <alignment horizontal="center" vertical="center" wrapText="1"/>
    </xf>
    <xf numFmtId="0" fontId="44" fillId="25" borderId="33" xfId="0" applyNumberFormat="1" applyFont="1" applyFill="1" applyBorder="1" applyAlignment="1">
      <alignment horizontal="center" vertical="center" wrapText="1"/>
    </xf>
    <xf numFmtId="0" fontId="44" fillId="25" borderId="28" xfId="0" applyNumberFormat="1" applyFont="1" applyFill="1" applyBorder="1" applyAlignment="1">
      <alignment horizontal="center" vertical="center" wrapText="1"/>
    </xf>
    <xf numFmtId="0" fontId="44" fillId="25" borderId="18" xfId="0" applyNumberFormat="1" applyFont="1" applyFill="1" applyBorder="1" applyAlignment="1">
      <alignment horizontal="center" vertical="center" wrapText="1"/>
    </xf>
    <xf numFmtId="0" fontId="44" fillId="25" borderId="17" xfId="0" quotePrefix="1" applyNumberFormat="1" applyFont="1" applyFill="1" applyBorder="1" applyAlignment="1">
      <alignment horizontal="center" vertical="center" wrapText="1"/>
    </xf>
    <xf numFmtId="0" fontId="1" fillId="0" borderId="52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1" fillId="0" borderId="21" xfId="0" applyFont="1" applyBorder="1" applyAlignment="1">
      <alignment horizontal="left" vertical="center" indent="1"/>
    </xf>
    <xf numFmtId="0" fontId="17" fillId="25" borderId="20" xfId="0" applyFont="1" applyFill="1" applyBorder="1" applyAlignment="1">
      <alignment horizontal="center" vertical="center" textRotation="255"/>
    </xf>
    <xf numFmtId="0" fontId="1" fillId="0" borderId="20" xfId="0" applyFont="1" applyBorder="1" applyAlignment="1">
      <alignment horizontal="left" vertical="center"/>
    </xf>
    <xf numFmtId="0" fontId="1" fillId="0" borderId="20" xfId="0" applyFont="1" applyBorder="1" applyAlignment="1">
      <alignment horizontal="center" vertical="center"/>
    </xf>
    <xf numFmtId="0" fontId="8" fillId="25" borderId="20" xfId="0" applyFont="1" applyFill="1" applyBorder="1" applyAlignment="1">
      <alignment horizontal="center" vertical="center" textRotation="255" wrapText="1"/>
    </xf>
    <xf numFmtId="0" fontId="1" fillId="0" borderId="20" xfId="0" applyFont="1" applyBorder="1" applyAlignment="1">
      <alignment horizontal="left" vertical="center" indent="1"/>
    </xf>
    <xf numFmtId="0" fontId="15" fillId="25" borderId="18" xfId="0" applyFont="1" applyFill="1" applyBorder="1" applyAlignment="1">
      <alignment horizontal="center" vertical="center" textRotation="255"/>
    </xf>
    <xf numFmtId="0" fontId="15" fillId="25" borderId="13" xfId="0" applyFont="1" applyFill="1" applyBorder="1" applyAlignment="1">
      <alignment horizontal="center" vertical="center" textRotation="255"/>
    </xf>
    <xf numFmtId="0" fontId="15" fillId="25" borderId="17" xfId="0" applyFont="1" applyFill="1" applyBorder="1" applyAlignment="1">
      <alignment horizontal="center" vertical="center" textRotation="255"/>
    </xf>
    <xf numFmtId="0" fontId="20" fillId="0" borderId="5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25" borderId="59" xfId="0" applyFill="1" applyBorder="1" applyAlignment="1">
      <alignment horizontal="center" vertical="center"/>
    </xf>
    <xf numFmtId="0" fontId="0" fillId="25" borderId="26" xfId="0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/>
    </xf>
    <xf numFmtId="0" fontId="0" fillId="25" borderId="17" xfId="0" applyFill="1" applyBorder="1" applyAlignment="1">
      <alignment horizontal="center" vertical="center"/>
    </xf>
    <xf numFmtId="0" fontId="0" fillId="25" borderId="52" xfId="0" applyFill="1" applyBorder="1" applyAlignment="1">
      <alignment horizontal="center" vertical="center"/>
    </xf>
    <xf numFmtId="0" fontId="0" fillId="25" borderId="21" xfId="0" applyFill="1" applyBorder="1" applyAlignment="1">
      <alignment horizontal="center" vertical="center"/>
    </xf>
    <xf numFmtId="0" fontId="0" fillId="25" borderId="23" xfId="0" applyFill="1" applyBorder="1" applyAlignment="1">
      <alignment horizontal="center" vertical="center"/>
    </xf>
    <xf numFmtId="0" fontId="0" fillId="25" borderId="44" xfId="0" applyFill="1" applyBorder="1" applyAlignment="1">
      <alignment horizontal="center" vertical="center"/>
    </xf>
    <xf numFmtId="0" fontId="0" fillId="25" borderId="46" xfId="0" applyFill="1" applyBorder="1" applyAlignment="1">
      <alignment horizontal="center" vertical="center"/>
    </xf>
    <xf numFmtId="0" fontId="0" fillId="25" borderId="38" xfId="0" applyFill="1" applyBorder="1" applyAlignment="1">
      <alignment horizontal="center" vertical="center"/>
    </xf>
    <xf numFmtId="0" fontId="0" fillId="25" borderId="28" xfId="0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0" fillId="29" borderId="38" xfId="0" applyFill="1" applyBorder="1" applyAlignment="1">
      <alignment horizontal="center" vertical="center"/>
    </xf>
    <xf numFmtId="0" fontId="0" fillId="29" borderId="28" xfId="0" applyFill="1" applyBorder="1" applyAlignment="1">
      <alignment horizontal="center" vertical="center"/>
    </xf>
    <xf numFmtId="0" fontId="0" fillId="25" borderId="35" xfId="0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/>
    </xf>
    <xf numFmtId="0" fontId="1" fillId="25" borderId="20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" fillId="25" borderId="18" xfId="0" applyFont="1" applyFill="1" applyBorder="1" applyAlignment="1">
      <alignment horizontal="center" vertical="center" wrapText="1"/>
    </xf>
    <xf numFmtId="0" fontId="1" fillId="25" borderId="17" xfId="0" applyFont="1" applyFill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textRotation="255"/>
    </xf>
    <xf numFmtId="0" fontId="1" fillId="0" borderId="18" xfId="0" applyFont="1" applyBorder="1" applyAlignment="1">
      <alignment horizontal="center" vertical="center" textRotation="255"/>
    </xf>
    <xf numFmtId="0" fontId="1" fillId="0" borderId="13" xfId="0" applyFont="1" applyBorder="1" applyAlignment="1">
      <alignment horizontal="center" vertical="center" textRotation="255"/>
    </xf>
    <xf numFmtId="0" fontId="1" fillId="0" borderId="17" xfId="0" applyFont="1" applyBorder="1" applyAlignment="1">
      <alignment horizontal="center" vertical="center" textRotation="255"/>
    </xf>
    <xf numFmtId="0" fontId="1" fillId="25" borderId="44" xfId="0" applyFont="1" applyFill="1" applyBorder="1" applyAlignment="1">
      <alignment horizontal="center" vertical="center"/>
    </xf>
    <xf numFmtId="0" fontId="1" fillId="25" borderId="46" xfId="0" applyFont="1" applyFill="1" applyBorder="1" applyAlignment="1">
      <alignment horizontal="center" vertical="center"/>
    </xf>
    <xf numFmtId="0" fontId="1" fillId="25" borderId="38" xfId="0" applyFont="1" applyFill="1" applyBorder="1" applyAlignment="1">
      <alignment horizontal="center" vertical="center"/>
    </xf>
    <xf numFmtId="0" fontId="1" fillId="25" borderId="28" xfId="0" applyFont="1" applyFill="1" applyBorder="1" applyAlignment="1">
      <alignment horizontal="center" vertical="center"/>
    </xf>
    <xf numFmtId="0" fontId="17" fillId="0" borderId="6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8" fillId="28" borderId="0" xfId="0" applyFont="1" applyFill="1" applyAlignment="1">
      <alignment horizontal="left" vertical="center"/>
    </xf>
    <xf numFmtId="0" fontId="8" fillId="0" borderId="5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41" fontId="13" fillId="25" borderId="44" xfId="48" applyFont="1" applyFill="1" applyBorder="1" applyAlignment="1">
      <alignment horizontal="center" vertical="center" wrapText="1"/>
    </xf>
    <xf numFmtId="41" fontId="13" fillId="25" borderId="46" xfId="48" applyFont="1" applyFill="1" applyBorder="1" applyAlignment="1">
      <alignment horizontal="center" vertical="center"/>
    </xf>
    <xf numFmtId="41" fontId="13" fillId="25" borderId="38" xfId="48" applyFont="1" applyFill="1" applyBorder="1" applyAlignment="1">
      <alignment horizontal="center" vertical="center"/>
    </xf>
    <xf numFmtId="41" fontId="13" fillId="25" borderId="28" xfId="48" applyFont="1" applyFill="1" applyBorder="1" applyAlignment="1">
      <alignment horizontal="center" vertical="center"/>
    </xf>
    <xf numFmtId="41" fontId="13" fillId="26" borderId="44" xfId="48" applyFont="1" applyFill="1" applyBorder="1" applyAlignment="1">
      <alignment horizontal="center" vertical="center" wrapText="1"/>
    </xf>
    <xf numFmtId="41" fontId="13" fillId="26" borderId="46" xfId="48" applyFont="1" applyFill="1" applyBorder="1" applyAlignment="1">
      <alignment horizontal="center" vertical="center" wrapText="1"/>
    </xf>
    <xf numFmtId="41" fontId="13" fillId="26" borderId="38" xfId="48" applyFont="1" applyFill="1" applyBorder="1" applyAlignment="1">
      <alignment horizontal="center" vertical="center" wrapText="1"/>
    </xf>
    <xf numFmtId="41" fontId="13" fillId="26" borderId="28" xfId="48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3" fillId="25" borderId="20" xfId="0" applyFont="1" applyFill="1" applyBorder="1" applyAlignment="1">
      <alignment horizontal="center" vertical="center"/>
    </xf>
    <xf numFmtId="0" fontId="13" fillId="25" borderId="18" xfId="0" applyFont="1" applyFill="1" applyBorder="1" applyAlignment="1">
      <alignment horizontal="center" vertical="center"/>
    </xf>
    <xf numFmtId="0" fontId="13" fillId="25" borderId="13" xfId="0" applyFont="1" applyFill="1" applyBorder="1" applyAlignment="1">
      <alignment horizontal="center" vertical="center"/>
    </xf>
    <xf numFmtId="0" fontId="13" fillId="25" borderId="17" xfId="0" applyFont="1" applyFill="1" applyBorder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12" fillId="0" borderId="20" xfId="0" applyFont="1" applyBorder="1" applyAlignment="1">
      <alignment horizontal="left" vertical="center" wrapText="1"/>
    </xf>
    <xf numFmtId="0" fontId="12" fillId="0" borderId="20" xfId="0" applyFont="1" applyBorder="1" applyAlignment="1">
      <alignment horizontal="left" vertical="center"/>
    </xf>
    <xf numFmtId="0" fontId="0" fillId="26" borderId="63" xfId="0" applyFill="1" applyBorder="1" applyAlignment="1">
      <alignment horizontal="center" vertical="center"/>
    </xf>
    <xf numFmtId="0" fontId="0" fillId="26" borderId="64" xfId="0" applyFill="1" applyBorder="1" applyAlignment="1">
      <alignment horizontal="center" vertical="center"/>
    </xf>
    <xf numFmtId="0" fontId="0" fillId="26" borderId="65" xfId="0" applyFill="1" applyBorder="1" applyAlignment="1">
      <alignment horizontal="center" vertical="center"/>
    </xf>
    <xf numFmtId="0" fontId="0" fillId="31" borderId="52" xfId="0" applyFill="1" applyBorder="1" applyAlignment="1">
      <alignment horizontal="center"/>
    </xf>
    <xf numFmtId="0" fontId="0" fillId="31" borderId="2" xfId="0" applyFill="1" applyBorder="1" applyAlignment="1">
      <alignment horizontal="center"/>
    </xf>
    <xf numFmtId="0" fontId="0" fillId="31" borderId="21" xfId="0" applyFill="1" applyBorder="1" applyAlignment="1">
      <alignment horizontal="center"/>
    </xf>
    <xf numFmtId="0" fontId="0" fillId="25" borderId="66" xfId="0" applyFill="1" applyBorder="1" applyAlignment="1">
      <alignment horizontal="center"/>
    </xf>
    <xf numFmtId="0" fontId="0" fillId="25" borderId="67" xfId="0" applyFill="1" applyBorder="1" applyAlignment="1">
      <alignment horizontal="center"/>
    </xf>
    <xf numFmtId="0" fontId="0" fillId="25" borderId="68" xfId="0" applyFill="1" applyBorder="1" applyAlignment="1">
      <alignment horizontal="center"/>
    </xf>
    <xf numFmtId="0" fontId="14" fillId="25" borderId="52" xfId="0" applyFont="1" applyFill="1" applyBorder="1" applyAlignment="1">
      <alignment horizontal="center"/>
    </xf>
    <xf numFmtId="0" fontId="14" fillId="25" borderId="2" xfId="0" applyFont="1" applyFill="1" applyBorder="1" applyAlignment="1">
      <alignment horizontal="center"/>
    </xf>
    <xf numFmtId="0" fontId="14" fillId="25" borderId="21" xfId="0" applyFont="1" applyFill="1" applyBorder="1" applyAlignment="1">
      <alignment horizontal="center"/>
    </xf>
    <xf numFmtId="0" fontId="0" fillId="31" borderId="52" xfId="0" applyFill="1" applyBorder="1" applyAlignment="1">
      <alignment horizontal="left"/>
    </xf>
    <xf numFmtId="0" fontId="0" fillId="31" borderId="21" xfId="0" applyFill="1" applyBorder="1" applyAlignment="1">
      <alignment horizontal="left"/>
    </xf>
    <xf numFmtId="0" fontId="16" fillId="0" borderId="0" xfId="0" applyFont="1" applyAlignment="1">
      <alignment horizontal="center" vertical="center"/>
    </xf>
    <xf numFmtId="0" fontId="0" fillId="26" borderId="47" xfId="0" applyFill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0" fillId="25" borderId="20" xfId="0" applyFill="1" applyBorder="1" applyAlignment="1">
      <alignment horizontal="center" vertical="center"/>
    </xf>
    <xf numFmtId="41" fontId="0" fillId="25" borderId="20" xfId="48" applyFont="1" applyFill="1" applyBorder="1" applyAlignment="1">
      <alignment horizontal="center" vertical="center" wrapText="1"/>
    </xf>
    <xf numFmtId="41" fontId="0" fillId="25" borderId="20" xfId="48" applyFont="1" applyFill="1" applyBorder="1" applyAlignment="1">
      <alignment horizontal="center" vertical="center"/>
    </xf>
    <xf numFmtId="0" fontId="13" fillId="25" borderId="18" xfId="0" applyFont="1" applyFill="1" applyBorder="1" applyAlignment="1">
      <alignment horizontal="center" vertical="center" wrapText="1"/>
    </xf>
    <xf numFmtId="0" fontId="13" fillId="25" borderId="13" xfId="0" applyFont="1" applyFill="1" applyBorder="1" applyAlignment="1">
      <alignment horizontal="center" vertical="center" wrapText="1"/>
    </xf>
    <xf numFmtId="0" fontId="38" fillId="34" borderId="0" xfId="0" applyFont="1" applyFill="1" applyAlignment="1">
      <alignment horizontal="left" vertical="center"/>
    </xf>
    <xf numFmtId="0" fontId="0" fillId="26" borderId="44" xfId="0" applyFill="1" applyBorder="1" applyAlignment="1">
      <alignment horizontal="center" vertical="center" textRotation="255"/>
    </xf>
    <xf numFmtId="0" fontId="0" fillId="26" borderId="42" xfId="0" applyFill="1" applyBorder="1" applyAlignment="1">
      <alignment horizontal="center" vertical="center" textRotation="255"/>
    </xf>
    <xf numFmtId="0" fontId="0" fillId="26" borderId="13" xfId="0" applyFill="1" applyBorder="1" applyAlignment="1">
      <alignment horizontal="center" vertical="center" textRotation="255"/>
    </xf>
    <xf numFmtId="0" fontId="16" fillId="32" borderId="62" xfId="0" applyFont="1" applyFill="1" applyBorder="1" applyAlignment="1">
      <alignment horizontal="center" vertical="center"/>
    </xf>
    <xf numFmtId="0" fontId="16" fillId="32" borderId="70" xfId="0" applyFont="1" applyFill="1" applyBorder="1" applyAlignment="1">
      <alignment horizontal="center" vertical="center"/>
    </xf>
    <xf numFmtId="0" fontId="0" fillId="30" borderId="13" xfId="0" applyFill="1" applyBorder="1" applyAlignment="1">
      <alignment horizontal="center" vertical="center" textRotation="255"/>
    </xf>
    <xf numFmtId="0" fontId="0" fillId="30" borderId="42" xfId="0" applyFill="1" applyBorder="1" applyAlignment="1">
      <alignment horizontal="center" vertical="center" textRotation="255"/>
    </xf>
    <xf numFmtId="0" fontId="14" fillId="24" borderId="62" xfId="0" applyFont="1" applyFill="1" applyBorder="1" applyAlignment="1">
      <alignment horizontal="center" vertical="center"/>
    </xf>
    <xf numFmtId="0" fontId="14" fillId="24" borderId="71" xfId="0" applyFont="1" applyFill="1" applyBorder="1" applyAlignment="1">
      <alignment horizontal="center" vertical="center"/>
    </xf>
    <xf numFmtId="0" fontId="0" fillId="29" borderId="49" xfId="0" applyFill="1" applyBorder="1" applyAlignment="1">
      <alignment horizontal="center" vertical="center" wrapText="1"/>
    </xf>
    <xf numFmtId="0" fontId="0" fillId="29" borderId="13" xfId="0" applyFill="1" applyBorder="1" applyAlignment="1">
      <alignment horizontal="center" vertical="center"/>
    </xf>
    <xf numFmtId="0" fontId="0" fillId="29" borderId="69" xfId="0" applyFill="1" applyBorder="1" applyAlignment="1">
      <alignment horizontal="center" vertical="center"/>
    </xf>
    <xf numFmtId="0" fontId="14" fillId="24" borderId="29" xfId="0" applyFont="1" applyFill="1" applyBorder="1" applyAlignment="1">
      <alignment horizontal="center" vertical="center"/>
    </xf>
    <xf numFmtId="0" fontId="14" fillId="24" borderId="30" xfId="0" applyFont="1" applyFill="1" applyBorder="1" applyAlignment="1">
      <alignment horizontal="center" vertical="center"/>
    </xf>
    <xf numFmtId="0" fontId="0" fillId="29" borderId="18" xfId="0" applyFill="1" applyBorder="1" applyAlignment="1">
      <alignment horizontal="center" vertical="center" wrapText="1"/>
    </xf>
    <xf numFmtId="0" fontId="0" fillId="25" borderId="18" xfId="0" applyFill="1" applyBorder="1" applyAlignment="1">
      <alignment horizontal="center" vertical="center" wrapText="1"/>
    </xf>
    <xf numFmtId="0" fontId="0" fillId="25" borderId="13" xfId="0" applyFill="1" applyBorder="1" applyAlignment="1">
      <alignment horizontal="center" vertical="center" wrapText="1"/>
    </xf>
    <xf numFmtId="0" fontId="0" fillId="25" borderId="17" xfId="0" applyFill="1" applyBorder="1" applyAlignment="1">
      <alignment horizontal="center" vertical="center" wrapText="1"/>
    </xf>
    <xf numFmtId="41" fontId="0" fillId="25" borderId="18" xfId="48" applyFont="1" applyFill="1" applyBorder="1" applyAlignment="1">
      <alignment horizontal="center" vertical="center" wrapText="1"/>
    </xf>
    <xf numFmtId="41" fontId="0" fillId="25" borderId="13" xfId="48" applyFont="1" applyFill="1" applyBorder="1" applyAlignment="1">
      <alignment horizontal="center" vertical="center" wrapText="1"/>
    </xf>
    <xf numFmtId="41" fontId="0" fillId="25" borderId="17" xfId="48" applyFont="1" applyFill="1" applyBorder="1" applyAlignment="1">
      <alignment horizontal="center" vertical="center" wrapText="1"/>
    </xf>
    <xf numFmtId="0" fontId="0" fillId="25" borderId="42" xfId="0" applyFill="1" applyBorder="1" applyAlignment="1">
      <alignment horizontal="center" vertical="center"/>
    </xf>
    <xf numFmtId="0" fontId="0" fillId="25" borderId="43" xfId="0" applyFill="1" applyBorder="1" applyAlignment="1">
      <alignment horizontal="center" vertical="center"/>
    </xf>
    <xf numFmtId="10" fontId="1" fillId="29" borderId="14" xfId="41" applyNumberFormat="1" applyFont="1" applyFill="1" applyBorder="1" applyAlignment="1">
      <alignment horizontal="center" vertical="center"/>
    </xf>
    <xf numFmtId="10" fontId="1" fillId="29" borderId="15" xfId="41" applyNumberFormat="1" applyFont="1" applyFill="1" applyBorder="1" applyAlignment="1">
      <alignment horizontal="center" vertical="center"/>
    </xf>
    <xf numFmtId="10" fontId="1" fillId="29" borderId="16" xfId="41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" fillId="24" borderId="62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1" fillId="24" borderId="70" xfId="0" applyFont="1" applyFill="1" applyBorder="1" applyAlignment="1">
      <alignment horizontal="center" vertical="center"/>
    </xf>
    <xf numFmtId="0" fontId="1" fillId="25" borderId="62" xfId="0" applyFont="1" applyFill="1" applyBorder="1" applyAlignment="1">
      <alignment horizontal="center" vertical="center"/>
    </xf>
    <xf numFmtId="0" fontId="1" fillId="25" borderId="1" xfId="0" applyFont="1" applyFill="1" applyBorder="1" applyAlignment="1">
      <alignment horizontal="center" vertical="center"/>
    </xf>
    <xf numFmtId="0" fontId="1" fillId="25" borderId="70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2" fontId="8" fillId="0" borderId="18" xfId="0" applyNumberFormat="1" applyFont="1" applyFill="1" applyBorder="1" applyAlignment="1">
      <alignment horizontal="center" vertical="center"/>
    </xf>
    <xf numFmtId="2" fontId="8" fillId="0" borderId="17" xfId="0" applyNumberFormat="1" applyFont="1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/>
    </xf>
    <xf numFmtId="0" fontId="8" fillId="29" borderId="17" xfId="0" applyFont="1" applyFill="1" applyBorder="1" applyAlignment="1">
      <alignment horizontal="center" vertical="center"/>
    </xf>
    <xf numFmtId="0" fontId="8" fillId="29" borderId="18" xfId="0" applyFont="1" applyFill="1" applyBorder="1" applyAlignment="1">
      <alignment horizontal="center" vertical="center" wrapText="1"/>
    </xf>
    <xf numFmtId="0" fontId="8" fillId="29" borderId="20" xfId="0" applyFont="1" applyFill="1" applyBorder="1" applyAlignment="1">
      <alignment horizontal="center" vertical="center"/>
    </xf>
    <xf numFmtId="14" fontId="8" fillId="29" borderId="18" xfId="0" applyNumberFormat="1" applyFont="1" applyFill="1" applyBorder="1" applyAlignment="1">
      <alignment horizontal="center" vertical="center"/>
    </xf>
    <xf numFmtId="14" fontId="8" fillId="29" borderId="17" xfId="0" applyNumberFormat="1" applyFont="1" applyFill="1" applyBorder="1" applyAlignment="1">
      <alignment horizontal="center" vertical="center"/>
    </xf>
    <xf numFmtId="14" fontId="8" fillId="29" borderId="18" xfId="0" quotePrefix="1" applyNumberFormat="1" applyFont="1" applyFill="1" applyBorder="1" applyAlignment="1">
      <alignment horizontal="center" vertical="center"/>
    </xf>
    <xf numFmtId="14" fontId="8" fillId="29" borderId="17" xfId="0" quotePrefix="1" applyNumberFormat="1" applyFont="1" applyFill="1" applyBorder="1" applyAlignment="1">
      <alignment horizontal="center" vertical="center"/>
    </xf>
    <xf numFmtId="0" fontId="95" fillId="25" borderId="20" xfId="0" applyFont="1" applyFill="1" applyBorder="1" applyAlignment="1">
      <alignment horizontal="center" vertical="center" wrapText="1"/>
    </xf>
    <xf numFmtId="0" fontId="95" fillId="25" borderId="20" xfId="0" applyFont="1" applyFill="1" applyBorder="1" applyAlignment="1">
      <alignment horizontal="center" vertical="center"/>
    </xf>
    <xf numFmtId="0" fontId="94" fillId="25" borderId="20" xfId="0" applyFont="1" applyFill="1" applyBorder="1" applyAlignment="1">
      <alignment horizontal="center" vertical="center"/>
    </xf>
    <xf numFmtId="0" fontId="95" fillId="25" borderId="44" xfId="0" applyFont="1" applyFill="1" applyBorder="1" applyAlignment="1">
      <alignment horizontal="center" vertical="center" wrapText="1"/>
    </xf>
    <xf numFmtId="0" fontId="95" fillId="25" borderId="46" xfId="0" applyFont="1" applyFill="1" applyBorder="1" applyAlignment="1">
      <alignment horizontal="center" vertical="center" wrapText="1"/>
    </xf>
    <xf numFmtId="0" fontId="95" fillId="25" borderId="38" xfId="0" applyFont="1" applyFill="1" applyBorder="1" applyAlignment="1">
      <alignment horizontal="center" vertical="center" wrapText="1"/>
    </xf>
    <xf numFmtId="0" fontId="95" fillId="25" borderId="28" xfId="0" applyFont="1" applyFill="1" applyBorder="1" applyAlignment="1">
      <alignment horizontal="center" vertical="center" wrapText="1"/>
    </xf>
    <xf numFmtId="14" fontId="8" fillId="29" borderId="20" xfId="0" quotePrefix="1" applyNumberFormat="1" applyFont="1" applyFill="1" applyBorder="1" applyAlignment="1">
      <alignment horizontal="center" vertical="center"/>
    </xf>
    <xf numFmtId="2" fontId="8" fillId="0" borderId="20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24" borderId="18" xfId="0" applyFont="1" applyFill="1" applyBorder="1" applyAlignment="1">
      <alignment horizontal="center" vertical="center"/>
    </xf>
    <xf numFmtId="0" fontId="8" fillId="24" borderId="17" xfId="0" applyFont="1" applyFill="1" applyBorder="1" applyAlignment="1">
      <alignment horizontal="center" vertical="center"/>
    </xf>
    <xf numFmtId="0" fontId="8" fillId="24" borderId="18" xfId="0" applyFont="1" applyFill="1" applyBorder="1" applyAlignment="1">
      <alignment horizontal="center" vertical="center" wrapText="1"/>
    </xf>
    <xf numFmtId="0" fontId="8" fillId="24" borderId="17" xfId="0" applyFont="1" applyFill="1" applyBorder="1" applyAlignment="1">
      <alignment horizontal="center" vertical="center" wrapText="1"/>
    </xf>
    <xf numFmtId="0" fontId="94" fillId="25" borderId="44" xfId="0" applyFont="1" applyFill="1" applyBorder="1" applyAlignment="1">
      <alignment horizontal="center" vertical="center" wrapText="1"/>
    </xf>
    <xf numFmtId="0" fontId="94" fillId="25" borderId="46" xfId="0" applyFont="1" applyFill="1" applyBorder="1" applyAlignment="1">
      <alignment horizontal="center" vertical="center" wrapText="1"/>
    </xf>
    <xf numFmtId="0" fontId="94" fillId="25" borderId="38" xfId="0" applyFont="1" applyFill="1" applyBorder="1" applyAlignment="1">
      <alignment horizontal="center" vertical="center" wrapText="1"/>
    </xf>
    <xf numFmtId="0" fontId="94" fillId="25" borderId="28" xfId="0" applyFont="1" applyFill="1" applyBorder="1" applyAlignment="1">
      <alignment horizontal="center" vertical="center" wrapText="1"/>
    </xf>
    <xf numFmtId="177" fontId="8" fillId="0" borderId="44" xfId="0" applyNumberFormat="1" applyFont="1" applyFill="1" applyBorder="1" applyAlignment="1">
      <alignment horizontal="center" vertical="center" wrapText="1"/>
    </xf>
    <xf numFmtId="177" fontId="8" fillId="0" borderId="46" xfId="0" applyNumberFormat="1" applyFont="1" applyFill="1" applyBorder="1" applyAlignment="1">
      <alignment horizontal="center" vertical="center" wrapText="1"/>
    </xf>
    <xf numFmtId="177" fontId="8" fillId="0" borderId="38" xfId="0" applyNumberFormat="1" applyFont="1" applyFill="1" applyBorder="1" applyAlignment="1">
      <alignment horizontal="center" vertical="center" wrapText="1"/>
    </xf>
    <xf numFmtId="177" fontId="8" fillId="0" borderId="28" xfId="0" applyNumberFormat="1" applyFont="1" applyFill="1" applyBorder="1" applyAlignment="1">
      <alignment horizontal="center" vertical="center" wrapText="1"/>
    </xf>
    <xf numFmtId="0" fontId="94" fillId="24" borderId="44" xfId="0" applyFont="1" applyFill="1" applyBorder="1" applyAlignment="1">
      <alignment horizontal="center" vertical="center" wrapText="1"/>
    </xf>
    <xf numFmtId="0" fontId="94" fillId="24" borderId="46" xfId="0" applyFont="1" applyFill="1" applyBorder="1" applyAlignment="1">
      <alignment horizontal="center" vertical="center" wrapText="1"/>
    </xf>
    <xf numFmtId="0" fontId="94" fillId="24" borderId="38" xfId="0" applyFont="1" applyFill="1" applyBorder="1" applyAlignment="1">
      <alignment horizontal="center" vertical="center" wrapText="1"/>
    </xf>
    <xf numFmtId="0" fontId="94" fillId="24" borderId="28" xfId="0" applyFont="1" applyFill="1" applyBorder="1" applyAlignment="1">
      <alignment horizontal="center" vertical="center" wrapText="1"/>
    </xf>
    <xf numFmtId="199" fontId="8" fillId="0" borderId="44" xfId="41" applyNumberFormat="1" applyFont="1" applyFill="1" applyBorder="1" applyAlignment="1">
      <alignment horizontal="center" vertical="center"/>
    </xf>
    <xf numFmtId="199" fontId="8" fillId="0" borderId="46" xfId="41" applyNumberFormat="1" applyFont="1" applyFill="1" applyBorder="1" applyAlignment="1">
      <alignment horizontal="center" vertical="center"/>
    </xf>
    <xf numFmtId="199" fontId="8" fillId="0" borderId="38" xfId="41" applyNumberFormat="1" applyFont="1" applyFill="1" applyBorder="1" applyAlignment="1">
      <alignment horizontal="center" vertical="center"/>
    </xf>
    <xf numFmtId="199" fontId="8" fillId="0" borderId="28" xfId="41" applyNumberFormat="1" applyFont="1" applyFill="1" applyBorder="1" applyAlignment="1">
      <alignment horizontal="center" vertical="center"/>
    </xf>
    <xf numFmtId="9" fontId="8" fillId="24" borderId="18" xfId="0" applyNumberFormat="1" applyFont="1" applyFill="1" applyBorder="1" applyAlignment="1">
      <alignment horizontal="center" vertical="center" wrapText="1"/>
    </xf>
    <xf numFmtId="9" fontId="8" fillId="24" borderId="17" xfId="0" applyNumberFormat="1" applyFont="1" applyFill="1" applyBorder="1" applyAlignment="1">
      <alignment horizontal="center" vertical="center"/>
    </xf>
    <xf numFmtId="9" fontId="94" fillId="24" borderId="18" xfId="0" applyNumberFormat="1" applyFont="1" applyFill="1" applyBorder="1" applyAlignment="1">
      <alignment horizontal="center" vertical="center" wrapText="1"/>
    </xf>
    <xf numFmtId="9" fontId="94" fillId="24" borderId="17" xfId="0" applyNumberFormat="1" applyFont="1" applyFill="1" applyBorder="1" applyAlignment="1">
      <alignment horizontal="center" vertical="center"/>
    </xf>
    <xf numFmtId="177" fontId="8" fillId="24" borderId="18" xfId="0" applyNumberFormat="1" applyFont="1" applyFill="1" applyBorder="1" applyAlignment="1">
      <alignment horizontal="center" vertical="center" wrapText="1"/>
    </xf>
    <xf numFmtId="177" fontId="8" fillId="24" borderId="17" xfId="0" applyNumberFormat="1" applyFont="1" applyFill="1" applyBorder="1" applyAlignment="1">
      <alignment horizontal="center" vertical="center"/>
    </xf>
    <xf numFmtId="199" fontId="8" fillId="0" borderId="18" xfId="41" applyNumberFormat="1" applyFont="1" applyFill="1" applyBorder="1" applyAlignment="1">
      <alignment horizontal="center" vertical="center"/>
    </xf>
    <xf numFmtId="199" fontId="8" fillId="0" borderId="17" xfId="41" applyNumberFormat="1" applyFont="1" applyFill="1" applyBorder="1" applyAlignment="1">
      <alignment horizontal="center" vertical="center"/>
    </xf>
    <xf numFmtId="177" fontId="94" fillId="24" borderId="18" xfId="0" applyNumberFormat="1" applyFont="1" applyFill="1" applyBorder="1" applyAlignment="1">
      <alignment horizontal="center" vertical="center" wrapText="1"/>
    </xf>
    <xf numFmtId="177" fontId="94" fillId="24" borderId="17" xfId="0" applyNumberFormat="1" applyFont="1" applyFill="1" applyBorder="1" applyAlignment="1">
      <alignment horizontal="center" vertical="center"/>
    </xf>
    <xf numFmtId="0" fontId="94" fillId="24" borderId="18" xfId="0" applyFont="1" applyFill="1" applyBorder="1" applyAlignment="1">
      <alignment horizontal="center" vertical="center" wrapText="1"/>
    </xf>
    <xf numFmtId="0" fontId="94" fillId="24" borderId="17" xfId="0" applyFont="1" applyFill="1" applyBorder="1" applyAlignment="1">
      <alignment horizontal="center" vertical="center"/>
    </xf>
    <xf numFmtId="0" fontId="14" fillId="0" borderId="15" xfId="0" applyFont="1" applyBorder="1" applyAlignment="1">
      <alignment horizontal="center" vertical="center" textRotation="255" wrapText="1"/>
    </xf>
    <xf numFmtId="0" fontId="14" fillId="0" borderId="16" xfId="0" applyFont="1" applyBorder="1" applyAlignment="1">
      <alignment horizontal="center" vertical="center" textRotation="255" wrapText="1"/>
    </xf>
    <xf numFmtId="0" fontId="2" fillId="25" borderId="34" xfId="0" applyFont="1" applyFill="1" applyBorder="1" applyAlignment="1">
      <alignment horizontal="center" vertical="center"/>
    </xf>
    <xf numFmtId="0" fontId="2" fillId="25" borderId="35" xfId="0" applyFont="1" applyFill="1" applyBorder="1" applyAlignment="1">
      <alignment horizontal="center" vertical="center"/>
    </xf>
    <xf numFmtId="0" fontId="2" fillId="25" borderId="36" xfId="0" applyFont="1" applyFill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25" borderId="73" xfId="0" applyFont="1" applyFill="1" applyBorder="1" applyAlignment="1">
      <alignment horizontal="center" vertical="center" textRotation="255"/>
    </xf>
    <xf numFmtId="0" fontId="2" fillId="25" borderId="15" xfId="0" applyFont="1" applyFill="1" applyBorder="1" applyAlignment="1">
      <alignment horizontal="center" vertical="center" textRotation="255"/>
    </xf>
    <xf numFmtId="0" fontId="2" fillId="25" borderId="16" xfId="0" applyFont="1" applyFill="1" applyBorder="1" applyAlignment="1">
      <alignment horizontal="center" vertical="center" textRotation="255"/>
    </xf>
    <xf numFmtId="0" fontId="0" fillId="25" borderId="36" xfId="0" applyFill="1" applyBorder="1" applyAlignment="1">
      <alignment horizontal="center" vertical="center"/>
    </xf>
    <xf numFmtId="0" fontId="0" fillId="25" borderId="27" xfId="0" applyFill="1" applyBorder="1" applyAlignment="1">
      <alignment horizontal="center" vertical="center"/>
    </xf>
    <xf numFmtId="0" fontId="2" fillId="25" borderId="74" xfId="0" applyFont="1" applyFill="1" applyBorder="1" applyAlignment="1">
      <alignment horizontal="center" vertical="center" textRotation="255"/>
    </xf>
    <xf numFmtId="0" fontId="2" fillId="25" borderId="75" xfId="0" applyFont="1" applyFill="1" applyBorder="1" applyAlignment="1">
      <alignment horizontal="center" vertical="center" textRotation="255"/>
    </xf>
    <xf numFmtId="0" fontId="2" fillId="25" borderId="40" xfId="0" applyFont="1" applyFill="1" applyBorder="1" applyAlignment="1">
      <alignment horizontal="center" vertical="center" textRotation="255"/>
    </xf>
    <xf numFmtId="0" fontId="2" fillId="25" borderId="41" xfId="0" applyFont="1" applyFill="1" applyBorder="1" applyAlignment="1">
      <alignment horizontal="center" vertical="center" textRotation="255"/>
    </xf>
    <xf numFmtId="0" fontId="2" fillId="25" borderId="55" xfId="0" applyFont="1" applyFill="1" applyBorder="1" applyAlignment="1">
      <alignment horizontal="center" vertical="center"/>
    </xf>
    <xf numFmtId="0" fontId="2" fillId="25" borderId="76" xfId="0" applyFont="1" applyFill="1" applyBorder="1" applyAlignment="1">
      <alignment horizontal="center" vertical="center"/>
    </xf>
    <xf numFmtId="0" fontId="96" fillId="35" borderId="0" xfId="0" applyFont="1" applyFill="1" applyAlignment="1">
      <alignment horizontal="left" vertical="center"/>
    </xf>
    <xf numFmtId="0" fontId="86" fillId="35" borderId="0" xfId="0" applyFont="1" applyFill="1" applyAlignment="1">
      <alignment horizontal="center" vertical="center" wrapText="1"/>
    </xf>
    <xf numFmtId="0" fontId="91" fillId="35" borderId="83" xfId="0" applyFont="1" applyFill="1" applyBorder="1" applyAlignment="1">
      <alignment horizontal="center" vertical="center" wrapText="1"/>
    </xf>
    <xf numFmtId="0" fontId="91" fillId="35" borderId="84" xfId="0" applyFont="1" applyFill="1" applyBorder="1" applyAlignment="1">
      <alignment horizontal="center" vertical="center" wrapText="1"/>
    </xf>
    <xf numFmtId="0" fontId="92" fillId="35" borderId="83" xfId="0" applyFont="1" applyFill="1" applyBorder="1" applyAlignment="1">
      <alignment horizontal="center" vertical="center" wrapText="1"/>
    </xf>
    <xf numFmtId="0" fontId="92" fillId="35" borderId="8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4" fillId="38" borderId="20" xfId="0" applyFont="1" applyFill="1" applyBorder="1" applyAlignment="1">
      <alignment horizontal="center" vertical="center"/>
    </xf>
    <xf numFmtId="226" fontId="0" fillId="0" borderId="18" xfId="41" applyNumberFormat="1" applyFont="1" applyBorder="1" applyAlignment="1">
      <alignment horizontal="center" vertical="center"/>
    </xf>
    <xf numFmtId="226" fontId="0" fillId="0" borderId="13" xfId="41" applyNumberFormat="1" applyFont="1" applyBorder="1" applyAlignment="1">
      <alignment horizontal="center" vertical="center"/>
    </xf>
    <xf numFmtId="226" fontId="0" fillId="0" borderId="17" xfId="41" applyNumberFormat="1" applyFont="1" applyBorder="1" applyAlignment="1">
      <alignment horizontal="center" vertical="center"/>
    </xf>
    <xf numFmtId="0" fontId="0" fillId="25" borderId="20" xfId="0" applyFill="1" applyBorder="1" applyAlignment="1">
      <alignment horizontal="center" vertical="center" wrapText="1"/>
    </xf>
    <xf numFmtId="0" fontId="14" fillId="25" borderId="20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14" fillId="0" borderId="18" xfId="48" applyNumberFormat="1" applyFont="1" applyBorder="1" applyAlignment="1">
      <alignment horizontal="center" vertical="center"/>
    </xf>
    <xf numFmtId="0" fontId="14" fillId="0" borderId="13" xfId="48" applyNumberFormat="1" applyFont="1" applyBorder="1" applyAlignment="1">
      <alignment horizontal="center" vertical="center"/>
    </xf>
    <xf numFmtId="0" fontId="14" fillId="0" borderId="17" xfId="48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5" borderId="52" xfId="0" applyFill="1" applyBorder="1" applyAlignment="1">
      <alignment horizontal="center" vertical="center" wrapText="1"/>
    </xf>
    <xf numFmtId="0" fontId="0" fillId="25" borderId="21" xfId="0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textRotation="255"/>
    </xf>
    <xf numFmtId="0" fontId="2" fillId="0" borderId="13" xfId="0" applyFont="1" applyBorder="1" applyAlignment="1">
      <alignment horizontal="center" vertical="center" textRotation="255"/>
    </xf>
    <xf numFmtId="0" fontId="2" fillId="0" borderId="17" xfId="0" applyFont="1" applyBorder="1" applyAlignment="1">
      <alignment horizontal="center" vertical="center" textRotation="255"/>
    </xf>
    <xf numFmtId="0" fontId="15" fillId="0" borderId="33" xfId="0" applyFont="1" applyBorder="1" applyAlignment="1">
      <alignment horizontal="center"/>
    </xf>
    <xf numFmtId="0" fontId="17" fillId="0" borderId="0" xfId="0" applyFont="1" applyAlignment="1">
      <alignment horizontal="left"/>
    </xf>
    <xf numFmtId="0" fontId="15" fillId="0" borderId="20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/>
    </xf>
    <xf numFmtId="14" fontId="89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43" xfId="0" applyNumberFormat="1" applyBorder="1" applyAlignment="1">
      <alignment horizontal="center"/>
    </xf>
    <xf numFmtId="0" fontId="12" fillId="0" borderId="44" xfId="0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86" fontId="0" fillId="0" borderId="44" xfId="0" applyNumberFormat="1" applyBorder="1" applyAlignment="1">
      <alignment horizontal="center" vertical="center"/>
    </xf>
    <xf numFmtId="0" fontId="0" fillId="31" borderId="52" xfId="0" applyFill="1" applyBorder="1" applyAlignment="1">
      <alignment horizontal="center" vertical="center"/>
    </xf>
    <xf numFmtId="0" fontId="0" fillId="31" borderId="2" xfId="0" applyFill="1" applyBorder="1" applyAlignment="1">
      <alignment horizontal="center" vertical="center"/>
    </xf>
    <xf numFmtId="0" fontId="0" fillId="31" borderId="21" xfId="0" applyFill="1" applyBorder="1" applyAlignment="1">
      <alignment horizontal="center" vertical="center"/>
    </xf>
    <xf numFmtId="186" fontId="14" fillId="31" borderId="52" xfId="0" applyNumberFormat="1" applyFont="1" applyFill="1" applyBorder="1" applyAlignment="1">
      <alignment horizontal="center" vertical="center"/>
    </xf>
    <xf numFmtId="186" fontId="14" fillId="31" borderId="2" xfId="0" applyNumberFormat="1" applyFont="1" applyFill="1" applyBorder="1" applyAlignment="1">
      <alignment horizontal="center" vertical="center"/>
    </xf>
    <xf numFmtId="186" fontId="14" fillId="31" borderId="21" xfId="0" applyNumberFormat="1" applyFont="1" applyFill="1" applyBorder="1" applyAlignment="1">
      <alignment horizontal="center" vertical="center"/>
    </xf>
    <xf numFmtId="0" fontId="16" fillId="0" borderId="78" xfId="0" applyFont="1" applyBorder="1" applyAlignment="1">
      <alignment horizontal="center" vertical="center"/>
    </xf>
    <xf numFmtId="0" fontId="16" fillId="0" borderId="7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80" xfId="0" applyFont="1" applyBorder="1" applyAlignment="1">
      <alignment horizontal="center" vertical="center"/>
    </xf>
    <xf numFmtId="0" fontId="16" fillId="0" borderId="81" xfId="0" applyFont="1" applyBorder="1" applyAlignment="1">
      <alignment horizontal="center" vertical="center"/>
    </xf>
    <xf numFmtId="9" fontId="0" fillId="0" borderId="66" xfId="41" applyFont="1" applyBorder="1" applyAlignment="1">
      <alignment horizontal="center" vertical="center"/>
    </xf>
    <xf numFmtId="9" fontId="0" fillId="0" borderId="67" xfId="41" applyFont="1" applyBorder="1" applyAlignment="1">
      <alignment horizontal="center" vertical="center"/>
    </xf>
    <xf numFmtId="9" fontId="0" fillId="0" borderId="68" xfId="41" applyFont="1" applyBorder="1" applyAlignment="1">
      <alignment horizontal="center" vertical="center"/>
    </xf>
    <xf numFmtId="9" fontId="0" fillId="0" borderId="52" xfId="41" applyFont="1" applyBorder="1" applyAlignment="1">
      <alignment horizontal="center" vertical="center"/>
    </xf>
    <xf numFmtId="9" fontId="0" fillId="0" borderId="2" xfId="41" applyFont="1" applyBorder="1" applyAlignment="1">
      <alignment horizontal="center" vertical="center"/>
    </xf>
    <xf numFmtId="9" fontId="0" fillId="0" borderId="21" xfId="41" applyFont="1" applyBorder="1" applyAlignment="1">
      <alignment horizontal="center" vertical="center"/>
    </xf>
    <xf numFmtId="0" fontId="0" fillId="0" borderId="66" xfId="0" applyFill="1" applyBorder="1" applyAlignment="1">
      <alignment horizontal="center" vertical="center"/>
    </xf>
    <xf numFmtId="0" fontId="0" fillId="0" borderId="67" xfId="0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9" fontId="0" fillId="0" borderId="63" xfId="41" applyFont="1" applyBorder="1" applyAlignment="1">
      <alignment horizontal="center" vertical="center"/>
    </xf>
    <xf numFmtId="9" fontId="0" fillId="0" borderId="64" xfId="41" applyFont="1" applyBorder="1" applyAlignment="1">
      <alignment horizontal="center" vertical="center"/>
    </xf>
    <xf numFmtId="9" fontId="0" fillId="0" borderId="65" xfId="41" applyFont="1" applyBorder="1" applyAlignment="1">
      <alignment horizontal="center" vertical="center"/>
    </xf>
    <xf numFmtId="0" fontId="0" fillId="36" borderId="52" xfId="0" applyFill="1" applyBorder="1" applyAlignment="1">
      <alignment horizontal="center" vertical="center"/>
    </xf>
    <xf numFmtId="0" fontId="0" fillId="36" borderId="2" xfId="0" applyFill="1" applyBorder="1" applyAlignment="1">
      <alignment horizontal="center" vertical="center"/>
    </xf>
    <xf numFmtId="0" fontId="0" fillId="36" borderId="21" xfId="0" applyFill="1" applyBorder="1" applyAlignment="1">
      <alignment horizontal="center" vertical="center"/>
    </xf>
    <xf numFmtId="0" fontId="0" fillId="36" borderId="63" xfId="0" applyFill="1" applyBorder="1" applyAlignment="1">
      <alignment horizontal="center" vertical="center"/>
    </xf>
    <xf numFmtId="0" fontId="0" fillId="36" borderId="64" xfId="0" applyFill="1" applyBorder="1" applyAlignment="1">
      <alignment horizontal="center" vertical="center"/>
    </xf>
    <xf numFmtId="0" fontId="0" fillId="36" borderId="65" xfId="0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186" fontId="16" fillId="0" borderId="44" xfId="0" applyNumberFormat="1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0" fillId="0" borderId="77" xfId="0" applyBorder="1" applyAlignment="1">
      <alignment horizontal="center"/>
    </xf>
    <xf numFmtId="0" fontId="0" fillId="0" borderId="82" xfId="0" applyBorder="1" applyAlignment="1">
      <alignment horizontal="center"/>
    </xf>
    <xf numFmtId="0" fontId="16" fillId="0" borderId="38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4" fillId="41" borderId="44" xfId="0" applyFont="1" applyFill="1" applyBorder="1" applyAlignment="1">
      <alignment horizontal="center" vertical="center"/>
    </xf>
    <xf numFmtId="0" fontId="14" fillId="41" borderId="45" xfId="0" applyFont="1" applyFill="1" applyBorder="1" applyAlignment="1">
      <alignment horizontal="center" vertical="center"/>
    </xf>
    <xf numFmtId="0" fontId="14" fillId="41" borderId="46" xfId="0" applyFont="1" applyFill="1" applyBorder="1" applyAlignment="1">
      <alignment horizontal="center" vertical="center"/>
    </xf>
    <xf numFmtId="0" fontId="14" fillId="41" borderId="38" xfId="0" applyFont="1" applyFill="1" applyBorder="1" applyAlignment="1">
      <alignment horizontal="center" vertical="center"/>
    </xf>
    <xf numFmtId="0" fontId="14" fillId="41" borderId="33" xfId="0" applyFont="1" applyFill="1" applyBorder="1" applyAlignment="1">
      <alignment horizontal="center" vertical="center"/>
    </xf>
    <xf numFmtId="0" fontId="14" fillId="41" borderId="28" xfId="0" applyFont="1" applyFill="1" applyBorder="1" applyAlignment="1">
      <alignment horizontal="center" vertical="center"/>
    </xf>
    <xf numFmtId="0" fontId="16" fillId="41" borderId="20" xfId="0" applyFont="1" applyFill="1" applyBorder="1" applyAlignment="1">
      <alignment horizontal="center" vertical="center"/>
    </xf>
    <xf numFmtId="0" fontId="16" fillId="41" borderId="44" xfId="0" applyFont="1" applyFill="1" applyBorder="1" applyAlignment="1">
      <alignment horizontal="center" vertical="center" wrapText="1"/>
    </xf>
    <xf numFmtId="0" fontId="16" fillId="41" borderId="45" xfId="0" applyFont="1" applyFill="1" applyBorder="1" applyAlignment="1">
      <alignment horizontal="center" vertical="center" wrapText="1"/>
    </xf>
    <xf numFmtId="0" fontId="16" fillId="41" borderId="46" xfId="0" applyFont="1" applyFill="1" applyBorder="1" applyAlignment="1">
      <alignment horizontal="center" vertical="center" wrapText="1"/>
    </xf>
    <xf numFmtId="0" fontId="16" fillId="41" borderId="42" xfId="0" applyFont="1" applyFill="1" applyBorder="1" applyAlignment="1">
      <alignment horizontal="center" vertical="center" wrapText="1"/>
    </xf>
    <xf numFmtId="0" fontId="16" fillId="41" borderId="0" xfId="0" applyFont="1" applyFill="1" applyBorder="1" applyAlignment="1">
      <alignment horizontal="center" vertical="center" wrapText="1"/>
    </xf>
    <xf numFmtId="0" fontId="16" fillId="41" borderId="43" xfId="0" applyFont="1" applyFill="1" applyBorder="1" applyAlignment="1">
      <alignment horizontal="center" vertical="center" wrapText="1"/>
    </xf>
    <xf numFmtId="0" fontId="16" fillId="41" borderId="38" xfId="0" applyFont="1" applyFill="1" applyBorder="1" applyAlignment="1">
      <alignment horizontal="center" vertical="center" wrapText="1"/>
    </xf>
    <xf numFmtId="0" fontId="16" fillId="41" borderId="33" xfId="0" applyFont="1" applyFill="1" applyBorder="1" applyAlignment="1">
      <alignment horizontal="center" vertical="center" wrapText="1"/>
    </xf>
    <xf numFmtId="0" fontId="16" fillId="41" borderId="28" xfId="0" applyFont="1" applyFill="1" applyBorder="1" applyAlignment="1">
      <alignment horizontal="center" vertical="center" wrapText="1"/>
    </xf>
    <xf numFmtId="0" fontId="16" fillId="41" borderId="44" xfId="0" applyFont="1" applyFill="1" applyBorder="1" applyAlignment="1">
      <alignment horizontal="center" vertical="center"/>
    </xf>
    <xf numFmtId="0" fontId="16" fillId="41" borderId="45" xfId="0" applyFont="1" applyFill="1" applyBorder="1" applyAlignment="1">
      <alignment horizontal="center" vertical="center"/>
    </xf>
    <xf numFmtId="0" fontId="16" fillId="41" borderId="46" xfId="0" applyFont="1" applyFill="1" applyBorder="1" applyAlignment="1">
      <alignment horizontal="center" vertical="center"/>
    </xf>
    <xf numFmtId="0" fontId="16" fillId="41" borderId="38" xfId="0" applyFont="1" applyFill="1" applyBorder="1" applyAlignment="1">
      <alignment horizontal="center" vertical="center"/>
    </xf>
    <xf numFmtId="0" fontId="16" fillId="41" borderId="33" xfId="0" applyFont="1" applyFill="1" applyBorder="1" applyAlignment="1">
      <alignment horizontal="center" vertical="center"/>
    </xf>
    <xf numFmtId="0" fontId="16" fillId="41" borderId="28" xfId="0" applyFont="1" applyFill="1" applyBorder="1" applyAlignment="1">
      <alignment horizontal="center" vertical="center"/>
    </xf>
    <xf numFmtId="0" fontId="14" fillId="41" borderId="44" xfId="0" applyFont="1" applyFill="1" applyBorder="1" applyAlignment="1">
      <alignment horizontal="center" vertical="center" wrapText="1"/>
    </xf>
    <xf numFmtId="0" fontId="14" fillId="41" borderId="45" xfId="0" applyFont="1" applyFill="1" applyBorder="1" applyAlignment="1">
      <alignment horizontal="center" vertical="center" wrapText="1"/>
    </xf>
    <xf numFmtId="0" fontId="14" fillId="41" borderId="46" xfId="0" applyFont="1" applyFill="1" applyBorder="1" applyAlignment="1">
      <alignment horizontal="center" vertical="center" wrapText="1"/>
    </xf>
    <xf numFmtId="0" fontId="14" fillId="41" borderId="42" xfId="0" applyFont="1" applyFill="1" applyBorder="1" applyAlignment="1">
      <alignment horizontal="center" vertical="center" wrapText="1"/>
    </xf>
    <xf numFmtId="0" fontId="14" fillId="41" borderId="0" xfId="0" applyFont="1" applyFill="1" applyBorder="1" applyAlignment="1">
      <alignment horizontal="center" vertical="center" wrapText="1"/>
    </xf>
    <xf numFmtId="0" fontId="14" fillId="41" borderId="43" xfId="0" applyFont="1" applyFill="1" applyBorder="1" applyAlignment="1">
      <alignment horizontal="center" vertical="center" wrapText="1"/>
    </xf>
    <xf numFmtId="0" fontId="14" fillId="41" borderId="38" xfId="0" applyFont="1" applyFill="1" applyBorder="1" applyAlignment="1">
      <alignment horizontal="center" vertical="center" wrapText="1"/>
    </xf>
    <xf numFmtId="0" fontId="14" fillId="41" borderId="33" xfId="0" applyFont="1" applyFill="1" applyBorder="1" applyAlignment="1">
      <alignment horizontal="center" vertical="center" wrapText="1"/>
    </xf>
    <xf numFmtId="0" fontId="14" fillId="41" borderId="28" xfId="0" applyFont="1" applyFill="1" applyBorder="1" applyAlignment="1">
      <alignment horizontal="center" vertical="center" wrapText="1"/>
    </xf>
    <xf numFmtId="0" fontId="14" fillId="41" borderId="42" xfId="0" applyFont="1" applyFill="1" applyBorder="1" applyAlignment="1">
      <alignment horizontal="center" vertical="center"/>
    </xf>
    <xf numFmtId="0" fontId="14" fillId="41" borderId="0" xfId="0" applyFont="1" applyFill="1" applyBorder="1" applyAlignment="1">
      <alignment horizontal="center" vertical="center"/>
    </xf>
    <xf numFmtId="0" fontId="14" fillId="41" borderId="43" xfId="0" applyFont="1" applyFill="1" applyBorder="1" applyAlignment="1">
      <alignment horizontal="center" vertical="center"/>
    </xf>
    <xf numFmtId="0" fontId="14" fillId="41" borderId="20" xfId="0" applyFont="1" applyFill="1" applyBorder="1" applyAlignment="1">
      <alignment horizontal="center" vertical="center"/>
    </xf>
    <xf numFmtId="0" fontId="53" fillId="41" borderId="44" xfId="0" applyFont="1" applyFill="1" applyBorder="1" applyAlignment="1">
      <alignment horizontal="center" vertical="center" wrapText="1"/>
    </xf>
    <xf numFmtId="0" fontId="53" fillId="41" borderId="45" xfId="0" applyFont="1" applyFill="1" applyBorder="1" applyAlignment="1">
      <alignment horizontal="center" vertical="center" wrapText="1"/>
    </xf>
    <xf numFmtId="0" fontId="53" fillId="41" borderId="46" xfId="0" applyFont="1" applyFill="1" applyBorder="1" applyAlignment="1">
      <alignment horizontal="center" vertical="center" wrapText="1"/>
    </xf>
    <xf numFmtId="0" fontId="53" fillId="41" borderId="38" xfId="0" applyFont="1" applyFill="1" applyBorder="1" applyAlignment="1">
      <alignment horizontal="center" vertical="center" wrapText="1"/>
    </xf>
    <xf numFmtId="0" fontId="53" fillId="41" borderId="33" xfId="0" applyFont="1" applyFill="1" applyBorder="1" applyAlignment="1">
      <alignment horizontal="center" vertical="center" wrapText="1"/>
    </xf>
    <xf numFmtId="0" fontId="53" fillId="41" borderId="28" xfId="0" applyFont="1" applyFill="1" applyBorder="1" applyAlignment="1">
      <alignment horizontal="center" vertical="center" wrapText="1"/>
    </xf>
    <xf numFmtId="55" fontId="0" fillId="25" borderId="52" xfId="0" applyNumberFormat="1" applyFill="1" applyBorder="1" applyAlignment="1">
      <alignment horizontal="center" vertical="center"/>
    </xf>
    <xf numFmtId="55" fontId="0" fillId="25" borderId="2" xfId="0" applyNumberFormat="1" applyFill="1" applyBorder="1" applyAlignment="1">
      <alignment horizontal="center" vertical="center"/>
    </xf>
    <xf numFmtId="55" fontId="0" fillId="25" borderId="21" xfId="0" applyNumberFormat="1" applyFill="1" applyBorder="1" applyAlignment="1">
      <alignment horizontal="center" vertical="center"/>
    </xf>
    <xf numFmtId="186" fontId="0" fillId="25" borderId="52" xfId="0" applyNumberFormat="1" applyFill="1" applyBorder="1" applyAlignment="1">
      <alignment horizontal="center" vertical="center"/>
    </xf>
    <xf numFmtId="186" fontId="0" fillId="25" borderId="2" xfId="0" applyNumberFormat="1" applyFill="1" applyBorder="1" applyAlignment="1">
      <alignment horizontal="center" vertical="center"/>
    </xf>
    <xf numFmtId="186" fontId="0" fillId="25" borderId="21" xfId="0" applyNumberFormat="1" applyFill="1" applyBorder="1" applyAlignment="1">
      <alignment horizontal="center" vertical="center"/>
    </xf>
    <xf numFmtId="0" fontId="0" fillId="25" borderId="33" xfId="0" applyFill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55" fontId="8" fillId="25" borderId="66" xfId="0" applyNumberFormat="1" applyFont="1" applyFill="1" applyBorder="1" applyAlignment="1">
      <alignment horizontal="center" vertical="center"/>
    </xf>
    <xf numFmtId="55" fontId="8" fillId="25" borderId="67" xfId="0" applyNumberFormat="1" applyFont="1" applyFill="1" applyBorder="1" applyAlignment="1">
      <alignment horizontal="center" vertical="center"/>
    </xf>
    <xf numFmtId="55" fontId="8" fillId="25" borderId="68" xfId="0" applyNumberFormat="1" applyFont="1" applyFill="1" applyBorder="1" applyAlignment="1">
      <alignment horizontal="center" vertical="center"/>
    </xf>
    <xf numFmtId="186" fontId="0" fillId="25" borderId="66" xfId="0" applyNumberFormat="1" applyFill="1" applyBorder="1" applyAlignment="1">
      <alignment horizontal="center" vertical="center"/>
    </xf>
    <xf numFmtId="186" fontId="0" fillId="25" borderId="67" xfId="0" applyNumberFormat="1" applyFill="1" applyBorder="1" applyAlignment="1">
      <alignment horizontal="center" vertical="center"/>
    </xf>
    <xf numFmtId="186" fontId="0" fillId="25" borderId="68" xfId="0" applyNumberFormat="1" applyFill="1" applyBorder="1" applyAlignment="1">
      <alignment horizontal="center" vertical="center"/>
    </xf>
    <xf numFmtId="55" fontId="0" fillId="25" borderId="66" xfId="0" applyNumberFormat="1" applyFill="1" applyBorder="1" applyAlignment="1">
      <alignment horizontal="center" vertical="center"/>
    </xf>
    <xf numFmtId="55" fontId="0" fillId="25" borderId="67" xfId="0" applyNumberFormat="1" applyFill="1" applyBorder="1" applyAlignment="1">
      <alignment horizontal="center" vertical="center"/>
    </xf>
    <xf numFmtId="55" fontId="0" fillId="25" borderId="68" xfId="0" applyNumberFormat="1" applyFill="1" applyBorder="1" applyAlignment="1">
      <alignment horizontal="center" vertical="center"/>
    </xf>
    <xf numFmtId="55" fontId="0" fillId="35" borderId="52" xfId="0" applyNumberFormat="1" applyFill="1" applyBorder="1" applyAlignment="1">
      <alignment horizontal="center" vertical="center"/>
    </xf>
    <xf numFmtId="55" fontId="0" fillId="35" borderId="2" xfId="0" applyNumberFormat="1" applyFill="1" applyBorder="1" applyAlignment="1">
      <alignment horizontal="center" vertical="center"/>
    </xf>
    <xf numFmtId="55" fontId="0" fillId="35" borderId="21" xfId="0" applyNumberFormat="1" applyFill="1" applyBorder="1" applyAlignment="1">
      <alignment horizontal="center" vertical="center"/>
    </xf>
    <xf numFmtId="186" fontId="0" fillId="35" borderId="52" xfId="0" applyNumberFormat="1" applyFill="1" applyBorder="1" applyAlignment="1">
      <alignment horizontal="center" vertical="center"/>
    </xf>
    <xf numFmtId="186" fontId="0" fillId="35" borderId="2" xfId="0" applyNumberFormat="1" applyFill="1" applyBorder="1" applyAlignment="1">
      <alignment horizontal="center" vertical="center"/>
    </xf>
    <xf numFmtId="186" fontId="0" fillId="35" borderId="21" xfId="0" applyNumberFormat="1" applyFill="1" applyBorder="1" applyAlignment="1">
      <alignment horizontal="center" vertical="center"/>
    </xf>
    <xf numFmtId="0" fontId="90" fillId="0" borderId="0" xfId="0" applyFont="1" applyAlignment="1">
      <alignment horizontal="center" vertical="center"/>
    </xf>
    <xf numFmtId="0" fontId="43" fillId="0" borderId="0" xfId="0" applyFont="1" applyAlignment="1">
      <alignment horizontal="center" vertical="center"/>
    </xf>
  </cellXfs>
  <cellStyles count="64">
    <cellStyle name="20% - 강조색1 2" xfId="1"/>
    <cellStyle name="20% - 강조색2 2" xfId="2"/>
    <cellStyle name="20% - 강조색3 2" xfId="3"/>
    <cellStyle name="20% - 강조색4 2" xfId="4"/>
    <cellStyle name="20% - 강조색5 2" xfId="5"/>
    <cellStyle name="20% - 강조색6 2" xfId="6"/>
    <cellStyle name="40% - 강조색1 2" xfId="7"/>
    <cellStyle name="40% - 강조색2 2" xfId="8"/>
    <cellStyle name="40% - 강조색3 2" xfId="9"/>
    <cellStyle name="40% - 강조색4 2" xfId="10"/>
    <cellStyle name="40% - 강조색5 2" xfId="11"/>
    <cellStyle name="40% - 강조색6 2" xfId="12"/>
    <cellStyle name="60% - 강조색1 2" xfId="13"/>
    <cellStyle name="60% - 강조색2 2" xfId="14"/>
    <cellStyle name="60% - 강조색3 2" xfId="15"/>
    <cellStyle name="60% - 강조색4 2" xfId="16"/>
    <cellStyle name="60% - 강조색5 2" xfId="17"/>
    <cellStyle name="60% - 강조색6 2" xfId="18"/>
    <cellStyle name="AeE­ [0]_INQUIRY ¿μ¾÷AßAø " xfId="19"/>
    <cellStyle name="AeE­_INQUIRY ¿μ¾÷AßAø " xfId="20"/>
    <cellStyle name="AÞ¸¶ [0]_INQUIRY ¿μ¾÷AßAø " xfId="21"/>
    <cellStyle name="AÞ¸¶_INQUIRY ¿μ¾÷AßAø " xfId="22"/>
    <cellStyle name="C￥AØ_¿μ¾÷CoE² " xfId="23"/>
    <cellStyle name="Comma [0]_ SG&amp;A Bridge " xfId="24"/>
    <cellStyle name="Comma_ SG&amp;A Bridge " xfId="25"/>
    <cellStyle name="Currency [0]_ SG&amp;A Bridge " xfId="26"/>
    <cellStyle name="Currency_ SG&amp;A Bridge " xfId="27"/>
    <cellStyle name="Header1" xfId="28"/>
    <cellStyle name="Header2" xfId="29"/>
    <cellStyle name="Normal_ SG&amp;A Bridge " xfId="30"/>
    <cellStyle name="강조색1 2" xfId="31"/>
    <cellStyle name="강조색2 2" xfId="32"/>
    <cellStyle name="강조색3 2" xfId="33"/>
    <cellStyle name="강조색4 2" xfId="34"/>
    <cellStyle name="강조색5 2" xfId="35"/>
    <cellStyle name="강조색6 2" xfId="36"/>
    <cellStyle name="경고문 2" xfId="37"/>
    <cellStyle name="계산 2" xfId="38"/>
    <cellStyle name="나쁨 2" xfId="39"/>
    <cellStyle name="메모 2" xfId="40"/>
    <cellStyle name="백분율" xfId="41" builtinId="5"/>
    <cellStyle name="백분율 19" xfId="42"/>
    <cellStyle name="백분율 3" xfId="43"/>
    <cellStyle name="보통 2" xfId="44"/>
    <cellStyle name="뷭?_BOOKSHIP" xfId="45"/>
    <cellStyle name="설명 텍스트 2" xfId="46"/>
    <cellStyle name="셀 확인 2" xfId="47"/>
    <cellStyle name="쉼표 [0]" xfId="48" builtinId="6"/>
    <cellStyle name="쉼표 [0] 2" xfId="49"/>
    <cellStyle name="쉼표 [0] 2 2" xfId="50"/>
    <cellStyle name="연결된 셀 2" xfId="51"/>
    <cellStyle name="요약 2" xfId="52"/>
    <cellStyle name="입력 2" xfId="53"/>
    <cellStyle name="제목 1 2" xfId="54"/>
    <cellStyle name="제목 2 2" xfId="55"/>
    <cellStyle name="제목 3 2" xfId="56"/>
    <cellStyle name="제목 4 2" xfId="57"/>
    <cellStyle name="제목 5" xfId="58"/>
    <cellStyle name="좋음 2" xfId="59"/>
    <cellStyle name="출력 2" xfId="60"/>
    <cellStyle name="콤마 [0]_" xfId="61"/>
    <cellStyle name="콤마_11기성내역서" xfId="62"/>
    <cellStyle name="표준" xfId="0" builtinId="0"/>
    <cellStyle name="표준_kc-elec system check list" xfId="6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10.xml"/><Relationship Id="rId1" Type="http://schemas.openxmlformats.org/officeDocument/2006/relationships/vmlDrawing" Target="../drawings/vmlDrawing10.v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H29"/>
  <sheetViews>
    <sheetView tabSelected="1" zoomScaleNormal="100" workbookViewId="0">
      <selection sqref="A1:H1"/>
    </sheetView>
  </sheetViews>
  <sheetFormatPr defaultRowHeight="13.5"/>
  <cols>
    <col min="1" max="6" width="8.88671875" style="14"/>
    <col min="7" max="7" width="21.109375" style="14" customWidth="1"/>
    <col min="8" max="8" width="13.77734375" style="14" customWidth="1"/>
    <col min="9" max="16384" width="8.88671875" style="14"/>
  </cols>
  <sheetData>
    <row r="1" spans="1:8" s="29" customFormat="1" ht="25.5">
      <c r="A1" s="377" t="s">
        <v>297</v>
      </c>
      <c r="B1" s="377"/>
      <c r="C1" s="377"/>
      <c r="D1" s="377"/>
      <c r="E1" s="377"/>
      <c r="F1" s="377"/>
      <c r="G1" s="377"/>
      <c r="H1" s="377"/>
    </row>
    <row r="3" spans="1:8" ht="23.25" customHeight="1">
      <c r="A3" s="155" t="s">
        <v>212</v>
      </c>
      <c r="B3" s="156"/>
      <c r="C3" s="156"/>
      <c r="D3" s="156"/>
      <c r="E3" s="156"/>
      <c r="F3" s="156"/>
      <c r="G3" s="156"/>
      <c r="H3" s="157"/>
    </row>
    <row r="4" spans="1:8" ht="31.5" customHeight="1">
      <c r="A4" s="385" t="s">
        <v>251</v>
      </c>
      <c r="B4" s="386"/>
      <c r="C4" s="386"/>
      <c r="D4" s="386"/>
      <c r="E4" s="386"/>
      <c r="F4" s="386"/>
      <c r="G4" s="386"/>
      <c r="H4" s="387"/>
    </row>
    <row r="5" spans="1:8" ht="20.25" customHeight="1">
      <c r="A5" s="144" t="s">
        <v>180</v>
      </c>
      <c r="B5" s="145"/>
      <c r="C5" s="145"/>
      <c r="D5" s="145"/>
      <c r="E5" s="145"/>
      <c r="F5" s="145"/>
      <c r="G5" s="145"/>
      <c r="H5" s="146"/>
    </row>
    <row r="6" spans="1:8" ht="20.25" customHeight="1">
      <c r="A6" s="382" t="s">
        <v>185</v>
      </c>
      <c r="B6" s="383"/>
      <c r="C6" s="383"/>
      <c r="D6" s="383"/>
      <c r="E6" s="383"/>
      <c r="F6" s="383"/>
      <c r="G6" s="383"/>
      <c r="H6" s="384"/>
    </row>
    <row r="7" spans="1:8" ht="20.25" customHeight="1">
      <c r="A7" s="144" t="s">
        <v>179</v>
      </c>
      <c r="B7" s="145"/>
      <c r="C7" s="145"/>
      <c r="D7" s="145"/>
      <c r="E7" s="145"/>
      <c r="F7" s="145"/>
      <c r="G7" s="145"/>
      <c r="H7" s="146"/>
    </row>
    <row r="8" spans="1:8" ht="20.25" customHeight="1">
      <c r="A8" s="144" t="s">
        <v>551</v>
      </c>
      <c r="B8" s="145"/>
      <c r="C8" s="145"/>
      <c r="D8" s="145"/>
      <c r="E8" s="145"/>
      <c r="F8" s="145"/>
      <c r="G8" s="145"/>
      <c r="H8" s="146"/>
    </row>
    <row r="9" spans="1:8" ht="20.25" customHeight="1">
      <c r="A9" s="144" t="s">
        <v>550</v>
      </c>
      <c r="B9" s="145"/>
      <c r="C9" s="145"/>
      <c r="D9" s="145"/>
      <c r="E9" s="145"/>
      <c r="F9" s="145"/>
      <c r="G9" s="145"/>
      <c r="H9" s="146"/>
    </row>
    <row r="10" spans="1:8" ht="20.25" customHeight="1">
      <c r="A10" s="144" t="s">
        <v>549</v>
      </c>
      <c r="B10" s="145"/>
      <c r="C10" s="145"/>
      <c r="D10" s="145"/>
      <c r="E10" s="145"/>
      <c r="F10" s="145"/>
      <c r="G10" s="145"/>
      <c r="H10" s="146"/>
    </row>
    <row r="11" spans="1:8" ht="20.25" customHeight="1">
      <c r="A11" s="144" t="s">
        <v>554</v>
      </c>
      <c r="B11" s="145"/>
      <c r="C11" s="145"/>
      <c r="D11" s="145"/>
      <c r="E11" s="145"/>
      <c r="F11" s="145"/>
      <c r="G11" s="145"/>
      <c r="H11" s="146"/>
    </row>
    <row r="12" spans="1:8" ht="20.25" customHeight="1">
      <c r="A12" s="144" t="s">
        <v>365</v>
      </c>
      <c r="B12" s="145"/>
      <c r="C12" s="145"/>
      <c r="D12" s="145"/>
      <c r="E12" s="145"/>
      <c r="F12" s="145"/>
      <c r="G12" s="145"/>
      <c r="H12" s="146"/>
    </row>
    <row r="13" spans="1:8" ht="20.25" customHeight="1">
      <c r="A13" s="144" t="s">
        <v>548</v>
      </c>
      <c r="B13" s="145"/>
      <c r="C13" s="145"/>
      <c r="D13" s="145"/>
      <c r="E13" s="145"/>
      <c r="F13" s="145"/>
      <c r="G13" s="145"/>
      <c r="H13" s="146"/>
    </row>
    <row r="14" spans="1:8" ht="20.25" customHeight="1">
      <c r="A14" s="144" t="s">
        <v>547</v>
      </c>
      <c r="B14" s="145"/>
      <c r="C14" s="145"/>
      <c r="D14" s="145"/>
      <c r="E14" s="145"/>
      <c r="F14" s="145"/>
      <c r="G14" s="145"/>
      <c r="H14" s="146"/>
    </row>
    <row r="15" spans="1:8" ht="20.25" customHeight="1">
      <c r="A15" s="144" t="s">
        <v>553</v>
      </c>
      <c r="B15" s="145"/>
      <c r="C15" s="145"/>
      <c r="D15" s="145"/>
      <c r="E15" s="145"/>
      <c r="F15" s="145"/>
      <c r="G15" s="145"/>
      <c r="H15" s="146"/>
    </row>
    <row r="16" spans="1:8" ht="20.25" customHeight="1">
      <c r="A16" s="144" t="s">
        <v>181</v>
      </c>
      <c r="B16" s="145"/>
      <c r="C16" s="145"/>
      <c r="D16" s="145"/>
      <c r="E16" s="145"/>
      <c r="F16" s="145"/>
      <c r="G16" s="145"/>
      <c r="H16" s="146"/>
    </row>
    <row r="17" spans="1:8" ht="20.25" customHeight="1">
      <c r="A17" s="144" t="s">
        <v>552</v>
      </c>
      <c r="B17" s="145"/>
      <c r="C17" s="145"/>
      <c r="D17" s="145"/>
      <c r="E17" s="145"/>
      <c r="F17" s="145"/>
      <c r="G17" s="145"/>
      <c r="H17" s="146"/>
    </row>
    <row r="18" spans="1:8" ht="20.25" customHeight="1">
      <c r="A18" s="144" t="s">
        <v>391</v>
      </c>
      <c r="B18" s="145"/>
      <c r="C18" s="145"/>
      <c r="D18" s="145"/>
      <c r="E18" s="145"/>
      <c r="F18" s="145"/>
      <c r="G18" s="145"/>
      <c r="H18" s="146"/>
    </row>
    <row r="19" spans="1:8" ht="20.25" customHeight="1">
      <c r="A19" s="144" t="s">
        <v>356</v>
      </c>
      <c r="B19" s="145"/>
      <c r="C19" s="145"/>
      <c r="D19" s="145"/>
      <c r="E19" s="145"/>
      <c r="F19" s="145"/>
      <c r="G19" s="145"/>
      <c r="H19" s="146"/>
    </row>
    <row r="20" spans="1:8" ht="20.25" customHeight="1">
      <c r="A20" s="144" t="s">
        <v>366</v>
      </c>
      <c r="B20" s="145"/>
      <c r="C20" s="145"/>
      <c r="D20" s="145"/>
      <c r="E20" s="145"/>
      <c r="F20" s="145"/>
      <c r="G20" s="145"/>
      <c r="H20" s="146"/>
    </row>
    <row r="21" spans="1:8" ht="20.25" customHeight="1">
      <c r="A21" s="144" t="s">
        <v>367</v>
      </c>
      <c r="B21" s="145"/>
      <c r="C21" s="145"/>
      <c r="D21" s="145"/>
      <c r="E21" s="145"/>
      <c r="F21" s="145"/>
      <c r="G21" s="145"/>
      <c r="H21" s="146"/>
    </row>
    <row r="22" spans="1:8" ht="20.25" customHeight="1">
      <c r="A22" s="317" t="s">
        <v>406</v>
      </c>
      <c r="B22" s="316"/>
      <c r="C22" s="316"/>
      <c r="D22" s="316"/>
      <c r="E22" s="316"/>
      <c r="F22" s="316"/>
      <c r="G22" s="316"/>
      <c r="H22" s="318"/>
    </row>
    <row r="23" spans="1:8" ht="20.25" customHeight="1">
      <c r="A23" s="391" t="s">
        <v>407</v>
      </c>
      <c r="B23" s="392"/>
      <c r="C23" s="392"/>
      <c r="D23" s="392"/>
      <c r="E23" s="392"/>
      <c r="F23" s="392"/>
      <c r="G23" s="392"/>
      <c r="H23" s="393"/>
    </row>
    <row r="24" spans="1:8" ht="19.5" customHeight="1">
      <c r="A24" s="378" t="s">
        <v>555</v>
      </c>
      <c r="B24" s="379"/>
      <c r="C24" s="379"/>
      <c r="D24" s="379"/>
      <c r="E24" s="379"/>
      <c r="F24" s="379"/>
      <c r="G24" s="379"/>
      <c r="H24" s="380"/>
    </row>
    <row r="25" spans="1:8" ht="50.25" customHeight="1">
      <c r="A25" s="381" t="s">
        <v>468</v>
      </c>
      <c r="B25" s="381"/>
      <c r="C25" s="381"/>
      <c r="D25" s="381"/>
      <c r="E25" s="381"/>
      <c r="F25" s="381"/>
      <c r="G25" s="381"/>
      <c r="H25" s="381"/>
    </row>
    <row r="26" spans="1:8" ht="24" customHeight="1">
      <c r="A26" s="322" t="s">
        <v>469</v>
      </c>
      <c r="B26" s="319"/>
      <c r="C26" s="319"/>
      <c r="D26" s="319"/>
      <c r="E26" s="319"/>
      <c r="F26" s="320"/>
      <c r="G26" s="320"/>
      <c r="H26" s="321"/>
    </row>
    <row r="27" spans="1:8" ht="42" customHeight="1">
      <c r="A27" s="388" t="s">
        <v>370</v>
      </c>
      <c r="B27" s="389"/>
      <c r="C27" s="389"/>
      <c r="D27" s="389"/>
      <c r="E27" s="389"/>
      <c r="F27" s="389"/>
      <c r="G27" s="389"/>
      <c r="H27" s="390"/>
    </row>
    <row r="28" spans="1:8" ht="49.5" customHeight="1">
      <c r="A28" s="374" t="s">
        <v>291</v>
      </c>
      <c r="B28" s="375"/>
      <c r="C28" s="375"/>
      <c r="D28" s="375"/>
      <c r="E28" s="375"/>
      <c r="F28" s="375"/>
      <c r="G28" s="375"/>
      <c r="H28" s="376"/>
    </row>
    <row r="29" spans="1:8" ht="6" customHeight="1">
      <c r="A29" s="28"/>
    </row>
  </sheetData>
  <mergeCells count="8">
    <mergeCell ref="A28:H28"/>
    <mergeCell ref="A1:H1"/>
    <mergeCell ref="A24:H24"/>
    <mergeCell ref="A25:H25"/>
    <mergeCell ref="A6:H6"/>
    <mergeCell ref="A4:H4"/>
    <mergeCell ref="A27:H27"/>
    <mergeCell ref="A23:H23"/>
  </mergeCells>
  <phoneticPr fontId="11" type="noConversion"/>
  <pageMargins left="0.75" right="0.75" top="1" bottom="0.82" header="0.5" footer="0.5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2"/>
  </sheetPr>
  <dimension ref="A1:M23"/>
  <sheetViews>
    <sheetView zoomScaleNormal="100" zoomScaleSheetLayoutView="100" workbookViewId="0">
      <selection activeCell="B22" sqref="B22:D22"/>
    </sheetView>
  </sheetViews>
  <sheetFormatPr defaultRowHeight="13.5"/>
  <cols>
    <col min="1" max="1" width="13.6640625" style="96" customWidth="1"/>
    <col min="2" max="6" width="8.88671875" style="96"/>
    <col min="7" max="7" width="10.44140625" style="96" customWidth="1"/>
    <col min="8" max="8" width="8.88671875" style="96" hidden="1" customWidth="1"/>
    <col min="9" max="16384" width="8.88671875" style="96"/>
  </cols>
  <sheetData>
    <row r="1" spans="1:13" ht="9" customHeight="1">
      <c r="A1" s="75"/>
      <c r="B1" s="75"/>
      <c r="C1" s="75"/>
      <c r="D1" s="75"/>
      <c r="E1" s="75"/>
      <c r="F1" s="75"/>
      <c r="G1" s="75"/>
      <c r="H1" s="75"/>
    </row>
    <row r="2" spans="1:13" ht="31.5" customHeight="1">
      <c r="A2" s="97" t="s">
        <v>129</v>
      </c>
      <c r="B2" s="45"/>
      <c r="C2" s="75"/>
      <c r="D2" s="75"/>
      <c r="E2" s="75"/>
      <c r="F2" s="75"/>
      <c r="G2" s="75"/>
      <c r="H2" s="75"/>
    </row>
    <row r="3" spans="1:13">
      <c r="A3" s="75"/>
      <c r="B3" s="75"/>
      <c r="C3" s="75"/>
      <c r="D3" s="75"/>
      <c r="E3" s="75"/>
      <c r="F3" s="75"/>
      <c r="G3" s="75"/>
      <c r="H3" s="75"/>
    </row>
    <row r="4" spans="1:13" ht="36.75" customHeight="1">
      <c r="A4" s="400" t="s">
        <v>292</v>
      </c>
      <c r="B4" s="400"/>
      <c r="C4" s="400"/>
      <c r="D4" s="400"/>
      <c r="E4" s="400"/>
      <c r="F4" s="400"/>
      <c r="G4" s="400"/>
      <c r="H4" s="400"/>
      <c r="I4" s="400"/>
      <c r="J4" s="400"/>
      <c r="K4" s="400"/>
      <c r="L4" s="400"/>
      <c r="M4" s="400"/>
    </row>
    <row r="5" spans="1:13" ht="5.25" customHeight="1">
      <c r="A5" s="75"/>
      <c r="B5" s="75"/>
      <c r="C5" s="75"/>
      <c r="D5" s="75"/>
      <c r="E5" s="75"/>
      <c r="F5" s="75"/>
      <c r="G5" s="75"/>
      <c r="H5" s="75"/>
    </row>
    <row r="6" spans="1:13" s="100" customFormat="1" ht="24.75" customHeight="1">
      <c r="A6" s="98" t="s">
        <v>54</v>
      </c>
      <c r="B6" s="99"/>
      <c r="C6" s="99"/>
      <c r="D6" s="99"/>
      <c r="E6" s="99"/>
      <c r="F6" s="99"/>
      <c r="G6" s="99"/>
      <c r="H6" s="99"/>
    </row>
    <row r="7" spans="1:13" s="100" customFormat="1" ht="21.75" customHeight="1">
      <c r="A7" s="98" t="s">
        <v>513</v>
      </c>
      <c r="B7" s="99"/>
      <c r="C7" s="99"/>
      <c r="D7" s="99"/>
      <c r="E7" s="99"/>
      <c r="F7" s="99"/>
      <c r="G7" s="99"/>
      <c r="H7" s="99"/>
    </row>
    <row r="8" spans="1:13" s="100" customFormat="1" ht="24.75" customHeight="1">
      <c r="A8" s="98" t="s">
        <v>293</v>
      </c>
      <c r="B8" s="99"/>
      <c r="C8" s="99"/>
      <c r="D8" s="99"/>
      <c r="E8" s="99"/>
      <c r="F8" s="99"/>
      <c r="G8" s="99"/>
      <c r="H8" s="99"/>
      <c r="K8" s="403" t="s">
        <v>137</v>
      </c>
      <c r="L8" s="404"/>
    </row>
    <row r="9" spans="1:13" ht="22.5" customHeight="1">
      <c r="A9" s="98" t="s">
        <v>294</v>
      </c>
      <c r="B9" s="98"/>
      <c r="C9" s="98"/>
      <c r="D9" s="98"/>
      <c r="E9" s="98"/>
      <c r="F9" s="98"/>
      <c r="G9" s="98"/>
      <c r="H9" s="98"/>
      <c r="K9" s="405"/>
      <c r="L9" s="406"/>
    </row>
    <row r="10" spans="1:13" ht="9" customHeight="1">
      <c r="A10" s="98"/>
      <c r="B10" s="98"/>
      <c r="C10" s="98"/>
      <c r="D10" s="98"/>
      <c r="E10" s="98"/>
      <c r="F10" s="98"/>
      <c r="G10" s="98"/>
      <c r="H10" s="98"/>
      <c r="K10" s="407"/>
      <c r="L10" s="408"/>
    </row>
    <row r="11" spans="1:13" ht="24" customHeight="1">
      <c r="A11" s="402" t="s">
        <v>55</v>
      </c>
      <c r="B11" s="402"/>
      <c r="C11" s="402"/>
      <c r="D11" s="402"/>
      <c r="E11" s="402"/>
      <c r="F11" s="402"/>
      <c r="G11" s="402"/>
      <c r="H11" s="101"/>
      <c r="K11" s="401"/>
      <c r="L11" s="401"/>
    </row>
    <row r="12" spans="1:13" ht="18.75">
      <c r="A12" s="132" t="s">
        <v>56</v>
      </c>
      <c r="B12" s="409" t="s">
        <v>545</v>
      </c>
      <c r="C12" s="410"/>
      <c r="D12" s="410"/>
      <c r="E12" s="410"/>
      <c r="F12" s="410"/>
      <c r="G12" s="410"/>
      <c r="H12" s="101"/>
      <c r="K12" s="401"/>
      <c r="L12" s="401"/>
    </row>
    <row r="13" spans="1:13" ht="18.75">
      <c r="A13" s="132" t="s">
        <v>57</v>
      </c>
      <c r="B13" s="411" t="s">
        <v>295</v>
      </c>
      <c r="C13" s="411"/>
      <c r="D13" s="411"/>
      <c r="E13" s="411"/>
      <c r="F13" s="411"/>
      <c r="G13" s="411"/>
      <c r="H13" s="103"/>
      <c r="K13" s="401"/>
      <c r="L13" s="401"/>
    </row>
    <row r="14" spans="1:13" ht="18.75">
      <c r="A14" s="132" t="s">
        <v>58</v>
      </c>
      <c r="B14" s="411" t="s">
        <v>128</v>
      </c>
      <c r="C14" s="411"/>
      <c r="D14" s="411"/>
      <c r="E14" s="411"/>
      <c r="F14" s="411"/>
      <c r="G14" s="411"/>
      <c r="H14" s="101"/>
      <c r="K14" s="401"/>
      <c r="L14" s="401"/>
    </row>
    <row r="15" spans="1:13" ht="18.75">
      <c r="A15" s="132" t="s">
        <v>59</v>
      </c>
      <c r="B15" s="397"/>
      <c r="C15" s="397"/>
      <c r="D15" s="395" t="s">
        <v>136</v>
      </c>
      <c r="E15" s="395"/>
      <c r="F15" s="399"/>
      <c r="G15" s="399"/>
      <c r="H15" s="101"/>
      <c r="K15" s="401"/>
      <c r="L15" s="401"/>
    </row>
    <row r="16" spans="1:13" ht="18.75">
      <c r="A16" s="212" t="s">
        <v>237</v>
      </c>
      <c r="B16" s="397" t="s">
        <v>188</v>
      </c>
      <c r="C16" s="397"/>
      <c r="D16" s="395" t="s">
        <v>135</v>
      </c>
      <c r="E16" s="395"/>
      <c r="F16" s="399"/>
      <c r="G16" s="399"/>
      <c r="H16" s="101"/>
    </row>
    <row r="17" spans="1:9" ht="18.75">
      <c r="B17" s="99"/>
      <c r="C17" s="99"/>
      <c r="D17" s="99"/>
      <c r="E17" s="99"/>
      <c r="F17" s="99"/>
      <c r="G17" s="99"/>
      <c r="H17" s="101"/>
    </row>
    <row r="18" spans="1:9" ht="16.5" customHeight="1">
      <c r="A18" s="132" t="s">
        <v>60</v>
      </c>
      <c r="B18" s="133" t="s">
        <v>61</v>
      </c>
      <c r="C18" s="133"/>
      <c r="D18" s="133"/>
      <c r="E18" s="133"/>
      <c r="F18" s="133"/>
      <c r="G18" s="133"/>
      <c r="H18" s="101"/>
    </row>
    <row r="19" spans="1:9" ht="18" customHeight="1">
      <c r="A19" s="132" t="s">
        <v>138</v>
      </c>
      <c r="B19" s="398" t="s">
        <v>296</v>
      </c>
      <c r="C19" s="398"/>
      <c r="D19" s="398"/>
      <c r="E19" s="398"/>
      <c r="F19" s="398"/>
      <c r="G19" s="398"/>
      <c r="H19" s="102"/>
      <c r="I19" s="104"/>
    </row>
    <row r="20" spans="1:9" ht="18" customHeight="1">
      <c r="A20" s="132" t="s">
        <v>139</v>
      </c>
      <c r="B20" s="132" t="s">
        <v>506</v>
      </c>
      <c r="C20" s="395" t="s">
        <v>131</v>
      </c>
      <c r="D20" s="395"/>
      <c r="E20" s="395" t="s">
        <v>132</v>
      </c>
      <c r="F20" s="395"/>
      <c r="G20" s="133"/>
      <c r="H20" s="134"/>
      <c r="I20" s="135"/>
    </row>
    <row r="21" spans="1:9" ht="18" customHeight="1">
      <c r="A21" s="132" t="s">
        <v>140</v>
      </c>
      <c r="B21" s="394" t="s">
        <v>525</v>
      </c>
      <c r="C21" s="394"/>
      <c r="D21" s="394"/>
      <c r="E21" s="394" t="s">
        <v>133</v>
      </c>
      <c r="F21" s="394"/>
      <c r="G21" s="395" t="s">
        <v>526</v>
      </c>
      <c r="H21" s="395"/>
      <c r="I21" s="395"/>
    </row>
    <row r="22" spans="1:9" ht="18" customHeight="1">
      <c r="A22" s="216" t="s">
        <v>240</v>
      </c>
      <c r="B22" s="395" t="s">
        <v>186</v>
      </c>
      <c r="C22" s="395"/>
      <c r="D22" s="395"/>
      <c r="E22" s="136" t="s">
        <v>134</v>
      </c>
      <c r="F22" s="136" t="s">
        <v>525</v>
      </c>
      <c r="G22" s="132"/>
      <c r="H22" s="135"/>
      <c r="I22" s="135"/>
    </row>
    <row r="23" spans="1:9" ht="18.75">
      <c r="A23" s="396" t="s">
        <v>507</v>
      </c>
      <c r="B23" s="396"/>
      <c r="C23" s="396"/>
      <c r="D23" s="396"/>
      <c r="G23" s="105"/>
    </row>
  </sheetData>
  <mergeCells count="21">
    <mergeCell ref="D15:E15"/>
    <mergeCell ref="B22:D22"/>
    <mergeCell ref="F16:G16"/>
    <mergeCell ref="F15:G15"/>
    <mergeCell ref="A4:M4"/>
    <mergeCell ref="K11:L15"/>
    <mergeCell ref="A11:G11"/>
    <mergeCell ref="K8:L10"/>
    <mergeCell ref="B12:G12"/>
    <mergeCell ref="B13:G13"/>
    <mergeCell ref="B14:G14"/>
    <mergeCell ref="E21:F21"/>
    <mergeCell ref="E20:F20"/>
    <mergeCell ref="D16:E16"/>
    <mergeCell ref="A23:D23"/>
    <mergeCell ref="B15:C15"/>
    <mergeCell ref="C20:D20"/>
    <mergeCell ref="B21:D21"/>
    <mergeCell ref="B19:G19"/>
    <mergeCell ref="B16:C16"/>
    <mergeCell ref="G21:I21"/>
  </mergeCells>
  <phoneticPr fontId="11" type="noConversion"/>
  <pageMargins left="0.75" right="0.75" top="1" bottom="1" header="0.5" footer="0.5"/>
  <pageSetup paperSize="9" orientation="landscape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AG17"/>
  <sheetViews>
    <sheetView topLeftCell="A4" zoomScaleNormal="100" workbookViewId="0">
      <selection activeCell="Y3" sqref="Y3:Z3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12" width="5.77734375" style="17" customWidth="1"/>
    <col min="13" max="13" width="6.77734375" style="17" bestFit="1" customWidth="1"/>
    <col min="14" max="17" width="5.77734375" style="17" customWidth="1"/>
    <col min="18" max="18" width="6.5546875" style="17" customWidth="1"/>
    <col min="19" max="19" width="6.44140625" style="17" customWidth="1"/>
    <col min="20" max="21" width="5.77734375" style="17" customWidth="1"/>
    <col min="22" max="22" width="7.88671875" style="17" customWidth="1"/>
    <col min="23" max="23" width="6.5546875" style="17" customWidth="1"/>
    <col min="24" max="24" width="6.6640625" style="17" customWidth="1"/>
    <col min="25" max="25" width="5.77734375" style="17" customWidth="1"/>
    <col min="26" max="26" width="8.44140625" style="17" bestFit="1" customWidth="1"/>
    <col min="27" max="16384" width="8.88671875" style="19"/>
  </cols>
  <sheetData>
    <row r="1" spans="1:33" ht="27" customHeight="1">
      <c r="A1" s="453" t="s">
        <v>298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33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33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33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33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187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33" ht="20.100000000000001" customHeight="1">
      <c r="A6" s="446" t="s">
        <v>125</v>
      </c>
      <c r="B6" s="446"/>
      <c r="C6" s="446"/>
      <c r="D6" s="447" t="s">
        <v>372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33" ht="24" customHeight="1">
      <c r="A7" s="445" t="s">
        <v>160</v>
      </c>
      <c r="B7" s="445"/>
      <c r="C7" s="429" t="s">
        <v>299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381</v>
      </c>
      <c r="P7" s="435"/>
      <c r="Q7" s="436"/>
      <c r="R7" s="428" t="s">
        <v>191</v>
      </c>
      <c r="S7" s="428"/>
      <c r="T7" s="428" t="s">
        <v>173</v>
      </c>
      <c r="U7" s="429"/>
      <c r="V7" s="422" t="s">
        <v>174</v>
      </c>
      <c r="W7" s="429" t="s">
        <v>371</v>
      </c>
      <c r="X7" s="429"/>
      <c r="Y7" s="429"/>
      <c r="Z7" s="450" t="s">
        <v>161</v>
      </c>
    </row>
    <row r="8" spans="1:33" ht="15.75" customHeight="1">
      <c r="A8" s="445"/>
      <c r="B8" s="445"/>
      <c r="C8" s="424" t="s">
        <v>300</v>
      </c>
      <c r="D8" s="448" t="s">
        <v>163</v>
      </c>
      <c r="E8" s="425" t="s">
        <v>253</v>
      </c>
      <c r="F8" s="425" t="s">
        <v>301</v>
      </c>
      <c r="G8" s="430"/>
      <c r="H8" s="429" t="s">
        <v>164</v>
      </c>
      <c r="I8" s="429"/>
      <c r="J8" s="420" t="s">
        <v>303</v>
      </c>
      <c r="K8" s="420" t="s">
        <v>302</v>
      </c>
      <c r="L8" s="428" t="s">
        <v>374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33" ht="63" customHeight="1">
      <c r="A9" s="445"/>
      <c r="B9" s="445"/>
      <c r="C9" s="424"/>
      <c r="D9" s="424"/>
      <c r="E9" s="426"/>
      <c r="F9" s="431" t="s">
        <v>189</v>
      </c>
      <c r="G9" s="432"/>
      <c r="H9" s="432"/>
      <c r="I9" s="433"/>
      <c r="J9" s="421"/>
      <c r="K9" s="421"/>
      <c r="L9" s="429"/>
      <c r="M9" s="428" t="s">
        <v>470</v>
      </c>
      <c r="N9" s="424" t="s">
        <v>165</v>
      </c>
      <c r="O9" s="440" t="s">
        <v>375</v>
      </c>
      <c r="P9" s="440" t="s">
        <v>376</v>
      </c>
      <c r="Q9" s="420" t="s">
        <v>373</v>
      </c>
      <c r="R9" s="420" t="s">
        <v>377</v>
      </c>
      <c r="S9" s="420" t="s">
        <v>378</v>
      </c>
      <c r="T9" s="420" t="s">
        <v>379</v>
      </c>
      <c r="U9" s="420" t="s">
        <v>380</v>
      </c>
      <c r="V9" s="423"/>
      <c r="W9" s="415" t="s">
        <v>490</v>
      </c>
      <c r="X9" s="415" t="s">
        <v>258</v>
      </c>
      <c r="Y9" s="420" t="s">
        <v>259</v>
      </c>
      <c r="Z9" s="451"/>
    </row>
    <row r="10" spans="1:33" ht="65.25" customHeight="1">
      <c r="A10" s="445"/>
      <c r="B10" s="445"/>
      <c r="C10" s="424"/>
      <c r="D10" s="424"/>
      <c r="E10" s="427"/>
      <c r="F10" s="82" t="s">
        <v>190</v>
      </c>
      <c r="G10" s="82" t="s">
        <v>142</v>
      </c>
      <c r="H10" s="82" t="s">
        <v>166</v>
      </c>
      <c r="I10" s="82" t="s">
        <v>142</v>
      </c>
      <c r="J10" s="82" t="s">
        <v>382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33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IF(M11&gt;=250,10,IF(M11&gt;=210,9,IF(M11&gt;=170,8,IF(M11&gt;=130,7,IF(M11&gt;=90,6,0)))))</f>
        <v>6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92.4</v>
      </c>
      <c r="W11" s="286">
        <f>'13.건설기술인 신규고용률'!Q5</f>
        <v>0.4</v>
      </c>
      <c r="X11" s="245">
        <v>1</v>
      </c>
      <c r="Y11" s="245">
        <v>1</v>
      </c>
      <c r="Z11" s="250">
        <f>SUM(V11:X11)-Y11</f>
        <v>92.800000000000011</v>
      </c>
      <c r="AF11" s="337"/>
      <c r="AG11" s="337"/>
    </row>
    <row r="12" spans="1:33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IF(F12&gt;=15,15,IF(F12&gt;=13,13.5,IF(F12&gt;=11,12,IF(F12&gt;=9,10.5,9))))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33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IF(F13&gt;=48,15,IF(F13&gt;=42,13.5,IF(F13&gt;=36,12,IF(F13&gt;=30,10.5,9))))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33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IF(F14&gt;=48,15,IF(F14&gt;=42,13.5,IF(F14&gt;=36,12,IF(F14&gt;=30,10.5,9))))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33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IF(F15&gt;=48,15,IF(F15&gt;=42,13.5,IF(F15&gt;=36,12,IF(F15&gt;=30,10.5,9))))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33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IF(F16&gt;=15,6,IF(F16&gt;=13,5.4,IF(F16&gt;=11,4.8,IF(F16&gt;=9,4.2,3.6))))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>
        <v>0</v>
      </c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42.75" customHeight="1"/>
  </sheetData>
  <mergeCells count="52">
    <mergeCell ref="A1:Z1"/>
    <mergeCell ref="A3:C3"/>
    <mergeCell ref="D3:O3"/>
    <mergeCell ref="Q3:S3"/>
    <mergeCell ref="T3:V3"/>
    <mergeCell ref="Q4:S4"/>
    <mergeCell ref="T4:U4"/>
    <mergeCell ref="Y3:Z3"/>
    <mergeCell ref="W4:Z4"/>
    <mergeCell ref="Z7:Z10"/>
    <mergeCell ref="L8:L10"/>
    <mergeCell ref="S9:S10"/>
    <mergeCell ref="N9:N10"/>
    <mergeCell ref="R9:R10"/>
    <mergeCell ref="W7:Y8"/>
    <mergeCell ref="Y9:Y10"/>
    <mergeCell ref="T9:T10"/>
    <mergeCell ref="A5:C5"/>
    <mergeCell ref="D5:O5"/>
    <mergeCell ref="Q5:S5"/>
    <mergeCell ref="T5:Z5"/>
    <mergeCell ref="A4:C4"/>
    <mergeCell ref="D4:O4"/>
    <mergeCell ref="N6:Z6"/>
    <mergeCell ref="A7:B10"/>
    <mergeCell ref="C7:L7"/>
    <mergeCell ref="M7:N8"/>
    <mergeCell ref="A6:C6"/>
    <mergeCell ref="D6:E6"/>
    <mergeCell ref="F6:I6"/>
    <mergeCell ref="L6:M6"/>
    <mergeCell ref="D8:D10"/>
    <mergeCell ref="H8:I8"/>
    <mergeCell ref="J8:J9"/>
    <mergeCell ref="K8:K9"/>
    <mergeCell ref="F8:G8"/>
    <mergeCell ref="M9:M10"/>
    <mergeCell ref="F9:I9"/>
    <mergeCell ref="Q9:Q10"/>
    <mergeCell ref="O7:Q8"/>
    <mergeCell ref="O9:O10"/>
    <mergeCell ref="P9:P10"/>
    <mergeCell ref="A12:A15"/>
    <mergeCell ref="W9:W10"/>
    <mergeCell ref="X9:X10"/>
    <mergeCell ref="A11:D11"/>
    <mergeCell ref="U9:U10"/>
    <mergeCell ref="V7:V10"/>
    <mergeCell ref="C8:C10"/>
    <mergeCell ref="E8:E10"/>
    <mergeCell ref="R7:S8"/>
    <mergeCell ref="T7:U8"/>
  </mergeCells>
  <phoneticPr fontId="11" type="noConversion"/>
  <pageMargins left="0.35" right="0.24" top="1" bottom="1" header="0.5" footer="0.5"/>
  <pageSetup paperSize="9" scale="81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workbookViewId="0">
      <selection activeCell="P15" sqref="P15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307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187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299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381</v>
      </c>
      <c r="P7" s="435"/>
      <c r="Q7" s="436"/>
      <c r="R7" s="428" t="s">
        <v>191</v>
      </c>
      <c r="S7" s="428"/>
      <c r="T7" s="428" t="s">
        <v>173</v>
      </c>
      <c r="U7" s="429"/>
      <c r="V7" s="422" t="s">
        <v>174</v>
      </c>
      <c r="W7" s="429" t="s">
        <v>371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300</v>
      </c>
      <c r="D8" s="448" t="s">
        <v>163</v>
      </c>
      <c r="E8" s="425" t="s">
        <v>253</v>
      </c>
      <c r="F8" s="425" t="s">
        <v>301</v>
      </c>
      <c r="G8" s="430"/>
      <c r="H8" s="429" t="s">
        <v>164</v>
      </c>
      <c r="I8" s="429"/>
      <c r="J8" s="420" t="s">
        <v>303</v>
      </c>
      <c r="K8" s="420" t="s">
        <v>302</v>
      </c>
      <c r="L8" s="428" t="s">
        <v>374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189</v>
      </c>
      <c r="G9" s="432"/>
      <c r="H9" s="432"/>
      <c r="I9" s="433"/>
      <c r="J9" s="421"/>
      <c r="K9" s="421"/>
      <c r="L9" s="429"/>
      <c r="M9" s="428" t="s">
        <v>470</v>
      </c>
      <c r="N9" s="424" t="s">
        <v>165</v>
      </c>
      <c r="O9" s="440" t="s">
        <v>375</v>
      </c>
      <c r="P9" s="440" t="s">
        <v>376</v>
      </c>
      <c r="Q9" s="420" t="s">
        <v>373</v>
      </c>
      <c r="R9" s="420" t="s">
        <v>377</v>
      </c>
      <c r="S9" s="420" t="s">
        <v>378</v>
      </c>
      <c r="T9" s="420" t="s">
        <v>379</v>
      </c>
      <c r="U9" s="420" t="s">
        <v>380</v>
      </c>
      <c r="V9" s="423"/>
      <c r="W9" s="415" t="s">
        <v>490</v>
      </c>
      <c r="X9" s="415" t="s">
        <v>258</v>
      </c>
      <c r="Y9" s="420" t="s">
        <v>259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190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IF(M11&gt;=190,10,IF(M11&gt;=160,9,IF(M11&gt;=130,8,IF(M11&gt;=100,7,IF(M11&gt;=70,6,0)))))</f>
        <v>7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93.4</v>
      </c>
      <c r="W11" s="245">
        <f>'13.건설기술인 신규고용률'!Q5</f>
        <v>0.4</v>
      </c>
      <c r="X11" s="245"/>
      <c r="Y11" s="245"/>
      <c r="Z11" s="250">
        <f>SUM(V11:X11)-Y11</f>
        <v>93.800000000000011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IF(F12&gt;=13,15,IF(F12&gt;=11,13.5,IF(F12&gt;=9,12,IF(F12&gt;=7,10.5,9))))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IF(F13&gt;=48,15,IF(F13&gt;=42,13.5,IF(F13&gt;=36,12,IF(F13&gt;=30,10.5,9))))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IF(F14&gt;=48,15,IF(F14&gt;=42,13.5,IF(F14&gt;=36,12,IF(F14&gt;=30,10.5,9))))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IF(F15&gt;=48,15,IF(F15&gt;=42,13.5,IF(F15&gt;=36,12,IF(F15&gt;=30,10.5,9))))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IF(F16&gt;=13,6,IF(F16&gt;=11,5.4,IF(F16&gt;=9,4.8,IF(F16&gt;=7,4.2,3.6))))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topLeftCell="A4" workbookViewId="0">
      <selection activeCell="P15" sqref="P15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309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187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299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381</v>
      </c>
      <c r="P7" s="435"/>
      <c r="Q7" s="436"/>
      <c r="R7" s="428" t="s">
        <v>191</v>
      </c>
      <c r="S7" s="428"/>
      <c r="T7" s="428" t="s">
        <v>173</v>
      </c>
      <c r="U7" s="429"/>
      <c r="V7" s="422" t="s">
        <v>174</v>
      </c>
      <c r="W7" s="429" t="s">
        <v>371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300</v>
      </c>
      <c r="D8" s="448" t="s">
        <v>163</v>
      </c>
      <c r="E8" s="425" t="s">
        <v>253</v>
      </c>
      <c r="F8" s="425" t="s">
        <v>301</v>
      </c>
      <c r="G8" s="430"/>
      <c r="H8" s="429" t="s">
        <v>164</v>
      </c>
      <c r="I8" s="429"/>
      <c r="J8" s="420" t="s">
        <v>303</v>
      </c>
      <c r="K8" s="420" t="s">
        <v>302</v>
      </c>
      <c r="L8" s="428" t="s">
        <v>374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189</v>
      </c>
      <c r="G9" s="432"/>
      <c r="H9" s="432"/>
      <c r="I9" s="433"/>
      <c r="J9" s="421"/>
      <c r="K9" s="421"/>
      <c r="L9" s="429"/>
      <c r="M9" s="428" t="s">
        <v>470</v>
      </c>
      <c r="N9" s="424" t="s">
        <v>165</v>
      </c>
      <c r="O9" s="440" t="s">
        <v>375</v>
      </c>
      <c r="P9" s="440" t="s">
        <v>376</v>
      </c>
      <c r="Q9" s="420" t="s">
        <v>373</v>
      </c>
      <c r="R9" s="420" t="s">
        <v>377</v>
      </c>
      <c r="S9" s="420" t="s">
        <v>378</v>
      </c>
      <c r="T9" s="420" t="s">
        <v>379</v>
      </c>
      <c r="U9" s="420" t="s">
        <v>380</v>
      </c>
      <c r="V9" s="423"/>
      <c r="W9" s="415" t="s">
        <v>490</v>
      </c>
      <c r="X9" s="415" t="s">
        <v>258</v>
      </c>
      <c r="Y9" s="420" t="s">
        <v>259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190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IF(M11&gt;=80,10,IF(M11&gt;=65,9,IF(M11&gt;=50,8,IF(M11&gt;=35,7,IF(M11&gt;=20,6,0)))))</f>
        <v>10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96.4</v>
      </c>
      <c r="W11" s="245">
        <f>'13.건설기술인 신규고용률'!Q5</f>
        <v>0.4</v>
      </c>
      <c r="X11" s="245"/>
      <c r="Y11" s="245"/>
      <c r="Z11" s="250">
        <f>SUM(V11:X11)-Y11</f>
        <v>96.800000000000011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IF(F12&gt;=9,15,IF(F12&gt;=7,13.5,IF(F12&gt;=5,12,IF(F12&gt;=3,10.5,9))))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IF(F13&gt;=36,15,IF(F13&gt;=28,13.5,IF(F13&gt;=20,12,IF(F13&gt;=12,10.5,9))))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IF(F14&gt;=36,15,IF(F14&gt;=28,13.5,IF(F14&gt;=20,12,IF(F14&gt;=12,10.5,9))))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IF(F15&gt;=36,15,IF(F15&gt;=28,13.5,IF(F15&gt;=20,12,IF(F15&gt;=12,10.5,9))))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IF(F16&gt;=9,6,IF(F16&gt;=7,5.4,IF(F16&gt;=5,4.8,IF(F16&gt;=3,4.2,3.6))))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topLeftCell="A4" workbookViewId="0">
      <selection activeCell="P12" sqref="P12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308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187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299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381</v>
      </c>
      <c r="P7" s="435"/>
      <c r="Q7" s="436"/>
      <c r="R7" s="428" t="s">
        <v>191</v>
      </c>
      <c r="S7" s="428"/>
      <c r="T7" s="428" t="s">
        <v>173</v>
      </c>
      <c r="U7" s="429"/>
      <c r="V7" s="422" t="s">
        <v>174</v>
      </c>
      <c r="W7" s="429" t="s">
        <v>371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300</v>
      </c>
      <c r="D8" s="448" t="s">
        <v>163</v>
      </c>
      <c r="E8" s="425" t="s">
        <v>253</v>
      </c>
      <c r="F8" s="425" t="s">
        <v>301</v>
      </c>
      <c r="G8" s="430"/>
      <c r="H8" s="429" t="s">
        <v>164</v>
      </c>
      <c r="I8" s="429"/>
      <c r="J8" s="420" t="s">
        <v>303</v>
      </c>
      <c r="K8" s="420" t="s">
        <v>302</v>
      </c>
      <c r="L8" s="428" t="s">
        <v>374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189</v>
      </c>
      <c r="G9" s="432"/>
      <c r="H9" s="432"/>
      <c r="I9" s="433"/>
      <c r="J9" s="421"/>
      <c r="K9" s="421"/>
      <c r="L9" s="429"/>
      <c r="M9" s="428" t="s">
        <v>470</v>
      </c>
      <c r="N9" s="424" t="s">
        <v>165</v>
      </c>
      <c r="O9" s="440" t="s">
        <v>375</v>
      </c>
      <c r="P9" s="440" t="s">
        <v>376</v>
      </c>
      <c r="Q9" s="420" t="s">
        <v>373</v>
      </c>
      <c r="R9" s="420" t="s">
        <v>377</v>
      </c>
      <c r="S9" s="420" t="s">
        <v>378</v>
      </c>
      <c r="T9" s="420" t="s">
        <v>379</v>
      </c>
      <c r="U9" s="420" t="s">
        <v>380</v>
      </c>
      <c r="V9" s="423"/>
      <c r="W9" s="415" t="s">
        <v>491</v>
      </c>
      <c r="X9" s="415" t="s">
        <v>258</v>
      </c>
      <c r="Y9" s="420" t="s">
        <v>259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190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IF(M11&gt;=130,10,IF(M11&gt;=110,9,IF(M11&gt;=90,8,IF(M11&gt;=70,7,IF(M11&gt;=50,6,0)))))</f>
        <v>9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95.4</v>
      </c>
      <c r="W11" s="245">
        <f>'13.건설기술인 신규고용률'!Q5</f>
        <v>0.4</v>
      </c>
      <c r="X11" s="245"/>
      <c r="Y11" s="245"/>
      <c r="Z11" s="250">
        <f>SUM(V11:X11)-Y11</f>
        <v>95.800000000000011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IF(F12&gt;=11,15,IF(F12&gt;=9,13.5,IF(F12&gt;=7,12,IF(F12&gt;=5,10.5,9))))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IF(F13&gt;=48,15,IF(F13&gt;=42,13.5,IF(F13&gt;=36,12,IF(F13&gt;=30,10.5,9))))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IF(F14&gt;=48,15,IF(F14&gt;=42,13.5,IF(F14&gt;=36,12,IF(F14&gt;=30,10.5,9))))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IF(F15&gt;=48,15,IF(F15&gt;=42,13.5,IF(F15&gt;=36,12,IF(F15&gt;=30,10.5,9))))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IF(F16&gt;=11,6,IF(F16&gt;=9,5.4,IF(F16&gt;=7,4.8,IF(F16&gt;=5,4.2,3.6))))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34"/>
  </sheetPr>
  <dimension ref="A1:Z17"/>
  <sheetViews>
    <sheetView topLeftCell="A4" workbookViewId="0">
      <selection activeCell="T11" sqref="T11"/>
    </sheetView>
  </sheetViews>
  <sheetFormatPr defaultRowHeight="12"/>
  <cols>
    <col min="1" max="1" width="2.88671875" style="20" customWidth="1"/>
    <col min="2" max="2" width="2.33203125" style="19" customWidth="1"/>
    <col min="3" max="3" width="5.44140625" style="19" customWidth="1"/>
    <col min="4" max="4" width="2.5546875" style="19" customWidth="1"/>
    <col min="5" max="5" width="7.6640625" style="19" customWidth="1"/>
    <col min="6" max="9" width="5.77734375" style="17" customWidth="1"/>
    <col min="10" max="10" width="6.5546875" style="17" customWidth="1"/>
    <col min="11" max="22" width="5.77734375" style="17" customWidth="1"/>
    <col min="23" max="23" width="6.5546875" style="17" customWidth="1"/>
    <col min="24" max="25" width="5.77734375" style="17" customWidth="1"/>
    <col min="26" max="26" width="7.109375" style="17" bestFit="1" customWidth="1"/>
    <col min="27" max="16384" width="8.88671875" style="19"/>
  </cols>
  <sheetData>
    <row r="1" spans="1:26" ht="27" customHeight="1">
      <c r="A1" s="453" t="s">
        <v>310</v>
      </c>
      <c r="B1" s="454"/>
      <c r="C1" s="454"/>
      <c r="D1" s="454"/>
      <c r="E1" s="454"/>
      <c r="F1" s="454"/>
      <c r="G1" s="454"/>
      <c r="H1" s="454"/>
      <c r="I1" s="454"/>
      <c r="J1" s="454"/>
      <c r="K1" s="454"/>
      <c r="L1" s="454"/>
      <c r="M1" s="454"/>
      <c r="N1" s="454"/>
      <c r="O1" s="454"/>
      <c r="P1" s="454"/>
      <c r="Q1" s="454"/>
      <c r="R1" s="454"/>
      <c r="S1" s="454"/>
      <c r="T1" s="454"/>
      <c r="U1" s="454"/>
      <c r="V1" s="454"/>
      <c r="W1" s="454"/>
      <c r="X1" s="454"/>
      <c r="Y1" s="454"/>
      <c r="Z1" s="455"/>
    </row>
    <row r="2" spans="1:26" ht="5.25" customHeight="1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20.100000000000001" customHeight="1">
      <c r="A3" s="446" t="s">
        <v>122</v>
      </c>
      <c r="B3" s="446"/>
      <c r="C3" s="446"/>
      <c r="D3" s="449" t="str">
        <f>'1.사업수행능력평가신청서'!B12</f>
        <v>R26DC00000000 - 00</v>
      </c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231"/>
      <c r="Q3" s="446" t="s">
        <v>159</v>
      </c>
      <c r="R3" s="446"/>
      <c r="S3" s="446"/>
      <c r="T3" s="443" t="str">
        <f>'1.사업수행능력평가신청서'!B19</f>
        <v xml:space="preserve">(주)000 </v>
      </c>
      <c r="U3" s="443"/>
      <c r="V3" s="443"/>
      <c r="W3" s="228"/>
      <c r="X3" s="149"/>
      <c r="Y3" s="456" t="str">
        <f>'1.사업수행능력평가신청서'!B20</f>
        <v>김조달</v>
      </c>
      <c r="Z3" s="457"/>
    </row>
    <row r="4" spans="1:26" ht="20.100000000000001" customHeight="1">
      <c r="A4" s="446" t="s">
        <v>123</v>
      </c>
      <c r="B4" s="446"/>
      <c r="C4" s="446"/>
      <c r="D4" s="449" t="str">
        <f>'1.사업수행능력평가신청서'!B14</f>
        <v>000000000000기관</v>
      </c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231"/>
      <c r="Q4" s="446" t="s">
        <v>127</v>
      </c>
      <c r="R4" s="446"/>
      <c r="S4" s="446"/>
      <c r="T4" s="443" t="str">
        <f>'1.사업수행능력평가신청서'!B22</f>
        <v>ㅇㅇㅇ</v>
      </c>
      <c r="U4" s="443"/>
      <c r="V4" s="149" t="str">
        <f>'1.사업수행능력평가신청서'!E22</f>
        <v xml:space="preserve">구내전화 : </v>
      </c>
      <c r="W4" s="458" t="str">
        <f>'1.사업수행능력평가신청서'!F22</f>
        <v>042) 0000-0000</v>
      </c>
      <c r="X4" s="458"/>
      <c r="Y4" s="458"/>
      <c r="Z4" s="458"/>
    </row>
    <row r="5" spans="1:26" ht="20.100000000000001" customHeight="1">
      <c r="A5" s="446" t="s">
        <v>124</v>
      </c>
      <c r="B5" s="446"/>
      <c r="C5" s="446"/>
      <c r="D5" s="449" t="str">
        <f>'1.사업수행능력평가신청서'!B13</f>
        <v>0000 공사 건설사업관리용역</v>
      </c>
      <c r="E5" s="449"/>
      <c r="F5" s="449"/>
      <c r="G5" s="449"/>
      <c r="H5" s="449"/>
      <c r="I5" s="449"/>
      <c r="J5" s="449"/>
      <c r="K5" s="449"/>
      <c r="L5" s="449"/>
      <c r="M5" s="449"/>
      <c r="N5" s="449"/>
      <c r="O5" s="449"/>
      <c r="P5" s="231"/>
      <c r="Q5" s="446" t="s">
        <v>187</v>
      </c>
      <c r="R5" s="446"/>
      <c r="S5" s="446"/>
      <c r="T5" s="443" t="str">
        <f>'1.사업수행능력평가신청서'!B16</f>
        <v>111-12-34567</v>
      </c>
      <c r="U5" s="443"/>
      <c r="V5" s="443"/>
      <c r="W5" s="443"/>
      <c r="X5" s="443"/>
      <c r="Y5" s="443"/>
      <c r="Z5" s="444"/>
    </row>
    <row r="6" spans="1:26" ht="20.100000000000001" customHeight="1">
      <c r="A6" s="446" t="s">
        <v>125</v>
      </c>
      <c r="B6" s="446"/>
      <c r="C6" s="446"/>
      <c r="D6" s="447" t="s">
        <v>64</v>
      </c>
      <c r="E6" s="447"/>
      <c r="F6" s="443" t="str">
        <f>'1.사업수행능력평가신청서'!A23</f>
        <v xml:space="preserve">       (HP : 010-0000-0000)</v>
      </c>
      <c r="G6" s="443"/>
      <c r="H6" s="443"/>
      <c r="I6" s="443"/>
      <c r="J6" s="232"/>
      <c r="K6" s="232"/>
      <c r="L6" s="447" t="s">
        <v>126</v>
      </c>
      <c r="M6" s="447"/>
      <c r="N6" s="442" t="str">
        <f>'1.사업수행능력평가신청서'!G21</f>
        <v>042) 0000-0001</v>
      </c>
      <c r="O6" s="443"/>
      <c r="P6" s="443"/>
      <c r="Q6" s="443"/>
      <c r="R6" s="443"/>
      <c r="S6" s="443"/>
      <c r="T6" s="443"/>
      <c r="U6" s="443"/>
      <c r="V6" s="443"/>
      <c r="W6" s="443"/>
      <c r="X6" s="443"/>
      <c r="Y6" s="443"/>
      <c r="Z6" s="444"/>
    </row>
    <row r="7" spans="1:26" ht="24" customHeight="1">
      <c r="A7" s="445" t="s">
        <v>160</v>
      </c>
      <c r="B7" s="445"/>
      <c r="C7" s="429" t="s">
        <v>299</v>
      </c>
      <c r="D7" s="429"/>
      <c r="E7" s="429"/>
      <c r="F7" s="429"/>
      <c r="G7" s="429"/>
      <c r="H7" s="429"/>
      <c r="I7" s="429"/>
      <c r="J7" s="429"/>
      <c r="K7" s="429"/>
      <c r="L7" s="429"/>
      <c r="M7" s="428" t="s">
        <v>172</v>
      </c>
      <c r="N7" s="429"/>
      <c r="O7" s="434" t="s">
        <v>381</v>
      </c>
      <c r="P7" s="435"/>
      <c r="Q7" s="436"/>
      <c r="R7" s="428" t="s">
        <v>191</v>
      </c>
      <c r="S7" s="428"/>
      <c r="T7" s="428" t="s">
        <v>173</v>
      </c>
      <c r="U7" s="429"/>
      <c r="V7" s="422" t="s">
        <v>174</v>
      </c>
      <c r="W7" s="429" t="s">
        <v>371</v>
      </c>
      <c r="X7" s="429"/>
      <c r="Y7" s="429"/>
      <c r="Z7" s="450" t="s">
        <v>161</v>
      </c>
    </row>
    <row r="8" spans="1:26" ht="15.75" customHeight="1">
      <c r="A8" s="445"/>
      <c r="B8" s="445"/>
      <c r="C8" s="424" t="s">
        <v>300</v>
      </c>
      <c r="D8" s="448" t="s">
        <v>163</v>
      </c>
      <c r="E8" s="425" t="s">
        <v>253</v>
      </c>
      <c r="F8" s="425" t="s">
        <v>301</v>
      </c>
      <c r="G8" s="430"/>
      <c r="H8" s="429" t="s">
        <v>164</v>
      </c>
      <c r="I8" s="429"/>
      <c r="J8" s="420" t="s">
        <v>303</v>
      </c>
      <c r="K8" s="420" t="s">
        <v>302</v>
      </c>
      <c r="L8" s="428" t="s">
        <v>374</v>
      </c>
      <c r="M8" s="429"/>
      <c r="N8" s="429"/>
      <c r="O8" s="437"/>
      <c r="P8" s="438"/>
      <c r="Q8" s="439"/>
      <c r="R8" s="429"/>
      <c r="S8" s="429"/>
      <c r="T8" s="429"/>
      <c r="U8" s="429"/>
      <c r="V8" s="423"/>
      <c r="W8" s="429"/>
      <c r="X8" s="429"/>
      <c r="Y8" s="429"/>
      <c r="Z8" s="451"/>
    </row>
    <row r="9" spans="1:26" ht="63" customHeight="1">
      <c r="A9" s="445"/>
      <c r="B9" s="445"/>
      <c r="C9" s="424"/>
      <c r="D9" s="424"/>
      <c r="E9" s="426"/>
      <c r="F9" s="431" t="s">
        <v>189</v>
      </c>
      <c r="G9" s="432"/>
      <c r="H9" s="432"/>
      <c r="I9" s="433"/>
      <c r="J9" s="421"/>
      <c r="K9" s="421"/>
      <c r="L9" s="429"/>
      <c r="M9" s="428" t="s">
        <v>470</v>
      </c>
      <c r="N9" s="424" t="s">
        <v>165</v>
      </c>
      <c r="O9" s="440" t="s">
        <v>375</v>
      </c>
      <c r="P9" s="440" t="s">
        <v>376</v>
      </c>
      <c r="Q9" s="420" t="s">
        <v>373</v>
      </c>
      <c r="R9" s="420" t="s">
        <v>377</v>
      </c>
      <c r="S9" s="420" t="s">
        <v>378</v>
      </c>
      <c r="T9" s="420" t="s">
        <v>379</v>
      </c>
      <c r="U9" s="420" t="s">
        <v>380</v>
      </c>
      <c r="V9" s="423"/>
      <c r="W9" s="415" t="s">
        <v>491</v>
      </c>
      <c r="X9" s="415" t="s">
        <v>258</v>
      </c>
      <c r="Y9" s="420" t="s">
        <v>259</v>
      </c>
      <c r="Z9" s="451"/>
    </row>
    <row r="10" spans="1:26" ht="65.25" customHeight="1">
      <c r="A10" s="445"/>
      <c r="B10" s="445"/>
      <c r="C10" s="424"/>
      <c r="D10" s="424"/>
      <c r="E10" s="427"/>
      <c r="F10" s="82" t="s">
        <v>190</v>
      </c>
      <c r="G10" s="82" t="s">
        <v>142</v>
      </c>
      <c r="H10" s="82" t="s">
        <v>166</v>
      </c>
      <c r="I10" s="82" t="s">
        <v>142</v>
      </c>
      <c r="J10" s="82" t="s">
        <v>15</v>
      </c>
      <c r="K10" s="82" t="s">
        <v>15</v>
      </c>
      <c r="L10" s="429"/>
      <c r="M10" s="428"/>
      <c r="N10" s="424"/>
      <c r="O10" s="441"/>
      <c r="P10" s="441"/>
      <c r="Q10" s="421"/>
      <c r="R10" s="421"/>
      <c r="S10" s="421"/>
      <c r="T10" s="421"/>
      <c r="U10" s="421"/>
      <c r="V10" s="423"/>
      <c r="W10" s="416"/>
      <c r="X10" s="416"/>
      <c r="Y10" s="421"/>
      <c r="Z10" s="452"/>
    </row>
    <row r="11" spans="1:26" ht="34.5" customHeight="1">
      <c r="A11" s="417" t="s">
        <v>167</v>
      </c>
      <c r="B11" s="418"/>
      <c r="C11" s="418"/>
      <c r="D11" s="419"/>
      <c r="E11" s="245"/>
      <c r="F11" s="245"/>
      <c r="G11" s="245"/>
      <c r="H11" s="245"/>
      <c r="I11" s="245"/>
      <c r="J11" s="245"/>
      <c r="K11" s="245"/>
      <c r="L11" s="246">
        <f>L12+((L13+L14+L15)/3)+L16</f>
        <v>56.4</v>
      </c>
      <c r="M11" s="247">
        <f>'6. 유사용역수행실적'!L38/100</f>
        <v>126.36</v>
      </c>
      <c r="N11" s="245">
        <f>IF(M11&gt;=30,10,IF(M11&gt;=20,9,IF(M11&gt;=10,8,0)))</f>
        <v>10</v>
      </c>
      <c r="O11" s="248">
        <v>7</v>
      </c>
      <c r="P11" s="248">
        <v>5</v>
      </c>
      <c r="Q11" s="248">
        <v>3</v>
      </c>
      <c r="R11" s="248">
        <f>'10. 건설기술개발활용실적'!E10</f>
        <v>3</v>
      </c>
      <c r="S11" s="248">
        <f>'9. 재정상태,투자실적'!E16</f>
        <v>7</v>
      </c>
      <c r="T11" s="245">
        <f>'12. 교체빈도'!H9</f>
        <v>3</v>
      </c>
      <c r="U11" s="245">
        <f>'12. 교체빈도'!H21</f>
        <v>2</v>
      </c>
      <c r="V11" s="249">
        <f>L11+N11+O11+P11+Q11+R11+S11+T11+U11</f>
        <v>96.4</v>
      </c>
      <c r="W11" s="245">
        <f>'13.건설기술인 신규고용률'!Q5</f>
        <v>0.4</v>
      </c>
      <c r="X11" s="245"/>
      <c r="Y11" s="245"/>
      <c r="Z11" s="250">
        <f>SUM(V11:X11)-Y11</f>
        <v>96.800000000000011</v>
      </c>
    </row>
    <row r="12" spans="1:26" ht="37.5" customHeight="1">
      <c r="A12" s="412" t="s">
        <v>168</v>
      </c>
      <c r="B12" s="251" t="s">
        <v>169</v>
      </c>
      <c r="C12" s="245" t="str">
        <f>'5. 참여기술자 경력사항'!C6</f>
        <v>홍길동</v>
      </c>
      <c r="D12" s="251" t="str">
        <f>'5. 참여기술자 경력사항'!D6</f>
        <v>건축</v>
      </c>
      <c r="E12" s="338"/>
      <c r="F12" s="248">
        <f>'5. 참여기술자 경력사항'!I6</f>
        <v>18.082191780821919</v>
      </c>
      <c r="G12" s="252">
        <f>IF(F12&gt;=9,15,IF(F12&gt;=7,13.5,IF(F12&gt;=5,12,IF(F12&gt;=3,10.5,9))))</f>
        <v>15</v>
      </c>
      <c r="H12" s="248">
        <f>'5. 참여기술자 경력사항'!G6</f>
        <v>5.7534246575342465</v>
      </c>
      <c r="I12" s="253">
        <f>IF(E12="특급",IF(H12&gt;=15,9,IF(H12&gt;=13,8.1,IF(H12&gt;=11,7.2,IF(H12&gt;=9,6.3,5.4)))),IF(H12&gt;=12,9,IF(H12&gt;=10,8.1,IF(H12&gt;=8,7.2,IF(H12&gt;=6,6.3,5.4)))))</f>
        <v>5.4</v>
      </c>
      <c r="J12" s="253">
        <v>1</v>
      </c>
      <c r="K12" s="253">
        <v>0</v>
      </c>
      <c r="L12" s="246">
        <f>G12+I12+J12+K12</f>
        <v>21.4</v>
      </c>
      <c r="M12" s="245"/>
      <c r="N12" s="245"/>
      <c r="O12" s="245"/>
      <c r="P12" s="245"/>
      <c r="Q12" s="245"/>
      <c r="R12" s="245"/>
      <c r="S12" s="245"/>
      <c r="T12" s="245"/>
      <c r="U12" s="245"/>
      <c r="V12" s="245"/>
      <c r="W12" s="245"/>
      <c r="X12" s="245"/>
      <c r="Y12" s="245"/>
      <c r="Z12" s="245"/>
    </row>
    <row r="13" spans="1:26" ht="37.5" customHeight="1">
      <c r="A13" s="413"/>
      <c r="B13" s="251" t="s">
        <v>170</v>
      </c>
      <c r="C13" s="245" t="str">
        <f>'5. 참여기술자 경력사항'!C7</f>
        <v>안중근</v>
      </c>
      <c r="D13" s="251" t="str">
        <f>'5. 참여기술자 경력사항'!D7</f>
        <v>건축</v>
      </c>
      <c r="E13" s="338"/>
      <c r="F13" s="248">
        <f>'5. 참여기술자 경력사항'!I7</f>
        <v>200</v>
      </c>
      <c r="G13" s="254">
        <f>IF(F13&gt;=24,15,IF(F13&gt;=18,13.5,IF(F13&gt;=12,12,IF(F13&gt;=6,10.5,9))))</f>
        <v>15</v>
      </c>
      <c r="H13" s="248">
        <f>'5. 참여기술자 경력사항'!G7</f>
        <v>16.438356164383563</v>
      </c>
      <c r="I13" s="253">
        <f>IF(E13="특급",IF(H13&gt;=10,9,IF(H13&gt;=8,8.1,IF(H13&gt;=6,7.2,IF(H13&gt;=4,6.3,5.4)))),IF(E13="고급",(IF(H13&gt;=8,9,IF(H13&gt;=6,8.1,IF(H13&gt;=4,7.2,IF(H13&gt;=2,6.3,5.4))))),(IF(H13&gt;=6,9,IF(H13&gt;=4,8.1,IF(H13&gt;=2,7.2,6.3))))))</f>
        <v>9</v>
      </c>
      <c r="J13" s="253">
        <v>1</v>
      </c>
      <c r="K13" s="253">
        <v>0</v>
      </c>
      <c r="L13" s="246">
        <f>G13+I13+J13+K13</f>
        <v>25</v>
      </c>
      <c r="M13" s="245"/>
      <c r="N13" s="245"/>
      <c r="O13" s="245"/>
      <c r="P13" s="245"/>
      <c r="Q13" s="245"/>
      <c r="R13" s="245"/>
      <c r="S13" s="245"/>
      <c r="T13" s="245"/>
      <c r="U13" s="245"/>
      <c r="V13" s="245"/>
      <c r="W13" s="245"/>
      <c r="X13" s="245"/>
      <c r="Y13" s="245"/>
      <c r="Z13" s="245"/>
    </row>
    <row r="14" spans="1:26" ht="35.25" customHeight="1">
      <c r="A14" s="413"/>
      <c r="B14" s="251" t="s">
        <v>170</v>
      </c>
      <c r="C14" s="245" t="str">
        <f>'5. 참여기술자 경력사항'!C8</f>
        <v>김   구</v>
      </c>
      <c r="D14" s="251" t="str">
        <f>'5. 참여기술자 경력사항'!D8</f>
        <v>토목</v>
      </c>
      <c r="E14" s="338"/>
      <c r="F14" s="248">
        <f>'5. 참여기술자 경력사항'!I8</f>
        <v>200</v>
      </c>
      <c r="G14" s="254">
        <f>IF(F14&gt;=24,15,IF(F14&gt;=18,13.5,IF(F14&gt;=12,12,IF(F14&gt;=6,10.5,9))))</f>
        <v>15</v>
      </c>
      <c r="H14" s="248">
        <f>'5. 참여기술자 경력사항'!G8</f>
        <v>16.438356164383563</v>
      </c>
      <c r="I14" s="253">
        <f>IF(E14="특급",IF(H14&gt;=10,9,IF(H14&gt;=8,8.1,IF(H14&gt;=6,7.2,IF(H14&gt;=4,6.3,5.4)))),IF(E14="고급",(IF(H14&gt;=8,9,IF(H14&gt;=6,8.1,IF(H14&gt;=4,7.2,IF(H14&gt;=2,6.3,5.4))))),(IF(H14&gt;=6,9,IF(H14&gt;=4,8.1,IF(H14&gt;=2,7.2,6.3))))))</f>
        <v>9</v>
      </c>
      <c r="J14" s="253">
        <v>1</v>
      </c>
      <c r="K14" s="253">
        <v>0</v>
      </c>
      <c r="L14" s="246">
        <f>G14+I14+J14+K14</f>
        <v>25</v>
      </c>
      <c r="M14" s="245"/>
      <c r="N14" s="245"/>
      <c r="O14" s="245"/>
      <c r="P14" s="245"/>
      <c r="Q14" s="245"/>
      <c r="R14" s="245"/>
      <c r="S14" s="245"/>
      <c r="T14" s="245"/>
      <c r="U14" s="245"/>
      <c r="V14" s="245"/>
      <c r="W14" s="245"/>
      <c r="X14" s="245"/>
      <c r="Y14" s="245"/>
      <c r="Z14" s="245"/>
    </row>
    <row r="15" spans="1:26" ht="36.75" customHeight="1">
      <c r="A15" s="414"/>
      <c r="B15" s="251" t="s">
        <v>170</v>
      </c>
      <c r="C15" s="245" t="str">
        <f>'5. 참여기술자 경력사항'!C9</f>
        <v>윤봉길</v>
      </c>
      <c r="D15" s="251" t="str">
        <f>'5. 참여기술자 경력사항'!D9</f>
        <v>기계</v>
      </c>
      <c r="E15" s="338"/>
      <c r="F15" s="248">
        <f>'5. 참여기술자 경력사항'!I9</f>
        <v>200</v>
      </c>
      <c r="G15" s="254">
        <f>IF(F15&gt;=24,15,IF(F15&gt;=18,13.5,IF(F15&gt;=12,12,IF(F15&gt;=6,10.5,9))))</f>
        <v>15</v>
      </c>
      <c r="H15" s="248">
        <f>'5. 참여기술자 경력사항'!G9</f>
        <v>16.438356164383563</v>
      </c>
      <c r="I15" s="253">
        <f>IF(E15="특급",IF(H15&gt;=10,9,IF(H15&gt;=8,8.1,IF(H15&gt;=6,7.2,IF(H15&gt;=4,6.3,5.4)))),IF(E15="고급",(IF(H15&gt;=8,9,IF(H15&gt;=6,8.1,IF(H15&gt;=4,7.2,IF(H15&gt;=2,6.3,5.4))))),(IF(H15&gt;=6,9,IF(H15&gt;=4,8.1,IF(H15&gt;=2,7.2,6.3))))))</f>
        <v>9</v>
      </c>
      <c r="J15" s="253">
        <v>1</v>
      </c>
      <c r="K15" s="253">
        <v>0</v>
      </c>
      <c r="L15" s="246">
        <f>G15+I15+J15+K15</f>
        <v>25</v>
      </c>
      <c r="M15" s="245"/>
      <c r="N15" s="245"/>
      <c r="O15" s="245"/>
      <c r="P15" s="245"/>
      <c r="Q15" s="245"/>
      <c r="R15" s="245"/>
      <c r="S15" s="245"/>
      <c r="T15" s="245"/>
      <c r="U15" s="245"/>
      <c r="V15" s="245"/>
      <c r="W15" s="245"/>
      <c r="X15" s="245"/>
      <c r="Y15" s="245"/>
      <c r="Z15" s="245"/>
    </row>
    <row r="16" spans="1:26" ht="42.75" customHeight="1">
      <c r="A16" s="255" t="s">
        <v>171</v>
      </c>
      <c r="B16" s="251" t="s">
        <v>170</v>
      </c>
      <c r="C16" s="245" t="str">
        <f>'5. 참여기술자 경력사항'!C10</f>
        <v>허  준</v>
      </c>
      <c r="D16" s="251" t="str">
        <f>'5. 참여기술자 경력사항'!D10</f>
        <v>건축</v>
      </c>
      <c r="E16" s="338"/>
      <c r="F16" s="248">
        <f>'5. 참여기술자 경력사항'!I10</f>
        <v>16.438356164383563</v>
      </c>
      <c r="G16" s="254">
        <f>IF(F16&gt;=9,6,IF(F16&gt;=7,5.4,IF(F16&gt;=5,4.8,IF(F16&gt;=3,4.2,3.6))))</f>
        <v>6</v>
      </c>
      <c r="H16" s="256">
        <f>'5. 참여기술자 경력사항'!$G$10</f>
        <v>16.438356164383563</v>
      </c>
      <c r="I16" s="254">
        <f>IF(H16&gt;=15,3,IF(H16&gt;=13,2.4,IF(H16&gt;=11,1.8,IF(H16&gt;=9,1.2,0.6))))</f>
        <v>3</v>
      </c>
      <c r="J16" s="253">
        <v>1</v>
      </c>
      <c r="K16" s="257"/>
      <c r="L16" s="246">
        <f>G16+I16+J16+K16</f>
        <v>10</v>
      </c>
      <c r="M16" s="245"/>
      <c r="N16" s="245"/>
      <c r="O16" s="245"/>
      <c r="P16" s="245"/>
      <c r="Q16" s="245"/>
      <c r="R16" s="245"/>
      <c r="S16" s="245"/>
      <c r="T16" s="245"/>
      <c r="U16" s="245"/>
      <c r="V16" s="245"/>
      <c r="W16" s="245"/>
      <c r="X16" s="245"/>
      <c r="Y16" s="245"/>
      <c r="Z16" s="245"/>
    </row>
    <row r="17" ht="8.25" customHeight="1"/>
  </sheetData>
  <mergeCells count="52">
    <mergeCell ref="A1:Z1"/>
    <mergeCell ref="A3:C3"/>
    <mergeCell ref="D3:O3"/>
    <mergeCell ref="Q3:S3"/>
    <mergeCell ref="T3:V3"/>
    <mergeCell ref="Y3:Z3"/>
    <mergeCell ref="A4:C4"/>
    <mergeCell ref="D4:O4"/>
    <mergeCell ref="Q4:S4"/>
    <mergeCell ref="T4:U4"/>
    <mergeCell ref="W4:Z4"/>
    <mergeCell ref="A5:C5"/>
    <mergeCell ref="D5:O5"/>
    <mergeCell ref="Q5:S5"/>
    <mergeCell ref="T5:Z5"/>
    <mergeCell ref="Z7:Z10"/>
    <mergeCell ref="R9:R10"/>
    <mergeCell ref="S9:S10"/>
    <mergeCell ref="T9:T10"/>
    <mergeCell ref="U9:U10"/>
    <mergeCell ref="A6:C6"/>
    <mergeCell ref="D6:E6"/>
    <mergeCell ref="F6:I6"/>
    <mergeCell ref="L6:M6"/>
    <mergeCell ref="N6:Z6"/>
    <mergeCell ref="F9:I9"/>
    <mergeCell ref="R7:S8"/>
    <mergeCell ref="T7:U8"/>
    <mergeCell ref="C7:L7"/>
    <mergeCell ref="M7:N8"/>
    <mergeCell ref="P9:P10"/>
    <mergeCell ref="Q9:Q10"/>
    <mergeCell ref="A12:A15"/>
    <mergeCell ref="K8:K9"/>
    <mergeCell ref="L8:L10"/>
    <mergeCell ref="M9:M10"/>
    <mergeCell ref="O7:Q8"/>
    <mergeCell ref="O9:O10"/>
    <mergeCell ref="N9:N10"/>
    <mergeCell ref="C8:C10"/>
    <mergeCell ref="D8:D10"/>
    <mergeCell ref="E8:E10"/>
    <mergeCell ref="W9:W10"/>
    <mergeCell ref="X9:X10"/>
    <mergeCell ref="Y9:Y10"/>
    <mergeCell ref="A11:D11"/>
    <mergeCell ref="V7:V10"/>
    <mergeCell ref="W7:Y8"/>
    <mergeCell ref="A7:B10"/>
    <mergeCell ref="F8:G8"/>
    <mergeCell ref="H8:I8"/>
    <mergeCell ref="J8:J9"/>
  </mergeCells>
  <phoneticPr fontId="11" type="noConversion"/>
  <pageMargins left="0.35" right="0.24" top="1" bottom="1" header="0.5" footer="0.5"/>
  <pageSetup paperSize="9" scale="85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30"/>
  <sheetViews>
    <sheetView zoomScaleNormal="100" zoomScaleSheetLayoutView="100" workbookViewId="0">
      <selection activeCell="G5" sqref="G5:H5"/>
    </sheetView>
  </sheetViews>
  <sheetFormatPr defaultRowHeight="13.5"/>
  <cols>
    <col min="1" max="1" width="10" customWidth="1"/>
    <col min="2" max="2" width="26.21875" customWidth="1"/>
    <col min="3" max="3" width="8.77734375" customWidth="1"/>
    <col min="4" max="4" width="17.6640625" customWidth="1"/>
    <col min="6" max="6" width="12.6640625" customWidth="1"/>
    <col min="7" max="7" width="7.77734375" customWidth="1"/>
    <col min="8" max="8" width="7.6640625" customWidth="1"/>
    <col min="9" max="9" width="8.33203125" customWidth="1"/>
  </cols>
  <sheetData>
    <row r="1" spans="1:9" ht="18.75">
      <c r="A1" s="476" t="s">
        <v>85</v>
      </c>
      <c r="B1" s="476"/>
      <c r="C1" s="476"/>
      <c r="D1" s="476"/>
      <c r="E1" s="476"/>
      <c r="F1" s="476"/>
      <c r="G1" s="476"/>
      <c r="H1" s="476"/>
    </row>
    <row r="2" spans="1:9" ht="7.5" customHeight="1" thickBot="1"/>
    <row r="3" spans="1:9" ht="18.75" customHeight="1">
      <c r="A3" s="92" t="s">
        <v>62</v>
      </c>
      <c r="B3" s="93" t="s">
        <v>120</v>
      </c>
      <c r="C3" s="479" t="s">
        <v>88</v>
      </c>
      <c r="D3" s="479"/>
      <c r="E3" s="93" t="s">
        <v>63</v>
      </c>
      <c r="F3" s="93" t="s">
        <v>64</v>
      </c>
      <c r="G3" s="479" t="s">
        <v>65</v>
      </c>
      <c r="H3" s="479"/>
      <c r="I3" s="94" t="s">
        <v>66</v>
      </c>
    </row>
    <row r="4" spans="1:9" ht="15" customHeight="1">
      <c r="A4" s="84" t="s">
        <v>67</v>
      </c>
      <c r="B4" s="106"/>
      <c r="C4" s="463" t="s">
        <v>177</v>
      </c>
      <c r="D4" s="464"/>
      <c r="E4" s="83"/>
      <c r="F4" s="83"/>
      <c r="G4" s="477"/>
      <c r="H4" s="478"/>
      <c r="I4" s="85"/>
    </row>
    <row r="5" spans="1:9" ht="15" customHeight="1">
      <c r="A5" s="86"/>
      <c r="B5" s="21"/>
      <c r="C5" s="459"/>
      <c r="D5" s="460"/>
      <c r="E5" s="25"/>
      <c r="F5" s="25"/>
      <c r="G5" s="459"/>
      <c r="H5" s="460"/>
      <c r="I5" s="49"/>
    </row>
    <row r="6" spans="1:9" ht="15" customHeight="1">
      <c r="A6" s="86"/>
      <c r="B6" s="21"/>
      <c r="C6" s="459"/>
      <c r="D6" s="460"/>
      <c r="E6" s="25"/>
      <c r="F6" s="25"/>
      <c r="G6" s="459"/>
      <c r="H6" s="460"/>
      <c r="I6" s="49"/>
    </row>
    <row r="7" spans="1:9" ht="15" customHeight="1">
      <c r="A7" s="86"/>
      <c r="B7" s="21"/>
      <c r="C7" s="459"/>
      <c r="D7" s="460"/>
      <c r="E7" s="25"/>
      <c r="F7" s="25"/>
      <c r="G7" s="459"/>
      <c r="H7" s="460"/>
      <c r="I7" s="49"/>
    </row>
    <row r="8" spans="1:9" ht="15" customHeight="1">
      <c r="A8" s="86"/>
      <c r="B8" s="21"/>
      <c r="C8" s="459"/>
      <c r="D8" s="460"/>
      <c r="E8" s="25"/>
      <c r="F8" s="25"/>
      <c r="G8" s="459"/>
      <c r="H8" s="460"/>
      <c r="I8" s="49"/>
    </row>
    <row r="9" spans="1:9" ht="15" customHeight="1">
      <c r="A9" s="86"/>
      <c r="B9" s="21"/>
      <c r="C9" s="459"/>
      <c r="D9" s="460"/>
      <c r="E9" s="25"/>
      <c r="F9" s="25"/>
      <c r="G9" s="459"/>
      <c r="H9" s="460"/>
      <c r="I9" s="49"/>
    </row>
    <row r="10" spans="1:9" ht="15" customHeight="1">
      <c r="A10" s="86"/>
      <c r="B10" s="21"/>
      <c r="C10" s="459"/>
      <c r="D10" s="460"/>
      <c r="E10" s="25"/>
      <c r="F10" s="25"/>
      <c r="G10" s="459"/>
      <c r="H10" s="460"/>
      <c r="I10" s="49"/>
    </row>
    <row r="11" spans="1:9" ht="15" customHeight="1">
      <c r="A11" s="86"/>
      <c r="B11" s="21"/>
      <c r="C11" s="459"/>
      <c r="D11" s="460"/>
      <c r="E11" s="25"/>
      <c r="F11" s="25"/>
      <c r="G11" s="459"/>
      <c r="H11" s="460"/>
      <c r="I11" s="49"/>
    </row>
    <row r="12" spans="1:9" ht="15" customHeight="1">
      <c r="A12" s="86"/>
      <c r="B12" s="21"/>
      <c r="C12" s="459"/>
      <c r="D12" s="460"/>
      <c r="E12" s="25"/>
      <c r="F12" s="25"/>
      <c r="G12" s="459"/>
      <c r="H12" s="460"/>
      <c r="I12" s="49"/>
    </row>
    <row r="13" spans="1:9" ht="15" customHeight="1">
      <c r="A13" s="86"/>
      <c r="B13" s="21"/>
      <c r="C13" s="459"/>
      <c r="D13" s="460"/>
      <c r="E13" s="25"/>
      <c r="F13" s="25"/>
      <c r="G13" s="459"/>
      <c r="H13" s="460"/>
      <c r="I13" s="49"/>
    </row>
    <row r="14" spans="1:9" ht="15" customHeight="1">
      <c r="A14" s="86"/>
      <c r="B14" s="21"/>
      <c r="C14" s="459"/>
      <c r="D14" s="460"/>
      <c r="E14" s="25"/>
      <c r="F14" s="25"/>
      <c r="G14" s="459"/>
      <c r="H14" s="460"/>
      <c r="I14" s="49"/>
    </row>
    <row r="15" spans="1:9" ht="15" customHeight="1">
      <c r="A15" s="86"/>
      <c r="B15" s="21"/>
      <c r="C15" s="459"/>
      <c r="D15" s="460"/>
      <c r="E15" s="25"/>
      <c r="F15" s="25"/>
      <c r="G15" s="459"/>
      <c r="H15" s="460"/>
      <c r="I15" s="49"/>
    </row>
    <row r="16" spans="1:9" ht="15" customHeight="1">
      <c r="A16" s="86"/>
      <c r="B16" s="21"/>
      <c r="C16" s="459"/>
      <c r="D16" s="460"/>
      <c r="E16" s="25"/>
      <c r="F16" s="25"/>
      <c r="G16" s="459"/>
      <c r="H16" s="460"/>
      <c r="I16" s="49"/>
    </row>
    <row r="17" spans="1:9" ht="15" customHeight="1">
      <c r="A17" s="471" t="s">
        <v>68</v>
      </c>
      <c r="B17" s="467" t="s">
        <v>120</v>
      </c>
      <c r="C17" s="472" t="s">
        <v>88</v>
      </c>
      <c r="D17" s="473"/>
      <c r="E17" s="467" t="s">
        <v>89</v>
      </c>
      <c r="F17" s="467" t="s">
        <v>90</v>
      </c>
      <c r="G17" s="469" t="s">
        <v>69</v>
      </c>
      <c r="H17" s="470"/>
      <c r="I17" s="465" t="s">
        <v>141</v>
      </c>
    </row>
    <row r="18" spans="1:9" ht="15" customHeight="1">
      <c r="A18" s="471"/>
      <c r="B18" s="468"/>
      <c r="C18" s="474"/>
      <c r="D18" s="475"/>
      <c r="E18" s="468"/>
      <c r="F18" s="468"/>
      <c r="G18" s="34" t="s">
        <v>70</v>
      </c>
      <c r="H18" s="34" t="s">
        <v>71</v>
      </c>
      <c r="I18" s="466"/>
    </row>
    <row r="19" spans="1:9" ht="15" customHeight="1">
      <c r="A19" s="86"/>
      <c r="B19" s="25"/>
      <c r="C19" s="463" t="s">
        <v>177</v>
      </c>
      <c r="D19" s="464"/>
      <c r="E19" s="25"/>
      <c r="F19" s="25"/>
      <c r="G19" s="25"/>
      <c r="H19" s="25"/>
      <c r="I19" s="49"/>
    </row>
    <row r="20" spans="1:9" ht="15" customHeight="1">
      <c r="A20" s="86"/>
      <c r="B20" s="25"/>
      <c r="C20" s="459"/>
      <c r="D20" s="460"/>
      <c r="E20" s="25"/>
      <c r="F20" s="25"/>
      <c r="G20" s="25"/>
      <c r="H20" s="25"/>
      <c r="I20" s="49"/>
    </row>
    <row r="21" spans="1:9" ht="15" customHeight="1">
      <c r="A21" s="86"/>
      <c r="B21" s="25"/>
      <c r="C21" s="459"/>
      <c r="D21" s="460"/>
      <c r="E21" s="25"/>
      <c r="F21" s="25"/>
      <c r="G21" s="25"/>
      <c r="H21" s="25"/>
      <c r="I21" s="49"/>
    </row>
    <row r="22" spans="1:9" ht="15" customHeight="1">
      <c r="A22" s="86"/>
      <c r="B22" s="25"/>
      <c r="C22" s="459"/>
      <c r="D22" s="460"/>
      <c r="E22" s="25"/>
      <c r="F22" s="25"/>
      <c r="G22" s="25"/>
      <c r="H22" s="25"/>
      <c r="I22" s="49"/>
    </row>
    <row r="23" spans="1:9" ht="15" customHeight="1">
      <c r="A23" s="86"/>
      <c r="B23" s="25"/>
      <c r="C23" s="459"/>
      <c r="D23" s="460"/>
      <c r="E23" s="25"/>
      <c r="F23" s="25"/>
      <c r="G23" s="25"/>
      <c r="H23" s="25"/>
      <c r="I23" s="49"/>
    </row>
    <row r="24" spans="1:9" ht="15" customHeight="1">
      <c r="A24" s="86"/>
      <c r="B24" s="25"/>
      <c r="C24" s="459"/>
      <c r="D24" s="460"/>
      <c r="E24" s="25"/>
      <c r="F24" s="25"/>
      <c r="G24" s="25"/>
      <c r="H24" s="25"/>
      <c r="I24" s="49"/>
    </row>
    <row r="25" spans="1:9" ht="15" customHeight="1">
      <c r="A25" s="86"/>
      <c r="B25" s="25"/>
      <c r="C25" s="459"/>
      <c r="D25" s="460"/>
      <c r="E25" s="25"/>
      <c r="F25" s="25"/>
      <c r="G25" s="25"/>
      <c r="H25" s="25"/>
      <c r="I25" s="49"/>
    </row>
    <row r="26" spans="1:9" ht="15" customHeight="1">
      <c r="A26" s="86"/>
      <c r="B26" s="25"/>
      <c r="C26" s="459"/>
      <c r="D26" s="460"/>
      <c r="E26" s="25"/>
      <c r="F26" s="25"/>
      <c r="G26" s="25"/>
      <c r="H26" s="25"/>
      <c r="I26" s="49"/>
    </row>
    <row r="27" spans="1:9" ht="15" customHeight="1" thickBot="1">
      <c r="A27" s="87" t="s">
        <v>17</v>
      </c>
      <c r="B27" s="88"/>
      <c r="C27" s="461"/>
      <c r="D27" s="462"/>
      <c r="E27" s="88"/>
      <c r="F27" s="88"/>
      <c r="G27" s="88"/>
      <c r="H27" s="88"/>
      <c r="I27" s="89"/>
    </row>
    <row r="28" spans="1:9" ht="20.100000000000001" customHeight="1"/>
    <row r="29" spans="1:9">
      <c r="A29" s="160" t="s">
        <v>176</v>
      </c>
      <c r="B29" s="161"/>
      <c r="C29" s="161"/>
      <c r="D29" s="161"/>
    </row>
    <row r="30" spans="1:9">
      <c r="A30" s="160" t="s">
        <v>175</v>
      </c>
      <c r="B30" s="161"/>
      <c r="C30" s="161"/>
      <c r="D30" s="161"/>
    </row>
  </sheetData>
  <mergeCells count="45">
    <mergeCell ref="G12:H12"/>
    <mergeCell ref="G13:H13"/>
    <mergeCell ref="G6:H6"/>
    <mergeCell ref="G7:H7"/>
    <mergeCell ref="G8:H8"/>
    <mergeCell ref="G9:H9"/>
    <mergeCell ref="A17:A18"/>
    <mergeCell ref="B17:B18"/>
    <mergeCell ref="E17:E18"/>
    <mergeCell ref="C17:D18"/>
    <mergeCell ref="A1:H1"/>
    <mergeCell ref="G4:H4"/>
    <mergeCell ref="G5:H5"/>
    <mergeCell ref="G3:H3"/>
    <mergeCell ref="C3:D3"/>
    <mergeCell ref="C4:D4"/>
    <mergeCell ref="C5:D5"/>
    <mergeCell ref="I17:I18"/>
    <mergeCell ref="G14:H14"/>
    <mergeCell ref="G15:H15"/>
    <mergeCell ref="G16:H16"/>
    <mergeCell ref="F17:F18"/>
    <mergeCell ref="G17:H17"/>
    <mergeCell ref="C10:D10"/>
    <mergeCell ref="C11:D11"/>
    <mergeCell ref="C14:D14"/>
    <mergeCell ref="C15:D15"/>
    <mergeCell ref="C16:D16"/>
    <mergeCell ref="C12:D12"/>
    <mergeCell ref="C13:D13"/>
    <mergeCell ref="G10:H10"/>
    <mergeCell ref="C6:D6"/>
    <mergeCell ref="C7:D7"/>
    <mergeCell ref="C8:D8"/>
    <mergeCell ref="C9:D9"/>
    <mergeCell ref="G11:H11"/>
    <mergeCell ref="C25:D25"/>
    <mergeCell ref="C26:D26"/>
    <mergeCell ref="C27:D27"/>
    <mergeCell ref="C19:D19"/>
    <mergeCell ref="C20:D20"/>
    <mergeCell ref="C23:D23"/>
    <mergeCell ref="C24:D24"/>
    <mergeCell ref="C21:D21"/>
    <mergeCell ref="C22:D22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4"/>
  </sheetPr>
  <dimension ref="A1:K31"/>
  <sheetViews>
    <sheetView zoomScaleNormal="100" workbookViewId="0">
      <selection activeCell="E6" sqref="E6"/>
    </sheetView>
  </sheetViews>
  <sheetFormatPr defaultRowHeight="13.5"/>
  <cols>
    <col min="1" max="1" width="4.77734375" style="14" customWidth="1"/>
    <col min="2" max="2" width="5.88671875" style="14" customWidth="1"/>
    <col min="3" max="3" width="8.21875" style="14" customWidth="1"/>
    <col min="4" max="4" width="6.77734375" style="14" customWidth="1"/>
    <col min="5" max="5" width="5.6640625" style="14" customWidth="1"/>
    <col min="6" max="6" width="9.5546875" style="14" customWidth="1"/>
    <col min="7" max="7" width="13.44140625" style="14" customWidth="1"/>
    <col min="8" max="8" width="9.77734375" style="14" customWidth="1"/>
    <col min="9" max="9" width="13.77734375" style="14" customWidth="1"/>
    <col min="10" max="10" width="12.33203125" style="14" customWidth="1"/>
    <col min="11" max="11" width="17.6640625" style="14" customWidth="1"/>
    <col min="12" max="16384" width="8.88671875" style="14"/>
  </cols>
  <sheetData>
    <row r="1" spans="1:11" ht="18.75">
      <c r="A1" s="482" t="s">
        <v>305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</row>
    <row r="3" spans="1:11" s="43" customFormat="1" ht="27.75" customHeight="1">
      <c r="A3" s="490" t="s">
        <v>62</v>
      </c>
      <c r="B3" s="491"/>
      <c r="C3" s="483" t="s">
        <v>249</v>
      </c>
      <c r="D3" s="480" t="s">
        <v>37</v>
      </c>
      <c r="E3" s="480" t="s">
        <v>13</v>
      </c>
      <c r="F3" s="480" t="s">
        <v>38</v>
      </c>
      <c r="G3" s="480" t="s">
        <v>117</v>
      </c>
      <c r="H3" s="480" t="s">
        <v>115</v>
      </c>
      <c r="I3" s="480"/>
      <c r="J3" s="481" t="s">
        <v>36</v>
      </c>
      <c r="K3" s="480" t="s">
        <v>116</v>
      </c>
    </row>
    <row r="4" spans="1:11" s="43" customFormat="1" ht="28.5" customHeight="1">
      <c r="A4" s="492"/>
      <c r="B4" s="493"/>
      <c r="C4" s="484"/>
      <c r="D4" s="480"/>
      <c r="E4" s="480"/>
      <c r="F4" s="480"/>
      <c r="G4" s="480"/>
      <c r="H4" s="79" t="s">
        <v>118</v>
      </c>
      <c r="I4" s="80" t="s">
        <v>119</v>
      </c>
      <c r="J4" s="480"/>
      <c r="K4" s="480"/>
    </row>
    <row r="5" spans="1:11" s="43" customFormat="1" ht="15" customHeight="1">
      <c r="A5" s="487" t="s">
        <v>18</v>
      </c>
      <c r="B5" s="81" t="s">
        <v>14</v>
      </c>
      <c r="C5" s="81"/>
      <c r="D5" s="44"/>
      <c r="E5" s="44"/>
      <c r="F5" s="44"/>
      <c r="G5" s="44"/>
      <c r="H5" s="44"/>
      <c r="I5" s="44"/>
      <c r="J5" s="44"/>
      <c r="K5" s="44"/>
    </row>
    <row r="6" spans="1:11" s="43" customFormat="1" ht="15" customHeight="1">
      <c r="A6" s="488"/>
      <c r="B6" s="81" t="s">
        <v>16</v>
      </c>
      <c r="C6" s="81"/>
      <c r="D6" s="44"/>
      <c r="E6" s="44"/>
      <c r="F6" s="44"/>
      <c r="G6" s="44"/>
      <c r="H6" s="44"/>
      <c r="I6" s="44"/>
      <c r="J6" s="44"/>
      <c r="K6" s="44"/>
    </row>
    <row r="7" spans="1:11" s="43" customFormat="1" ht="15" customHeight="1">
      <c r="A7" s="488"/>
      <c r="B7" s="81" t="s">
        <v>16</v>
      </c>
      <c r="C7" s="81"/>
      <c r="D7" s="44"/>
      <c r="E7" s="44"/>
      <c r="F7" s="44"/>
      <c r="G7" s="44"/>
      <c r="H7" s="44"/>
      <c r="I7" s="44"/>
      <c r="J7" s="44"/>
      <c r="K7" s="44"/>
    </row>
    <row r="8" spans="1:11" s="43" customFormat="1" ht="15" customHeight="1">
      <c r="A8" s="488"/>
      <c r="B8" s="81" t="s">
        <v>16</v>
      </c>
      <c r="C8" s="81"/>
      <c r="D8" s="44"/>
      <c r="E8" s="44"/>
      <c r="F8" s="44"/>
      <c r="G8" s="44"/>
      <c r="H8" s="44"/>
      <c r="I8" s="44"/>
      <c r="J8" s="44"/>
      <c r="K8" s="44"/>
    </row>
    <row r="9" spans="1:11" s="43" customFormat="1" ht="15" customHeight="1">
      <c r="A9" s="488"/>
      <c r="B9" s="81" t="s">
        <v>16</v>
      </c>
      <c r="C9" s="81"/>
      <c r="D9" s="44"/>
      <c r="E9" s="44"/>
      <c r="F9" s="44"/>
      <c r="G9" s="44"/>
      <c r="H9" s="44"/>
      <c r="I9" s="44"/>
      <c r="J9" s="44"/>
      <c r="K9" s="44"/>
    </row>
    <row r="10" spans="1:11" s="43" customFormat="1" ht="15" customHeight="1">
      <c r="A10" s="488"/>
      <c r="B10" s="81" t="s">
        <v>16</v>
      </c>
      <c r="C10" s="81"/>
      <c r="D10" s="44"/>
      <c r="E10" s="44"/>
      <c r="F10" s="44"/>
      <c r="G10" s="44"/>
      <c r="H10" s="44"/>
      <c r="I10" s="44"/>
      <c r="J10" s="44"/>
      <c r="K10" s="44"/>
    </row>
    <row r="11" spans="1:11" s="43" customFormat="1" ht="15" customHeight="1">
      <c r="A11" s="489"/>
      <c r="B11" s="81" t="s">
        <v>16</v>
      </c>
      <c r="C11" s="81"/>
      <c r="D11" s="44"/>
      <c r="E11" s="44"/>
      <c r="F11" s="44"/>
      <c r="G11" s="44"/>
      <c r="H11" s="44"/>
      <c r="I11" s="44"/>
      <c r="J11" s="44"/>
      <c r="K11" s="44"/>
    </row>
    <row r="12" spans="1:11" s="43" customFormat="1" ht="15" customHeight="1">
      <c r="A12" s="486" t="s">
        <v>19</v>
      </c>
      <c r="B12" s="81" t="s">
        <v>14</v>
      </c>
      <c r="C12" s="81"/>
      <c r="D12" s="44"/>
      <c r="E12" s="44"/>
      <c r="F12" s="44"/>
      <c r="G12" s="44"/>
      <c r="H12" s="44"/>
      <c r="I12" s="44"/>
      <c r="J12" s="44"/>
      <c r="K12" s="44"/>
    </row>
    <row r="13" spans="1:11" s="43" customFormat="1" ht="15" customHeight="1">
      <c r="A13" s="486"/>
      <c r="B13" s="81" t="s">
        <v>16</v>
      </c>
      <c r="C13" s="81"/>
      <c r="D13" s="44"/>
      <c r="E13" s="44"/>
      <c r="F13" s="44"/>
      <c r="G13" s="44"/>
      <c r="H13" s="44"/>
      <c r="I13" s="44"/>
      <c r="J13" s="44"/>
      <c r="K13" s="44"/>
    </row>
    <row r="14" spans="1:11" s="43" customFormat="1" ht="15" customHeight="1">
      <c r="A14" s="486"/>
      <c r="B14" s="81" t="s">
        <v>16</v>
      </c>
      <c r="C14" s="81"/>
      <c r="D14" s="44"/>
      <c r="E14" s="44"/>
      <c r="F14" s="44"/>
      <c r="G14" s="44"/>
      <c r="H14" s="44"/>
      <c r="I14" s="44"/>
      <c r="J14" s="44"/>
      <c r="K14" s="44"/>
    </row>
    <row r="15" spans="1:11" s="43" customFormat="1" ht="15" customHeight="1">
      <c r="A15" s="486"/>
      <c r="B15" s="81" t="s">
        <v>16</v>
      </c>
      <c r="C15" s="81"/>
      <c r="D15" s="44"/>
      <c r="E15" s="44"/>
      <c r="F15" s="44"/>
      <c r="G15" s="44"/>
      <c r="H15" s="44"/>
      <c r="I15" s="44"/>
      <c r="J15" s="44"/>
      <c r="K15" s="44"/>
    </row>
    <row r="16" spans="1:11" s="43" customFormat="1" ht="15" customHeight="1">
      <c r="A16" s="486"/>
      <c r="B16" s="81" t="s">
        <v>16</v>
      </c>
      <c r="C16" s="81"/>
      <c r="D16" s="44"/>
      <c r="E16" s="44"/>
      <c r="F16" s="44"/>
      <c r="G16" s="44"/>
      <c r="H16" s="44"/>
      <c r="I16" s="44"/>
      <c r="J16" s="44"/>
      <c r="K16" s="44"/>
    </row>
    <row r="17" spans="1:11" s="43" customFormat="1" ht="15" customHeight="1">
      <c r="A17" s="486"/>
      <c r="B17" s="81" t="s">
        <v>16</v>
      </c>
      <c r="C17" s="81"/>
      <c r="D17" s="44"/>
      <c r="E17" s="44"/>
      <c r="F17" s="44"/>
      <c r="G17" s="44"/>
      <c r="H17" s="44"/>
      <c r="I17" s="44"/>
      <c r="J17" s="44"/>
      <c r="K17" s="44"/>
    </row>
    <row r="18" spans="1:11" s="43" customFormat="1" ht="15" customHeight="1">
      <c r="A18" s="486"/>
      <c r="B18" s="81" t="s">
        <v>16</v>
      </c>
      <c r="C18" s="81"/>
      <c r="D18" s="44"/>
      <c r="E18" s="44"/>
      <c r="F18" s="44"/>
      <c r="G18" s="44"/>
      <c r="H18" s="44"/>
      <c r="I18" s="44"/>
      <c r="J18" s="44"/>
      <c r="K18" s="44"/>
    </row>
    <row r="19" spans="1:11" s="43" customFormat="1" ht="15" customHeight="1">
      <c r="A19" s="486"/>
      <c r="B19" s="81" t="s">
        <v>16</v>
      </c>
      <c r="C19" s="81"/>
      <c r="D19" s="44"/>
      <c r="E19" s="44"/>
      <c r="F19" s="44"/>
      <c r="G19" s="44"/>
      <c r="H19" s="44"/>
      <c r="I19" s="44"/>
      <c r="J19" s="44"/>
      <c r="K19" s="44"/>
    </row>
    <row r="20" spans="1:11" s="28" customFormat="1" ht="9.75" customHeight="1" thickBot="1"/>
    <row r="21" spans="1:11" s="28" customFormat="1" ht="16.5" customHeight="1" thickBot="1">
      <c r="A21" s="494" t="s">
        <v>198</v>
      </c>
      <c r="B21" s="495"/>
      <c r="C21" s="495"/>
      <c r="D21" s="495"/>
      <c r="E21" s="495"/>
      <c r="F21" s="495"/>
      <c r="G21" s="495"/>
      <c r="H21" s="154">
        <v>0.5</v>
      </c>
      <c r="I21" s="152"/>
      <c r="J21" s="153"/>
    </row>
    <row r="22" spans="1:11" s="28" customFormat="1" ht="16.5" customHeight="1"/>
    <row r="23" spans="1:11" s="28" customFormat="1" ht="16.5" customHeight="1">
      <c r="A23" s="485" t="s">
        <v>194</v>
      </c>
      <c r="B23" s="485"/>
      <c r="C23" s="485"/>
      <c r="D23" s="485"/>
      <c r="E23" s="485"/>
      <c r="F23" s="485"/>
      <c r="G23" s="485"/>
    </row>
    <row r="24" spans="1:11" s="28" customFormat="1" ht="16.5" customHeight="1">
      <c r="A24" s="485" t="s">
        <v>197</v>
      </c>
      <c r="B24" s="485"/>
      <c r="C24" s="485"/>
      <c r="D24" s="485"/>
      <c r="E24" s="485"/>
      <c r="F24" s="485"/>
      <c r="G24" s="485"/>
    </row>
    <row r="25" spans="1:11" s="28" customFormat="1" ht="16.5" customHeight="1">
      <c r="A25" s="485" t="s">
        <v>195</v>
      </c>
      <c r="B25" s="485"/>
      <c r="C25" s="485"/>
      <c r="D25" s="485"/>
      <c r="E25" s="485"/>
      <c r="F25" s="485"/>
      <c r="G25" s="485"/>
    </row>
    <row r="26" spans="1:11" s="28" customFormat="1" ht="16.5" customHeight="1">
      <c r="A26" s="485" t="s">
        <v>196</v>
      </c>
      <c r="B26" s="485"/>
      <c r="C26" s="485"/>
      <c r="D26" s="485"/>
      <c r="E26" s="485"/>
      <c r="F26" s="485"/>
      <c r="G26" s="485"/>
    </row>
    <row r="27" spans="1:11" s="28" customFormat="1" ht="14.25"/>
    <row r="28" spans="1:11" s="28" customFormat="1" ht="21" customHeight="1">
      <c r="A28" s="258" t="s">
        <v>306</v>
      </c>
      <c r="B28" s="259"/>
      <c r="C28" s="259"/>
      <c r="D28" s="259"/>
      <c r="E28" s="259"/>
      <c r="F28" s="259"/>
      <c r="G28" s="259"/>
    </row>
    <row r="29" spans="1:11">
      <c r="A29" s="226" t="s">
        <v>254</v>
      </c>
      <c r="B29" s="225"/>
      <c r="C29" s="225"/>
      <c r="D29" s="225"/>
      <c r="E29" s="225"/>
      <c r="F29" s="225"/>
      <c r="G29" s="225"/>
      <c r="H29" s="141"/>
      <c r="I29" s="141"/>
    </row>
    <row r="31" spans="1:11" ht="17.25" customHeight="1">
      <c r="A31" s="313" t="s">
        <v>405</v>
      </c>
      <c r="B31" s="313"/>
      <c r="C31" s="313"/>
      <c r="D31" s="313"/>
      <c r="E31" s="313"/>
    </row>
  </sheetData>
  <mergeCells count="17">
    <mergeCell ref="A26:G26"/>
    <mergeCell ref="A12:A19"/>
    <mergeCell ref="E3:E4"/>
    <mergeCell ref="A5:A11"/>
    <mergeCell ref="A3:B4"/>
    <mergeCell ref="D3:D4"/>
    <mergeCell ref="A21:G21"/>
    <mergeCell ref="A23:G23"/>
    <mergeCell ref="A24:G24"/>
    <mergeCell ref="A25:G25"/>
    <mergeCell ref="H3:I3"/>
    <mergeCell ref="J3:J4"/>
    <mergeCell ref="A1:K1"/>
    <mergeCell ref="K3:K4"/>
    <mergeCell ref="F3:F4"/>
    <mergeCell ref="C3:C4"/>
    <mergeCell ref="G3:G4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6" orientation="landscape" horizontalDpi="300" vertic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</sheetPr>
  <dimension ref="A1:I26"/>
  <sheetViews>
    <sheetView topLeftCell="A2" zoomScaleNormal="100" zoomScaleSheetLayoutView="100" workbookViewId="0">
      <selection activeCell="C9" sqref="C9"/>
    </sheetView>
  </sheetViews>
  <sheetFormatPr defaultRowHeight="12"/>
  <cols>
    <col min="1" max="1" width="5.77734375" style="17" customWidth="1"/>
    <col min="2" max="2" width="6.33203125" style="17" customWidth="1"/>
    <col min="3" max="5" width="15.77734375" style="17" customWidth="1"/>
    <col min="6" max="8" width="15.77734375" style="18" customWidth="1"/>
    <col min="9" max="9" width="15.77734375" style="17" customWidth="1"/>
    <col min="10" max="16384" width="8.88671875" style="17"/>
  </cols>
  <sheetData>
    <row r="1" spans="1:9" ht="22.5" customHeight="1">
      <c r="B1" s="510" t="s">
        <v>121</v>
      </c>
      <c r="C1" s="510"/>
      <c r="D1" s="510"/>
      <c r="E1" s="510"/>
      <c r="F1" s="510"/>
      <c r="G1" s="510"/>
      <c r="H1" s="510"/>
      <c r="I1" s="510"/>
    </row>
    <row r="2" spans="1:9" ht="22.5" customHeight="1">
      <c r="B2" s="148"/>
      <c r="C2" s="90"/>
      <c r="D2" s="90"/>
      <c r="E2" s="90"/>
      <c r="F2" s="90"/>
      <c r="G2" s="90"/>
      <c r="H2" s="90"/>
      <c r="I2" s="90"/>
    </row>
    <row r="3" spans="1:9" ht="30" customHeight="1">
      <c r="A3" s="511" t="s">
        <v>62</v>
      </c>
      <c r="B3" s="511"/>
      <c r="C3" s="512" t="s">
        <v>192</v>
      </c>
      <c r="D3" s="511" t="s">
        <v>143</v>
      </c>
      <c r="E3" s="511" t="s">
        <v>144</v>
      </c>
      <c r="F3" s="502" t="s">
        <v>402</v>
      </c>
      <c r="G3" s="503"/>
      <c r="H3" s="506" t="s">
        <v>403</v>
      </c>
      <c r="I3" s="507"/>
    </row>
    <row r="4" spans="1:9" ht="50.25" customHeight="1">
      <c r="A4" s="511"/>
      <c r="B4" s="511"/>
      <c r="C4" s="513"/>
      <c r="D4" s="511"/>
      <c r="E4" s="511"/>
      <c r="F4" s="504"/>
      <c r="G4" s="505"/>
      <c r="H4" s="508"/>
      <c r="I4" s="509"/>
    </row>
    <row r="5" spans="1:9" ht="30" customHeight="1">
      <c r="A5" s="511"/>
      <c r="B5" s="511"/>
      <c r="C5" s="514"/>
      <c r="D5" s="511"/>
      <c r="E5" s="511"/>
      <c r="F5" s="108" t="s">
        <v>145</v>
      </c>
      <c r="G5" s="108" t="s">
        <v>146</v>
      </c>
      <c r="H5" s="219" t="s">
        <v>145</v>
      </c>
      <c r="I5" s="220" t="s">
        <v>193</v>
      </c>
    </row>
    <row r="6" spans="1:9" ht="33" customHeight="1">
      <c r="A6" s="499" t="s">
        <v>18</v>
      </c>
      <c r="B6" s="109" t="s">
        <v>14</v>
      </c>
      <c r="C6" s="109" t="s">
        <v>130</v>
      </c>
      <c r="D6" s="109" t="s">
        <v>205</v>
      </c>
      <c r="E6" s="95" t="s">
        <v>206</v>
      </c>
      <c r="F6" s="110">
        <f>'5-1. 참여기술자 해당(직무)분야경력'!G43</f>
        <v>2100</v>
      </c>
      <c r="G6" s="111">
        <f>F6/365</f>
        <v>5.7534246575342465</v>
      </c>
      <c r="H6" s="221">
        <f>'5-1. 참여기술자 해당(직무)분야경력'!G34</f>
        <v>6600</v>
      </c>
      <c r="I6" s="222">
        <f>H6/365</f>
        <v>18.082191780821919</v>
      </c>
    </row>
    <row r="7" spans="1:9" ht="30" customHeight="1">
      <c r="A7" s="500"/>
      <c r="B7" s="112" t="s">
        <v>508</v>
      </c>
      <c r="C7" s="109" t="s">
        <v>527</v>
      </c>
      <c r="D7" s="112" t="s">
        <v>205</v>
      </c>
      <c r="E7" s="113" t="s">
        <v>206</v>
      </c>
      <c r="F7" s="110">
        <v>6000</v>
      </c>
      <c r="G7" s="111">
        <f>F7/365</f>
        <v>16.438356164383563</v>
      </c>
      <c r="H7" s="221">
        <f>F7</f>
        <v>6000</v>
      </c>
      <c r="I7" s="222">
        <f>H7/30</f>
        <v>200</v>
      </c>
    </row>
    <row r="8" spans="1:9" ht="30" customHeight="1">
      <c r="A8" s="500"/>
      <c r="B8" s="112" t="s">
        <v>508</v>
      </c>
      <c r="C8" s="109" t="s">
        <v>528</v>
      </c>
      <c r="D8" s="112" t="s">
        <v>203</v>
      </c>
      <c r="E8" s="113" t="s">
        <v>206</v>
      </c>
      <c r="F8" s="110">
        <v>6000</v>
      </c>
      <c r="G8" s="111">
        <f>F8/365</f>
        <v>16.438356164383563</v>
      </c>
      <c r="H8" s="221">
        <f>F8</f>
        <v>6000</v>
      </c>
      <c r="I8" s="222">
        <f>H8/30</f>
        <v>200</v>
      </c>
    </row>
    <row r="9" spans="1:9" ht="30" customHeight="1">
      <c r="A9" s="501"/>
      <c r="B9" s="112" t="s">
        <v>508</v>
      </c>
      <c r="C9" s="109" t="s">
        <v>201</v>
      </c>
      <c r="D9" s="112" t="s">
        <v>204</v>
      </c>
      <c r="E9" s="113" t="s">
        <v>206</v>
      </c>
      <c r="F9" s="110">
        <v>6000</v>
      </c>
      <c r="G9" s="111">
        <f>F9/365</f>
        <v>16.438356164383563</v>
      </c>
      <c r="H9" s="221">
        <f>F9</f>
        <v>6000</v>
      </c>
      <c r="I9" s="222">
        <f>H9/30</f>
        <v>200</v>
      </c>
    </row>
    <row r="10" spans="1:9" ht="30" customHeight="1">
      <c r="A10" s="497" t="s">
        <v>436</v>
      </c>
      <c r="B10" s="498"/>
      <c r="C10" s="109" t="s">
        <v>202</v>
      </c>
      <c r="D10" s="112" t="s">
        <v>205</v>
      </c>
      <c r="E10" s="113" t="s">
        <v>206</v>
      </c>
      <c r="F10" s="110">
        <v>6000</v>
      </c>
      <c r="G10" s="111">
        <f>F10/365</f>
        <v>16.438356164383563</v>
      </c>
      <c r="H10" s="221">
        <f>F10</f>
        <v>6000</v>
      </c>
      <c r="I10" s="222">
        <f>H10/365</f>
        <v>16.438356164383563</v>
      </c>
    </row>
    <row r="11" spans="1:9">
      <c r="E11" s="107"/>
    </row>
    <row r="12" spans="1:9">
      <c r="E12" s="107"/>
    </row>
    <row r="13" spans="1:9">
      <c r="A13" s="496" t="s">
        <v>312</v>
      </c>
      <c r="B13" s="496"/>
      <c r="C13" s="496"/>
      <c r="D13" s="496"/>
      <c r="E13" s="496"/>
    </row>
    <row r="14" spans="1:9">
      <c r="E14" s="107"/>
    </row>
    <row r="15" spans="1:9" ht="13.5">
      <c r="A15" s="313" t="s">
        <v>404</v>
      </c>
      <c r="B15" s="313"/>
      <c r="C15" s="314"/>
      <c r="D15" s="314"/>
      <c r="E15" s="107"/>
    </row>
    <row r="16" spans="1:9">
      <c r="E16" s="107"/>
    </row>
    <row r="17" spans="5:5">
      <c r="E17" s="107"/>
    </row>
    <row r="18" spans="5:5">
      <c r="E18" s="107"/>
    </row>
    <row r="19" spans="5:5">
      <c r="E19" s="107"/>
    </row>
    <row r="20" spans="5:5">
      <c r="E20" s="107"/>
    </row>
    <row r="21" spans="5:5">
      <c r="E21" s="107"/>
    </row>
    <row r="22" spans="5:5">
      <c r="E22" s="107"/>
    </row>
    <row r="23" spans="5:5">
      <c r="E23" s="107"/>
    </row>
    <row r="24" spans="5:5">
      <c r="E24" s="107"/>
    </row>
    <row r="25" spans="5:5">
      <c r="E25" s="107"/>
    </row>
    <row r="26" spans="5:5">
      <c r="E26" s="107"/>
    </row>
  </sheetData>
  <mergeCells count="10">
    <mergeCell ref="A13:E13"/>
    <mergeCell ref="A10:B10"/>
    <mergeCell ref="A6:A9"/>
    <mergeCell ref="F3:G4"/>
    <mergeCell ref="H3:I4"/>
    <mergeCell ref="B1:I1"/>
    <mergeCell ref="D3:D5"/>
    <mergeCell ref="E3:E5"/>
    <mergeCell ref="C3:C5"/>
    <mergeCell ref="A3:B5"/>
  </mergeCells>
  <phoneticPr fontId="11" type="noConversion"/>
  <printOptions horizontalCentered="1"/>
  <pageMargins left="0.17" right="0.17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2"/>
  </sheetPr>
  <dimension ref="A1:L46"/>
  <sheetViews>
    <sheetView topLeftCell="A10" zoomScaleNormal="100" zoomScaleSheetLayoutView="100" workbookViewId="0">
      <selection activeCell="B40" sqref="B40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5" width="10.6640625" customWidth="1"/>
    <col min="6" max="6" width="10.33203125" customWidth="1"/>
    <col min="7" max="7" width="10.77734375" customWidth="1"/>
    <col min="9" max="9" width="11.44140625" bestFit="1" customWidth="1"/>
    <col min="10" max="10" width="11.6640625" customWidth="1"/>
    <col min="12" max="12" width="10.6640625" customWidth="1"/>
  </cols>
  <sheetData>
    <row r="1" spans="1:12" ht="14.25">
      <c r="A1" s="532" t="s">
        <v>224</v>
      </c>
      <c r="B1" s="532"/>
      <c r="C1" s="532"/>
      <c r="D1" s="532"/>
      <c r="E1" s="532"/>
      <c r="F1" s="532"/>
      <c r="G1" s="532"/>
    </row>
    <row r="2" spans="1:12" ht="14.25">
      <c r="A2" s="227" t="s">
        <v>255</v>
      </c>
      <c r="B2" s="142"/>
      <c r="C2" s="14"/>
      <c r="D2" s="14"/>
      <c r="E2" s="14"/>
      <c r="F2" s="14"/>
      <c r="G2" s="14"/>
    </row>
    <row r="3" spans="1:12" ht="14.25" thickBot="1">
      <c r="A3" s="162" t="s">
        <v>162</v>
      </c>
      <c r="B3" s="162" t="s">
        <v>313</v>
      </c>
      <c r="C3" s="162" t="s">
        <v>225</v>
      </c>
      <c r="D3" s="162" t="s">
        <v>226</v>
      </c>
      <c r="E3" s="533" t="s">
        <v>227</v>
      </c>
      <c r="F3" s="533"/>
      <c r="G3" s="162" t="s">
        <v>228</v>
      </c>
      <c r="I3" s="294" t="s">
        <v>388</v>
      </c>
    </row>
    <row r="4" spans="1:12" ht="14.25" thickTop="1">
      <c r="A4" s="159" t="s">
        <v>229</v>
      </c>
      <c r="B4" s="159" t="s">
        <v>529</v>
      </c>
      <c r="C4" s="163"/>
      <c r="D4" s="163"/>
      <c r="E4" s="164">
        <v>23012</v>
      </c>
      <c r="F4" s="164">
        <v>23651</v>
      </c>
      <c r="G4" s="165">
        <f>F4-E4+1</f>
        <v>640</v>
      </c>
    </row>
    <row r="5" spans="1:12">
      <c r="A5" s="166"/>
      <c r="B5" s="166"/>
      <c r="C5" s="167"/>
      <c r="D5" s="168"/>
      <c r="E5" s="169">
        <v>23680</v>
      </c>
      <c r="F5" s="169">
        <v>24226</v>
      </c>
      <c r="G5" s="165">
        <f>IF(E5&gt;F4,F5-E5+1,F5-F4)</f>
        <v>547</v>
      </c>
    </row>
    <row r="6" spans="1:12">
      <c r="A6" s="166"/>
      <c r="B6" s="166"/>
      <c r="C6" s="167"/>
      <c r="D6" s="168"/>
      <c r="E6" s="169">
        <v>27061</v>
      </c>
      <c r="F6" s="169">
        <v>27363</v>
      </c>
      <c r="G6" s="165">
        <f t="shared" ref="G6:G19" si="0">IF(E6&gt;F5,F6-E6+1,F6-F5)</f>
        <v>303</v>
      </c>
    </row>
    <row r="7" spans="1:12">
      <c r="A7" s="166"/>
      <c r="B7" s="166"/>
      <c r="C7" s="167"/>
      <c r="D7" s="168"/>
      <c r="E7" s="169">
        <v>27364</v>
      </c>
      <c r="F7" s="169">
        <v>27728</v>
      </c>
      <c r="G7" s="165">
        <f t="shared" si="0"/>
        <v>365</v>
      </c>
      <c r="I7" s="293"/>
    </row>
    <row r="8" spans="1:12">
      <c r="B8" s="166"/>
      <c r="C8" s="167"/>
      <c r="D8" s="168"/>
      <c r="E8" s="169">
        <v>27729</v>
      </c>
      <c r="F8" s="169">
        <v>28125</v>
      </c>
      <c r="G8" s="165">
        <f t="shared" si="0"/>
        <v>397</v>
      </c>
    </row>
    <row r="9" spans="1:12">
      <c r="B9" s="166"/>
      <c r="C9" s="167"/>
      <c r="D9" s="168"/>
      <c r="E9" s="169">
        <v>28126</v>
      </c>
      <c r="F9" s="169">
        <v>28490</v>
      </c>
      <c r="G9" s="165">
        <f t="shared" si="0"/>
        <v>365</v>
      </c>
    </row>
    <row r="10" spans="1:12">
      <c r="A10" s="166"/>
      <c r="B10" s="166"/>
      <c r="C10" s="168"/>
      <c r="D10" s="168"/>
      <c r="E10" s="169">
        <v>28491</v>
      </c>
      <c r="F10" s="169">
        <v>28855</v>
      </c>
      <c r="G10" s="165">
        <f t="shared" si="0"/>
        <v>365</v>
      </c>
    </row>
    <row r="11" spans="1:12">
      <c r="A11" s="166"/>
      <c r="B11" s="166"/>
      <c r="C11" s="168"/>
      <c r="D11" s="168"/>
      <c r="E11" s="169">
        <v>28856</v>
      </c>
      <c r="F11" s="169">
        <v>29189</v>
      </c>
      <c r="G11" s="165">
        <f t="shared" si="0"/>
        <v>334</v>
      </c>
    </row>
    <row r="12" spans="1:12">
      <c r="A12" s="166"/>
      <c r="B12" s="166"/>
      <c r="C12" s="168"/>
      <c r="D12" s="168"/>
      <c r="E12" s="169">
        <v>29190</v>
      </c>
      <c r="F12" s="169">
        <v>29586</v>
      </c>
      <c r="G12" s="165">
        <f t="shared" si="0"/>
        <v>397</v>
      </c>
    </row>
    <row r="13" spans="1:12">
      <c r="A13" s="166"/>
      <c r="B13" s="166"/>
      <c r="C13" s="168"/>
      <c r="D13" s="168"/>
      <c r="E13" s="169">
        <v>29587</v>
      </c>
      <c r="F13" s="169">
        <v>30316</v>
      </c>
      <c r="G13" s="165">
        <f t="shared" si="0"/>
        <v>730</v>
      </c>
    </row>
    <row r="14" spans="1:12">
      <c r="A14" s="166"/>
      <c r="B14" s="166"/>
      <c r="C14" s="168"/>
      <c r="D14" s="168"/>
      <c r="E14" s="169">
        <v>32874</v>
      </c>
      <c r="F14" s="169">
        <v>33969</v>
      </c>
      <c r="G14" s="165">
        <f t="shared" si="0"/>
        <v>1096</v>
      </c>
    </row>
    <row r="15" spans="1:12">
      <c r="A15" s="166"/>
      <c r="B15" s="166"/>
      <c r="C15" s="168"/>
      <c r="D15" s="168"/>
      <c r="E15" s="169">
        <v>33970</v>
      </c>
      <c r="F15" s="169">
        <v>34395</v>
      </c>
      <c r="G15" s="165">
        <f t="shared" si="0"/>
        <v>426</v>
      </c>
      <c r="I15" s="292">
        <v>34395</v>
      </c>
    </row>
    <row r="16" spans="1:12">
      <c r="A16" s="166"/>
      <c r="B16" s="166"/>
      <c r="C16" s="289"/>
      <c r="D16" s="289"/>
      <c r="E16" s="287">
        <v>34060</v>
      </c>
      <c r="F16" s="287">
        <v>34120</v>
      </c>
      <c r="G16" s="288">
        <f t="shared" si="0"/>
        <v>-275</v>
      </c>
      <c r="H16" t="s">
        <v>389</v>
      </c>
      <c r="I16" s="291">
        <v>34120</v>
      </c>
      <c r="J16" s="516" t="s">
        <v>387</v>
      </c>
      <c r="K16" s="517"/>
      <c r="L16" s="517"/>
    </row>
    <row r="17" spans="1:12">
      <c r="A17" s="166"/>
      <c r="B17" s="166"/>
      <c r="C17" s="289"/>
      <c r="D17" s="289"/>
      <c r="E17" s="287">
        <v>34121</v>
      </c>
      <c r="F17" s="287">
        <v>34313</v>
      </c>
      <c r="G17" s="288">
        <f t="shared" si="0"/>
        <v>193</v>
      </c>
      <c r="H17" t="s">
        <v>389</v>
      </c>
      <c r="I17" s="291">
        <v>34313</v>
      </c>
      <c r="J17" s="517"/>
      <c r="K17" s="517"/>
      <c r="L17" s="517"/>
    </row>
    <row r="18" spans="1:12">
      <c r="A18" s="170"/>
      <c r="B18" s="170"/>
      <c r="C18" s="290"/>
      <c r="D18" s="290"/>
      <c r="E18" s="287">
        <v>34121</v>
      </c>
      <c r="F18" s="287">
        <v>34365</v>
      </c>
      <c r="G18" s="288">
        <f t="shared" si="0"/>
        <v>52</v>
      </c>
      <c r="H18" t="s">
        <v>389</v>
      </c>
      <c r="I18" s="291">
        <v>34365</v>
      </c>
      <c r="J18" s="517"/>
      <c r="K18" s="517"/>
      <c r="L18" s="517"/>
    </row>
    <row r="19" spans="1:12">
      <c r="A19" s="166"/>
      <c r="B19" s="166"/>
      <c r="C19" s="168"/>
      <c r="D19" s="168"/>
      <c r="E19" s="169">
        <v>34396</v>
      </c>
      <c r="F19" s="169">
        <v>35060</v>
      </c>
      <c r="G19" s="165">
        <f t="shared" si="0"/>
        <v>665</v>
      </c>
    </row>
    <row r="20" spans="1:12">
      <c r="A20" s="166"/>
      <c r="B20" s="166"/>
      <c r="C20" s="168"/>
      <c r="D20" s="168"/>
      <c r="E20" s="169"/>
      <c r="F20" s="169"/>
      <c r="G20" s="165"/>
    </row>
    <row r="21" spans="1:12">
      <c r="A21" s="166"/>
      <c r="B21" s="166"/>
      <c r="C21" s="168"/>
      <c r="D21" s="168"/>
      <c r="E21" s="169"/>
      <c r="F21" s="169"/>
      <c r="G21" s="165"/>
    </row>
    <row r="22" spans="1:12">
      <c r="A22" s="166"/>
      <c r="B22" s="166"/>
      <c r="C22" s="168"/>
      <c r="D22" s="168"/>
      <c r="E22" s="169"/>
      <c r="F22" s="169"/>
      <c r="G22" s="165"/>
    </row>
    <row r="23" spans="1:12">
      <c r="A23" s="166"/>
      <c r="B23" s="166"/>
      <c r="C23" s="168"/>
      <c r="D23" s="168"/>
      <c r="E23" s="169"/>
      <c r="F23" s="169"/>
      <c r="G23" s="165"/>
    </row>
    <row r="24" spans="1:12">
      <c r="A24" s="166"/>
      <c r="B24" s="166"/>
      <c r="C24" s="168"/>
      <c r="D24" s="168"/>
      <c r="E24" s="169"/>
      <c r="F24" s="169"/>
      <c r="G24" s="165"/>
    </row>
    <row r="25" spans="1:12">
      <c r="A25" s="166"/>
      <c r="B25" s="166"/>
      <c r="C25" s="168"/>
      <c r="D25" s="168"/>
      <c r="E25" s="169"/>
      <c r="F25" s="169"/>
      <c r="G25" s="165"/>
    </row>
    <row r="26" spans="1:12">
      <c r="A26" s="166"/>
      <c r="B26" s="166"/>
      <c r="C26" s="168"/>
      <c r="D26" s="168"/>
      <c r="E26" s="169"/>
      <c r="F26" s="169"/>
      <c r="G26" s="165"/>
    </row>
    <row r="27" spans="1:12">
      <c r="A27" s="166"/>
      <c r="B27" s="166"/>
      <c r="C27" s="168"/>
      <c r="D27" s="168"/>
      <c r="E27" s="169"/>
      <c r="F27" s="169"/>
      <c r="G27" s="165"/>
    </row>
    <row r="28" spans="1:12">
      <c r="A28" s="166"/>
      <c r="B28" s="166"/>
      <c r="C28" s="168"/>
      <c r="D28" s="168"/>
      <c r="E28" s="168"/>
      <c r="F28" s="168"/>
      <c r="G28" s="168"/>
    </row>
    <row r="29" spans="1:12">
      <c r="A29" s="166"/>
      <c r="B29" s="166"/>
      <c r="C29" s="168"/>
      <c r="D29" s="168"/>
      <c r="E29" s="168"/>
      <c r="F29" s="168"/>
      <c r="G29" s="168"/>
    </row>
    <row r="30" spans="1:12">
      <c r="A30" s="166"/>
      <c r="B30" s="166"/>
      <c r="C30" s="168"/>
      <c r="D30" s="168"/>
      <c r="E30" s="168"/>
      <c r="F30" s="168"/>
      <c r="G30" s="168"/>
    </row>
    <row r="31" spans="1:12">
      <c r="A31" s="166"/>
      <c r="B31" s="166"/>
      <c r="C31" s="168"/>
      <c r="D31" s="168"/>
      <c r="E31" s="168"/>
      <c r="F31" s="168"/>
      <c r="G31" s="168"/>
    </row>
    <row r="32" spans="1:12">
      <c r="A32" s="166"/>
      <c r="B32" s="166"/>
      <c r="C32" s="168"/>
      <c r="D32" s="168"/>
      <c r="E32" s="168"/>
      <c r="F32" s="168"/>
      <c r="G32" s="168"/>
    </row>
    <row r="33" spans="1:8">
      <c r="A33" s="166"/>
      <c r="B33" s="166"/>
      <c r="C33" s="168"/>
      <c r="D33" s="168"/>
      <c r="E33" s="171"/>
      <c r="F33" s="171"/>
      <c r="G33" s="171"/>
    </row>
    <row r="34" spans="1:8">
      <c r="A34" s="172" t="s">
        <v>230</v>
      </c>
      <c r="B34" s="530" t="s">
        <v>231</v>
      </c>
      <c r="C34" s="531"/>
      <c r="D34" s="173"/>
      <c r="E34" s="173"/>
      <c r="F34" s="173"/>
      <c r="G34" s="174">
        <f>SUM(G4:G33)</f>
        <v>6600</v>
      </c>
    </row>
    <row r="37" spans="1:8" ht="14.25">
      <c r="A37" s="532" t="s">
        <v>384</v>
      </c>
      <c r="B37" s="532"/>
      <c r="C37" s="532"/>
      <c r="D37" s="532"/>
      <c r="E37" s="532"/>
      <c r="F37" s="532"/>
      <c r="G37" s="532"/>
    </row>
    <row r="39" spans="1:8" ht="14.25" thickBot="1">
      <c r="A39" s="162" t="s">
        <v>162</v>
      </c>
      <c r="B39" s="162" t="s">
        <v>313</v>
      </c>
      <c r="C39" s="162" t="s">
        <v>386</v>
      </c>
      <c r="D39" s="518" t="s">
        <v>401</v>
      </c>
      <c r="E39" s="519"/>
      <c r="F39" s="520"/>
      <c r="G39" s="162" t="s">
        <v>228</v>
      </c>
    </row>
    <row r="40" spans="1:8" ht="14.25" thickTop="1">
      <c r="A40" s="159" t="s">
        <v>229</v>
      </c>
      <c r="B40" s="159" t="s">
        <v>529</v>
      </c>
      <c r="C40" s="307" t="s">
        <v>205</v>
      </c>
      <c r="D40" s="524" t="s">
        <v>512</v>
      </c>
      <c r="E40" s="525"/>
      <c r="F40" s="526"/>
      <c r="G40" s="165">
        <v>2000</v>
      </c>
    </row>
    <row r="41" spans="1:8">
      <c r="A41" s="166"/>
      <c r="B41" s="166"/>
      <c r="C41" s="308" t="s">
        <v>205</v>
      </c>
      <c r="D41" s="527"/>
      <c r="E41" s="528"/>
      <c r="F41" s="529"/>
      <c r="G41" s="165">
        <v>100</v>
      </c>
    </row>
    <row r="42" spans="1:8">
      <c r="A42" s="166"/>
      <c r="B42" s="166"/>
      <c r="C42" s="167"/>
      <c r="D42" s="527"/>
      <c r="E42" s="528"/>
      <c r="F42" s="529"/>
      <c r="G42" s="165"/>
    </row>
    <row r="43" spans="1:8">
      <c r="A43" s="172" t="s">
        <v>230</v>
      </c>
      <c r="B43" s="530" t="s">
        <v>385</v>
      </c>
      <c r="C43" s="531"/>
      <c r="D43" s="521"/>
      <c r="E43" s="522"/>
      <c r="F43" s="523"/>
      <c r="G43" s="174">
        <f>SUM(G40:G42)</f>
        <v>2100</v>
      </c>
    </row>
    <row r="44" spans="1:8">
      <c r="A44" s="309"/>
      <c r="B44" s="310"/>
      <c r="C44" s="310"/>
      <c r="D44" s="309"/>
      <c r="E44" s="309"/>
      <c r="F44" s="309"/>
      <c r="G44" s="311"/>
      <c r="H44" s="312"/>
    </row>
    <row r="45" spans="1:8" s="175" customFormat="1">
      <c r="A45" s="515" t="s">
        <v>238</v>
      </c>
      <c r="B45" s="515"/>
      <c r="C45" s="214"/>
      <c r="D45" s="214"/>
      <c r="E45" s="214"/>
      <c r="F45" s="214"/>
    </row>
    <row r="46" spans="1:8" s="175" customFormat="1" ht="21.75" customHeight="1">
      <c r="A46" s="215" t="s">
        <v>239</v>
      </c>
      <c r="B46" s="215"/>
      <c r="C46" s="215"/>
      <c r="D46" s="215"/>
      <c r="E46" s="215"/>
      <c r="F46" s="214"/>
    </row>
  </sheetData>
  <mergeCells count="12">
    <mergeCell ref="A1:G1"/>
    <mergeCell ref="E3:F3"/>
    <mergeCell ref="A45:B45"/>
    <mergeCell ref="J16:L18"/>
    <mergeCell ref="D39:F39"/>
    <mergeCell ref="D43:F43"/>
    <mergeCell ref="D40:F40"/>
    <mergeCell ref="D41:F41"/>
    <mergeCell ref="D42:F42"/>
    <mergeCell ref="B43:C43"/>
    <mergeCell ref="A37:G37"/>
    <mergeCell ref="B34:C34"/>
  </mergeCells>
  <phoneticPr fontId="11" type="noConversion"/>
  <printOptions horizontalCentered="1"/>
  <pageMargins left="0.17" right="0.17" top="0.98425196850393704" bottom="0.98425196850393704" header="0.51181102362204722" footer="0.51181102362204722"/>
  <pageSetup paperSize="9" scale="71" orientation="landscape" horizontalDpi="300" verticalDpi="3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6"/>
  </sheetPr>
  <dimension ref="A1:O44"/>
  <sheetViews>
    <sheetView topLeftCell="A7" zoomScaleNormal="100" zoomScaleSheetLayoutView="100" workbookViewId="0">
      <selection activeCell="F3" sqref="F3"/>
    </sheetView>
  </sheetViews>
  <sheetFormatPr defaultRowHeight="13.5"/>
  <cols>
    <col min="1" max="1" width="3.21875" style="14" customWidth="1"/>
    <col min="2" max="2" width="21.88671875" style="14" customWidth="1"/>
    <col min="3" max="3" width="11.6640625" style="14" customWidth="1"/>
    <col min="4" max="4" width="25" style="14" customWidth="1"/>
    <col min="5" max="5" width="11.88671875" style="14" customWidth="1"/>
    <col min="6" max="6" width="11.44140625" style="14" customWidth="1"/>
    <col min="7" max="7" width="11" style="14" customWidth="1"/>
    <col min="8" max="8" width="11.5546875" style="14" customWidth="1"/>
    <col min="9" max="9" width="7.77734375" style="14" bestFit="1" customWidth="1"/>
    <col min="10" max="11" width="9.5546875" style="16" customWidth="1"/>
    <col min="12" max="12" width="11.33203125" style="16" customWidth="1"/>
    <col min="13" max="13" width="8.88671875" style="14"/>
    <col min="14" max="15" width="11.44140625" style="14" bestFit="1" customWidth="1"/>
    <col min="16" max="16384" width="8.88671875" style="14"/>
  </cols>
  <sheetData>
    <row r="1" spans="1:12" ht="18.75">
      <c r="A1" s="534" t="s">
        <v>86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</row>
    <row r="2" spans="1:12" ht="18" customHeight="1">
      <c r="A2" s="472" t="s">
        <v>149</v>
      </c>
      <c r="B2" s="473"/>
      <c r="C2" s="535" t="s">
        <v>148</v>
      </c>
      <c r="D2" s="535" t="s">
        <v>147</v>
      </c>
      <c r="E2" s="535" t="s">
        <v>304</v>
      </c>
      <c r="F2" s="535"/>
      <c r="G2" s="538" t="s">
        <v>222</v>
      </c>
      <c r="H2" s="556" t="s">
        <v>221</v>
      </c>
      <c r="I2" s="512" t="s">
        <v>223</v>
      </c>
      <c r="J2" s="536" t="s">
        <v>235</v>
      </c>
      <c r="K2" s="559" t="s">
        <v>87</v>
      </c>
      <c r="L2" s="536" t="s">
        <v>236</v>
      </c>
    </row>
    <row r="3" spans="1:12" ht="18" customHeight="1">
      <c r="A3" s="562"/>
      <c r="B3" s="563"/>
      <c r="C3" s="535"/>
      <c r="D3" s="535"/>
      <c r="E3" s="34" t="s">
        <v>257</v>
      </c>
      <c r="F3" s="176">
        <v>45139</v>
      </c>
      <c r="G3" s="539"/>
      <c r="H3" s="557"/>
      <c r="I3" s="513"/>
      <c r="J3" s="537"/>
      <c r="K3" s="560"/>
      <c r="L3" s="537"/>
    </row>
    <row r="4" spans="1:12" ht="18" customHeight="1">
      <c r="A4" s="562"/>
      <c r="B4" s="563"/>
      <c r="C4" s="535"/>
      <c r="D4" s="535"/>
      <c r="E4" s="34" t="s">
        <v>232</v>
      </c>
      <c r="F4" s="176">
        <v>44045</v>
      </c>
      <c r="G4" s="539"/>
      <c r="H4" s="557"/>
      <c r="I4" s="513"/>
      <c r="J4" s="537"/>
      <c r="K4" s="560"/>
      <c r="L4" s="537"/>
    </row>
    <row r="5" spans="1:12">
      <c r="A5" s="474"/>
      <c r="B5" s="475"/>
      <c r="C5" s="535"/>
      <c r="D5" s="535"/>
      <c r="E5" s="34" t="s">
        <v>218</v>
      </c>
      <c r="F5" s="34" t="s">
        <v>219</v>
      </c>
      <c r="G5" s="514"/>
      <c r="H5" s="558"/>
      <c r="I5" s="514"/>
      <c r="J5" s="537"/>
      <c r="K5" s="561"/>
      <c r="L5" s="537"/>
    </row>
    <row r="6" spans="1:12" ht="13.5" customHeight="1">
      <c r="A6" s="541" t="s">
        <v>114</v>
      </c>
      <c r="B6" s="555" t="s">
        <v>314</v>
      </c>
      <c r="C6" s="76" t="s">
        <v>150</v>
      </c>
      <c r="D6" s="73" t="s">
        <v>217</v>
      </c>
      <c r="E6" s="114">
        <v>44197</v>
      </c>
      <c r="F6" s="114">
        <v>44377</v>
      </c>
      <c r="G6" s="177">
        <f>(F6-E6)+1</f>
        <v>181</v>
      </c>
      <c r="H6" s="177"/>
      <c r="I6" s="177">
        <f>ROUND((IF(F6&lt;$F$4,0,IF(E6&gt;=$F$4,(F6-E6+1),(F6-$F$4+1)))),0)</f>
        <v>181</v>
      </c>
      <c r="J6" s="77">
        <v>500</v>
      </c>
      <c r="K6" s="264">
        <v>1</v>
      </c>
      <c r="L6" s="91">
        <f>ROUNDDOWN(J6*(I6/G6)*K6,0)</f>
        <v>500</v>
      </c>
    </row>
    <row r="7" spans="1:12" ht="13.5" customHeight="1">
      <c r="A7" s="542"/>
      <c r="B7" s="551"/>
      <c r="C7" s="76"/>
      <c r="D7" s="73"/>
      <c r="E7" s="114">
        <v>44256</v>
      </c>
      <c r="F7" s="114">
        <v>44986</v>
      </c>
      <c r="G7" s="177">
        <f>(F7-E7)+1</f>
        <v>731</v>
      </c>
      <c r="H7" s="115"/>
      <c r="I7" s="177">
        <f t="shared" ref="I7:I19" si="0">ROUND((IF(F7&lt;$F$4,0,IF(E7&gt;=$F$4,(F7-E7+1),(F7-$F$4+1)))),0)</f>
        <v>731</v>
      </c>
      <c r="J7" s="77">
        <v>1200</v>
      </c>
      <c r="K7" s="264">
        <v>1</v>
      </c>
      <c r="L7" s="91">
        <f>ROUNDDOWN(J7*(I7/G7)*K7,0)</f>
        <v>1200</v>
      </c>
    </row>
    <row r="8" spans="1:12" ht="13.5" customHeight="1" thickBot="1">
      <c r="A8" s="542"/>
      <c r="B8" s="552"/>
      <c r="C8" s="76"/>
      <c r="D8" s="73"/>
      <c r="E8" s="114">
        <v>44621</v>
      </c>
      <c r="F8" s="114">
        <v>44986</v>
      </c>
      <c r="G8" s="177">
        <f>(F8-E8)+1</f>
        <v>366</v>
      </c>
      <c r="H8" s="115"/>
      <c r="I8" s="177">
        <f t="shared" si="0"/>
        <v>366</v>
      </c>
      <c r="J8" s="77">
        <v>1000</v>
      </c>
      <c r="K8" s="264">
        <v>1</v>
      </c>
      <c r="L8" s="91">
        <f>ROUNDDOWN(J8*(I8/G8)*K8,0)</f>
        <v>1000</v>
      </c>
    </row>
    <row r="9" spans="1:12" ht="19.5" customHeight="1" thickBot="1">
      <c r="A9" s="542"/>
      <c r="B9" s="190" t="s">
        <v>39</v>
      </c>
      <c r="C9" s="191"/>
      <c r="D9" s="191"/>
      <c r="E9" s="191"/>
      <c r="F9" s="192"/>
      <c r="G9" s="192"/>
      <c r="H9" s="192"/>
      <c r="I9" s="193"/>
      <c r="J9" s="194">
        <f>SUM(J6:J8)</f>
        <v>2700</v>
      </c>
      <c r="K9" s="260"/>
      <c r="L9" s="195">
        <f>SUM(L6:L8)</f>
        <v>2700</v>
      </c>
    </row>
    <row r="10" spans="1:12" ht="13.5" customHeight="1">
      <c r="A10" s="542"/>
      <c r="B10" s="550" t="s">
        <v>315</v>
      </c>
      <c r="C10" s="180"/>
      <c r="D10" s="78" t="s">
        <v>316</v>
      </c>
      <c r="E10" s="186">
        <v>44197</v>
      </c>
      <c r="F10" s="186">
        <v>44377</v>
      </c>
      <c r="G10" s="187">
        <f t="shared" ref="G10:G15" si="1">(F10-E10)+1</f>
        <v>181</v>
      </c>
      <c r="H10" s="187"/>
      <c r="I10" s="187">
        <f t="shared" si="0"/>
        <v>181</v>
      </c>
      <c r="J10" s="188">
        <v>500</v>
      </c>
      <c r="K10" s="265">
        <v>1</v>
      </c>
      <c r="L10" s="189">
        <f t="shared" ref="L10:L15" si="2">ROUNDDOWN(J10*(I10/G10)*K10,0)</f>
        <v>500</v>
      </c>
    </row>
    <row r="11" spans="1:12" ht="13.5" customHeight="1">
      <c r="A11" s="542"/>
      <c r="B11" s="551"/>
      <c r="C11" s="76"/>
      <c r="D11" s="73"/>
      <c r="E11" s="114">
        <v>44256</v>
      </c>
      <c r="F11" s="114">
        <v>44986</v>
      </c>
      <c r="G11" s="177">
        <f t="shared" si="1"/>
        <v>731</v>
      </c>
      <c r="H11" s="115"/>
      <c r="I11" s="177">
        <f t="shared" si="0"/>
        <v>731</v>
      </c>
      <c r="J11" s="77">
        <v>1200</v>
      </c>
      <c r="K11" s="264">
        <v>0.7</v>
      </c>
      <c r="L11" s="189">
        <f t="shared" si="2"/>
        <v>840</v>
      </c>
    </row>
    <row r="12" spans="1:12" ht="13.5" customHeight="1">
      <c r="A12" s="542"/>
      <c r="B12" s="551"/>
      <c r="C12" s="76"/>
      <c r="D12" s="73"/>
      <c r="E12" s="114">
        <v>44621</v>
      </c>
      <c r="F12" s="114">
        <v>44986</v>
      </c>
      <c r="G12" s="177">
        <f t="shared" si="1"/>
        <v>366</v>
      </c>
      <c r="H12" s="115"/>
      <c r="I12" s="177">
        <f t="shared" si="0"/>
        <v>366</v>
      </c>
      <c r="J12" s="77">
        <v>1000</v>
      </c>
      <c r="K12" s="264">
        <v>0.7</v>
      </c>
      <c r="L12" s="189">
        <f t="shared" si="2"/>
        <v>700</v>
      </c>
    </row>
    <row r="13" spans="1:12" ht="13.5" customHeight="1">
      <c r="A13" s="542"/>
      <c r="B13" s="551"/>
      <c r="C13" s="76"/>
      <c r="D13" s="73"/>
      <c r="E13" s="73"/>
      <c r="F13" s="114"/>
      <c r="G13" s="177">
        <f t="shared" si="1"/>
        <v>1</v>
      </c>
      <c r="H13" s="115"/>
      <c r="I13" s="177">
        <f t="shared" si="0"/>
        <v>0</v>
      </c>
      <c r="J13" s="77"/>
      <c r="K13" s="264">
        <v>0.7</v>
      </c>
      <c r="L13" s="189">
        <f t="shared" si="2"/>
        <v>0</v>
      </c>
    </row>
    <row r="14" spans="1:12" ht="13.5" customHeight="1">
      <c r="A14" s="542"/>
      <c r="B14" s="551"/>
      <c r="C14" s="76"/>
      <c r="D14" s="73" t="s">
        <v>317</v>
      </c>
      <c r="E14" s="114">
        <v>44256</v>
      </c>
      <c r="F14" s="114">
        <v>44986</v>
      </c>
      <c r="G14" s="177">
        <f t="shared" si="1"/>
        <v>731</v>
      </c>
      <c r="H14" s="115"/>
      <c r="I14" s="177">
        <f t="shared" si="0"/>
        <v>731</v>
      </c>
      <c r="J14" s="77">
        <v>1200</v>
      </c>
      <c r="K14" s="264">
        <v>0.49</v>
      </c>
      <c r="L14" s="189">
        <f t="shared" si="2"/>
        <v>588</v>
      </c>
    </row>
    <row r="15" spans="1:12" ht="13.5" customHeight="1" thickBot="1">
      <c r="A15" s="542"/>
      <c r="B15" s="552"/>
      <c r="C15" s="75"/>
      <c r="D15" s="58"/>
      <c r="E15" s="58"/>
      <c r="F15" s="181"/>
      <c r="G15" s="182">
        <f t="shared" si="1"/>
        <v>1</v>
      </c>
      <c r="H15" s="183"/>
      <c r="I15" s="182">
        <f t="shared" si="0"/>
        <v>0</v>
      </c>
      <c r="J15" s="184"/>
      <c r="K15" s="266">
        <v>0.49</v>
      </c>
      <c r="L15" s="189">
        <f t="shared" si="2"/>
        <v>0</v>
      </c>
    </row>
    <row r="16" spans="1:12" ht="21" customHeight="1" thickBot="1">
      <c r="A16" s="542"/>
      <c r="B16" s="190" t="s">
        <v>39</v>
      </c>
      <c r="C16" s="191"/>
      <c r="D16" s="191"/>
      <c r="E16" s="191"/>
      <c r="F16" s="192"/>
      <c r="G16" s="192"/>
      <c r="H16" s="192"/>
      <c r="I16" s="193"/>
      <c r="J16" s="194">
        <f>SUM(J10:J15)*0.7</f>
        <v>2730</v>
      </c>
      <c r="K16" s="260"/>
      <c r="L16" s="195">
        <f>SUM(L10:L15)</f>
        <v>2628</v>
      </c>
    </row>
    <row r="17" spans="1:15" ht="13.5" customHeight="1">
      <c r="A17" s="543"/>
      <c r="B17" s="550" t="s">
        <v>318</v>
      </c>
      <c r="C17" s="78"/>
      <c r="D17" s="78" t="s">
        <v>316</v>
      </c>
      <c r="E17" s="186">
        <v>44197</v>
      </c>
      <c r="F17" s="186">
        <v>44377</v>
      </c>
      <c r="G17" s="187">
        <f>(F17-E17)+1</f>
        <v>181</v>
      </c>
      <c r="H17" s="187"/>
      <c r="I17" s="187">
        <f t="shared" si="0"/>
        <v>181</v>
      </c>
      <c r="J17" s="188">
        <v>500</v>
      </c>
      <c r="K17" s="265">
        <v>1</v>
      </c>
      <c r="L17" s="189">
        <f>ROUNDDOWN(J17*(I17/G17)*K17,0)</f>
        <v>500</v>
      </c>
    </row>
    <row r="18" spans="1:15" ht="13.5" customHeight="1">
      <c r="A18" s="543"/>
      <c r="B18" s="551"/>
      <c r="C18" s="73"/>
      <c r="D18" s="73"/>
      <c r="E18" s="114">
        <v>44256</v>
      </c>
      <c r="F18" s="114">
        <v>44986</v>
      </c>
      <c r="G18" s="177">
        <f>(F18-E18)+1</f>
        <v>731</v>
      </c>
      <c r="H18" s="115"/>
      <c r="I18" s="177">
        <f t="shared" si="0"/>
        <v>731</v>
      </c>
      <c r="J18" s="77">
        <v>500</v>
      </c>
      <c r="K18" s="264">
        <v>0.7</v>
      </c>
      <c r="L18" s="91">
        <f>ROUNDDOWN(J18*(I18/G18)*K18,0)</f>
        <v>350</v>
      </c>
    </row>
    <row r="19" spans="1:15" ht="13.5" customHeight="1" thickBot="1">
      <c r="A19" s="543"/>
      <c r="B19" s="552"/>
      <c r="C19" s="58"/>
      <c r="D19" s="58"/>
      <c r="E19" s="58"/>
      <c r="F19" s="181"/>
      <c r="G19" s="182">
        <f>(F19-E19)+1</f>
        <v>1</v>
      </c>
      <c r="H19" s="183"/>
      <c r="I19" s="182">
        <f t="shared" si="0"/>
        <v>0</v>
      </c>
      <c r="J19" s="184"/>
      <c r="K19" s="266">
        <v>0.49</v>
      </c>
      <c r="L19" s="185">
        <f>ROUNDDOWN(J19*(I19/G19)*K19,0)</f>
        <v>0</v>
      </c>
    </row>
    <row r="20" spans="1:15" ht="21" customHeight="1" thickBot="1">
      <c r="A20" s="542"/>
      <c r="B20" s="196" t="s">
        <v>39</v>
      </c>
      <c r="C20" s="197"/>
      <c r="D20" s="197"/>
      <c r="E20" s="197"/>
      <c r="F20" s="198"/>
      <c r="G20" s="198"/>
      <c r="H20" s="198"/>
      <c r="I20" s="199"/>
      <c r="J20" s="200">
        <f>SUM(J17:J19)*0.4</f>
        <v>400</v>
      </c>
      <c r="K20" s="261"/>
      <c r="L20" s="201">
        <f>SUM(L17:L19)</f>
        <v>850</v>
      </c>
    </row>
    <row r="21" spans="1:15" ht="21" customHeight="1" thickBot="1">
      <c r="A21" s="548" t="s">
        <v>233</v>
      </c>
      <c r="B21" s="549"/>
      <c r="C21" s="202"/>
      <c r="D21" s="202"/>
      <c r="E21" s="202"/>
      <c r="F21" s="203"/>
      <c r="G21" s="203"/>
      <c r="H21" s="203"/>
      <c r="I21" s="204"/>
      <c r="J21" s="205"/>
      <c r="K21" s="262"/>
      <c r="L21" s="206">
        <f>SUM(L9+L16+L20)</f>
        <v>6178</v>
      </c>
    </row>
    <row r="22" spans="1:15" ht="13.5" customHeight="1">
      <c r="A22" s="546" t="s">
        <v>220</v>
      </c>
      <c r="B22" s="550" t="s">
        <v>319</v>
      </c>
      <c r="C22" s="78"/>
      <c r="D22" s="78" t="s">
        <v>316</v>
      </c>
      <c r="E22" s="186">
        <v>44256</v>
      </c>
      <c r="F22" s="186">
        <v>44926</v>
      </c>
      <c r="G22" s="187">
        <f>(H22-E22)+1</f>
        <v>366</v>
      </c>
      <c r="H22" s="186">
        <v>44621</v>
      </c>
      <c r="I22" s="187">
        <f>ROUND(IF(AND(H22&lt;=$F$3,E22&lt;=$F$4),H22-$F$4+1,IF(AND(H22&lt;=$F$3,E22&gt;=$F$4),H22-E22+1,IF(AND(H22&gt;=$F$3,E22&gt;=$F$4),$F$3-E22+1,IF(AND(H22&gt;=$F$3,E22&lt;=$F$4),$F$3-$F$4+1,)))),0)</f>
        <v>366</v>
      </c>
      <c r="J22" s="188">
        <v>500</v>
      </c>
      <c r="K22" s="265">
        <v>1</v>
      </c>
      <c r="L22" s="189">
        <f>ROUNDDOWN(J22*(I22/G22)*K22,0)</f>
        <v>500</v>
      </c>
      <c r="N22" s="267"/>
      <c r="O22" s="267"/>
    </row>
    <row r="23" spans="1:15" ht="13.5" customHeight="1">
      <c r="A23" s="546"/>
      <c r="B23" s="551"/>
      <c r="C23" s="73"/>
      <c r="D23" s="73"/>
      <c r="E23" s="114">
        <v>44407</v>
      </c>
      <c r="F23" s="114">
        <v>44926</v>
      </c>
      <c r="G23" s="177">
        <f>(H23-E23)+1</f>
        <v>215</v>
      </c>
      <c r="H23" s="186">
        <v>44621</v>
      </c>
      <c r="I23" s="177">
        <f t="shared" ref="I23:I35" si="3">ROUND(IF(AND(H23&lt;=$F$3,E23&lt;=$F$4),H23-$F$4+1,IF(AND(H23&lt;=$F$3,E23&gt;=$F$4),H23-E23+1,IF(AND(H23&gt;=$F$3,E23&gt;=$F$4),$F$3-E23+1,IF(AND(H23&gt;=$F$3,E23&lt;=$F$4),$F$3-$F$4+1,)))),0)</f>
        <v>215</v>
      </c>
      <c r="J23" s="77">
        <v>500</v>
      </c>
      <c r="K23" s="264">
        <v>1</v>
      </c>
      <c r="L23" s="189">
        <f>ROUNDDOWN(J23*(I23/G23)*K23,0)</f>
        <v>500</v>
      </c>
      <c r="N23" s="267"/>
      <c r="O23" s="267"/>
    </row>
    <row r="24" spans="1:15" ht="13.5" customHeight="1">
      <c r="A24" s="546"/>
      <c r="B24" s="551"/>
      <c r="C24" s="73"/>
      <c r="D24" s="73"/>
      <c r="E24" s="114">
        <v>44407</v>
      </c>
      <c r="F24" s="114">
        <v>44926</v>
      </c>
      <c r="G24" s="177">
        <f>(H24-E24)+1</f>
        <v>428</v>
      </c>
      <c r="H24" s="114">
        <v>44834</v>
      </c>
      <c r="I24" s="177">
        <f t="shared" si="3"/>
        <v>428</v>
      </c>
      <c r="J24" s="77">
        <v>500</v>
      </c>
      <c r="K24" s="264">
        <v>1</v>
      </c>
      <c r="L24" s="189">
        <f>ROUNDDOWN(J24*(I24/G24)*K24,0)</f>
        <v>500</v>
      </c>
      <c r="N24" s="267"/>
      <c r="O24" s="267"/>
    </row>
    <row r="25" spans="1:15" ht="13.5" customHeight="1" thickBot="1">
      <c r="A25" s="546"/>
      <c r="B25" s="552"/>
      <c r="C25" s="58"/>
      <c r="D25" s="58"/>
      <c r="E25" s="181">
        <v>44256</v>
      </c>
      <c r="F25" s="181">
        <v>44926</v>
      </c>
      <c r="G25" s="182">
        <f>(H25-E25)+1</f>
        <v>579</v>
      </c>
      <c r="H25" s="181">
        <v>44834</v>
      </c>
      <c r="I25" s="182">
        <f t="shared" si="3"/>
        <v>579</v>
      </c>
      <c r="J25" s="184">
        <v>500</v>
      </c>
      <c r="K25" s="266">
        <v>1</v>
      </c>
      <c r="L25" s="189">
        <f>ROUNDDOWN(J25*(I25/G25)*K25,0)</f>
        <v>500</v>
      </c>
      <c r="N25" s="267"/>
      <c r="O25" s="267"/>
    </row>
    <row r="26" spans="1:15" ht="20.25" customHeight="1" thickBot="1">
      <c r="A26" s="547"/>
      <c r="B26" s="190" t="s">
        <v>39</v>
      </c>
      <c r="C26" s="191"/>
      <c r="D26" s="191"/>
      <c r="E26" s="191"/>
      <c r="F26" s="192"/>
      <c r="G26" s="192"/>
      <c r="H26" s="192"/>
      <c r="I26" s="193"/>
      <c r="J26" s="194">
        <f>SUM(J22:J25)</f>
        <v>2000</v>
      </c>
      <c r="K26" s="260"/>
      <c r="L26" s="195">
        <f>SUM(L22:L25)</f>
        <v>2000</v>
      </c>
    </row>
    <row r="27" spans="1:15" ht="13.5" customHeight="1">
      <c r="A27" s="546"/>
      <c r="B27" s="550" t="s">
        <v>320</v>
      </c>
      <c r="C27" s="78"/>
      <c r="D27" s="78" t="s">
        <v>316</v>
      </c>
      <c r="E27" s="186">
        <v>44256</v>
      </c>
      <c r="F27" s="186">
        <v>44926</v>
      </c>
      <c r="G27" s="187">
        <f t="shared" ref="G27:G32" si="4">(H27-E27)+1</f>
        <v>366</v>
      </c>
      <c r="H27" s="186">
        <v>44621</v>
      </c>
      <c r="I27" s="187">
        <f t="shared" si="3"/>
        <v>366</v>
      </c>
      <c r="J27" s="188">
        <v>500</v>
      </c>
      <c r="K27" s="265">
        <v>1</v>
      </c>
      <c r="L27" s="189">
        <f t="shared" ref="L27:L32" si="5">ROUNDDOWN(J27*(I27/G27)*K27,0)</f>
        <v>500</v>
      </c>
    </row>
    <row r="28" spans="1:15" ht="13.5" customHeight="1">
      <c r="A28" s="546"/>
      <c r="B28" s="551"/>
      <c r="C28" s="73"/>
      <c r="D28" s="73"/>
      <c r="E28" s="114">
        <v>44407</v>
      </c>
      <c r="F28" s="114">
        <v>44926</v>
      </c>
      <c r="G28" s="177">
        <f t="shared" si="4"/>
        <v>215</v>
      </c>
      <c r="H28" s="186">
        <v>44621</v>
      </c>
      <c r="I28" s="177">
        <f t="shared" si="3"/>
        <v>215</v>
      </c>
      <c r="J28" s="77">
        <v>1200</v>
      </c>
      <c r="K28" s="264">
        <v>0.7</v>
      </c>
      <c r="L28" s="189">
        <f t="shared" si="5"/>
        <v>840</v>
      </c>
    </row>
    <row r="29" spans="1:15" ht="13.5" customHeight="1">
      <c r="A29" s="546"/>
      <c r="B29" s="551"/>
      <c r="C29" s="73"/>
      <c r="D29" s="73"/>
      <c r="E29" s="114">
        <v>44407</v>
      </c>
      <c r="F29" s="114">
        <v>44926</v>
      </c>
      <c r="G29" s="177">
        <f t="shared" si="4"/>
        <v>428</v>
      </c>
      <c r="H29" s="114">
        <v>44834</v>
      </c>
      <c r="I29" s="177">
        <f t="shared" si="3"/>
        <v>428</v>
      </c>
      <c r="J29" s="77">
        <v>1200</v>
      </c>
      <c r="K29" s="264">
        <v>0.7</v>
      </c>
      <c r="L29" s="189">
        <f t="shared" si="5"/>
        <v>840</v>
      </c>
    </row>
    <row r="30" spans="1:15" ht="13.5" customHeight="1">
      <c r="A30" s="546"/>
      <c r="B30" s="551"/>
      <c r="C30" s="73"/>
      <c r="D30" s="73" t="s">
        <v>317</v>
      </c>
      <c r="E30" s="181">
        <v>44256</v>
      </c>
      <c r="F30" s="181">
        <v>44926</v>
      </c>
      <c r="G30" s="177">
        <f t="shared" si="4"/>
        <v>579</v>
      </c>
      <c r="H30" s="181">
        <v>44834</v>
      </c>
      <c r="I30" s="177">
        <f t="shared" si="3"/>
        <v>579</v>
      </c>
      <c r="J30" s="77">
        <v>1200</v>
      </c>
      <c r="K30" s="264">
        <v>0.7</v>
      </c>
      <c r="L30" s="189">
        <f t="shared" si="5"/>
        <v>840</v>
      </c>
    </row>
    <row r="31" spans="1:15" ht="13.5" customHeight="1">
      <c r="A31" s="546"/>
      <c r="B31" s="551"/>
      <c r="C31" s="73"/>
      <c r="D31" s="73" t="s">
        <v>317</v>
      </c>
      <c r="E31" s="114">
        <v>44407</v>
      </c>
      <c r="F31" s="114">
        <v>44926</v>
      </c>
      <c r="G31" s="177">
        <f t="shared" si="4"/>
        <v>428</v>
      </c>
      <c r="H31" s="114">
        <v>44834</v>
      </c>
      <c r="I31" s="177">
        <f t="shared" si="3"/>
        <v>428</v>
      </c>
      <c r="J31" s="77">
        <v>1200</v>
      </c>
      <c r="K31" s="264">
        <v>0.49</v>
      </c>
      <c r="L31" s="189">
        <f t="shared" si="5"/>
        <v>588</v>
      </c>
    </row>
    <row r="32" spans="1:15" ht="13.5" customHeight="1" thickBot="1">
      <c r="A32" s="546"/>
      <c r="B32" s="552"/>
      <c r="C32" s="73"/>
      <c r="D32" s="73"/>
      <c r="E32" s="181"/>
      <c r="F32" s="181"/>
      <c r="G32" s="177">
        <f t="shared" si="4"/>
        <v>1</v>
      </c>
      <c r="H32" s="181"/>
      <c r="I32" s="177"/>
      <c r="J32" s="77"/>
      <c r="K32" s="264">
        <v>0.49</v>
      </c>
      <c r="L32" s="189">
        <f t="shared" si="5"/>
        <v>0</v>
      </c>
    </row>
    <row r="33" spans="1:12" ht="23.25" customHeight="1" thickBot="1">
      <c r="A33" s="547"/>
      <c r="B33" s="190" t="s">
        <v>39</v>
      </c>
      <c r="C33" s="191"/>
      <c r="D33" s="191"/>
      <c r="E33" s="191"/>
      <c r="F33" s="192"/>
      <c r="G33" s="192"/>
      <c r="H33" s="192"/>
      <c r="I33" s="193"/>
      <c r="J33" s="194">
        <f>SUM(J27:J32)*0.7</f>
        <v>3709.9999999999995</v>
      </c>
      <c r="K33" s="260"/>
      <c r="L33" s="195">
        <f>SUM(L27:L32)</f>
        <v>3608</v>
      </c>
    </row>
    <row r="34" spans="1:12" ht="13.5" customHeight="1">
      <c r="A34" s="546"/>
      <c r="B34" s="550" t="s">
        <v>318</v>
      </c>
      <c r="C34" s="78"/>
      <c r="D34" s="78"/>
      <c r="E34" s="186">
        <v>44256</v>
      </c>
      <c r="F34" s="186">
        <v>44926</v>
      </c>
      <c r="G34" s="187">
        <f>(H34-E34)+1</f>
        <v>366</v>
      </c>
      <c r="H34" s="186">
        <v>44621</v>
      </c>
      <c r="I34" s="187">
        <f t="shared" si="3"/>
        <v>366</v>
      </c>
      <c r="J34" s="188">
        <v>500</v>
      </c>
      <c r="K34" s="265">
        <v>1</v>
      </c>
      <c r="L34" s="189">
        <f>ROUNDDOWN(J34*(I34/G34)*K34,0)</f>
        <v>500</v>
      </c>
    </row>
    <row r="35" spans="1:12" ht="13.5" customHeight="1" thickBot="1">
      <c r="A35" s="546"/>
      <c r="B35" s="552"/>
      <c r="C35" s="58"/>
      <c r="D35" s="58"/>
      <c r="E35" s="181">
        <v>44256</v>
      </c>
      <c r="F35" s="181">
        <v>44926</v>
      </c>
      <c r="G35" s="182">
        <f>(H35-E35)+1</f>
        <v>366</v>
      </c>
      <c r="H35" s="181">
        <v>44621</v>
      </c>
      <c r="I35" s="187">
        <f t="shared" si="3"/>
        <v>366</v>
      </c>
      <c r="J35" s="184">
        <v>500</v>
      </c>
      <c r="K35" s="268">
        <v>0.7</v>
      </c>
      <c r="L35" s="189">
        <f>ROUNDDOWN(J35*(I35/G35)*K35,0)</f>
        <v>350</v>
      </c>
    </row>
    <row r="36" spans="1:12" ht="19.5" customHeight="1" thickBot="1">
      <c r="A36" s="547"/>
      <c r="B36" s="190" t="s">
        <v>39</v>
      </c>
      <c r="C36" s="191"/>
      <c r="D36" s="191"/>
      <c r="E36" s="191"/>
      <c r="F36" s="192"/>
      <c r="G36" s="192"/>
      <c r="H36" s="192"/>
      <c r="I36" s="192"/>
      <c r="J36" s="194">
        <f>SUM(J34:J35)*0.4</f>
        <v>400</v>
      </c>
      <c r="K36" s="260"/>
      <c r="L36" s="195">
        <f>SUM(L34:L35)</f>
        <v>850</v>
      </c>
    </row>
    <row r="37" spans="1:12" s="147" customFormat="1" ht="22.5" customHeight="1" thickBot="1">
      <c r="A37" s="553" t="s">
        <v>233</v>
      </c>
      <c r="B37" s="554"/>
      <c r="C37" s="207"/>
      <c r="D37" s="207"/>
      <c r="E37" s="207"/>
      <c r="F37" s="207"/>
      <c r="G37" s="207"/>
      <c r="H37" s="207"/>
      <c r="I37" s="207"/>
      <c r="J37" s="208"/>
      <c r="K37" s="263"/>
      <c r="L37" s="209">
        <f>SUM(L26+L33+L36)</f>
        <v>6458</v>
      </c>
    </row>
    <row r="38" spans="1:12" s="28" customFormat="1" ht="27" customHeight="1" thickBot="1">
      <c r="A38" s="544" t="s">
        <v>234</v>
      </c>
      <c r="B38" s="545"/>
      <c r="C38" s="178"/>
      <c r="D38" s="178"/>
      <c r="E38" s="178"/>
      <c r="F38" s="178"/>
      <c r="G38" s="178"/>
      <c r="H38" s="178"/>
      <c r="I38" s="178"/>
      <c r="J38" s="179"/>
      <c r="K38" s="179"/>
      <c r="L38" s="211">
        <f>L21+L37</f>
        <v>12636</v>
      </c>
    </row>
    <row r="39" spans="1:12" ht="24.75" customHeight="1">
      <c r="K39" s="332"/>
      <c r="L39" s="333"/>
    </row>
    <row r="40" spans="1:12" ht="18.75">
      <c r="A40" s="540" t="s">
        <v>241</v>
      </c>
      <c r="B40" s="540"/>
      <c r="C40" s="540"/>
      <c r="D40" s="540"/>
      <c r="E40" s="540"/>
      <c r="F40" s="540"/>
      <c r="G40" s="210"/>
      <c r="H40" s="210"/>
      <c r="I40" s="210"/>
      <c r="J40" s="210"/>
      <c r="K40" s="210"/>
      <c r="L40" s="210"/>
    </row>
    <row r="41" spans="1:12" ht="14.25">
      <c r="A41" s="227" t="s">
        <v>256</v>
      </c>
    </row>
    <row r="43" spans="1:12">
      <c r="A43" s="313" t="s">
        <v>466</v>
      </c>
      <c r="B43" s="313"/>
      <c r="C43" s="313"/>
    </row>
    <row r="44" spans="1:12">
      <c r="A44" s="313"/>
      <c r="B44" s="313" t="s">
        <v>467</v>
      </c>
      <c r="C44" s="313"/>
      <c r="D44" s="313"/>
      <c r="E44" s="313"/>
      <c r="F44" s="313"/>
      <c r="G44" s="313"/>
      <c r="H44" s="313"/>
      <c r="I44" s="313"/>
      <c r="J44" s="331"/>
    </row>
  </sheetData>
  <mergeCells count="23">
    <mergeCell ref="B6:B8"/>
    <mergeCell ref="B10:B15"/>
    <mergeCell ref="H2:H5"/>
    <mergeCell ref="K2:K5"/>
    <mergeCell ref="A2:B5"/>
    <mergeCell ref="B34:B35"/>
    <mergeCell ref="A40:F40"/>
    <mergeCell ref="A6:A20"/>
    <mergeCell ref="E2:F2"/>
    <mergeCell ref="A38:B38"/>
    <mergeCell ref="A22:A36"/>
    <mergeCell ref="A21:B21"/>
    <mergeCell ref="B17:B19"/>
    <mergeCell ref="B22:B25"/>
    <mergeCell ref="B27:B32"/>
    <mergeCell ref="A37:B37"/>
    <mergeCell ref="A1:L1"/>
    <mergeCell ref="C2:C5"/>
    <mergeCell ref="D2:D5"/>
    <mergeCell ref="L2:L5"/>
    <mergeCell ref="J2:J5"/>
    <mergeCell ref="I2:I5"/>
    <mergeCell ref="G2:G5"/>
  </mergeCells>
  <phoneticPr fontId="11" type="noConversion"/>
  <printOptions horizontalCentered="1"/>
  <pageMargins left="0.19" right="0.31" top="0.73" bottom="0.62" header="0.51181102362204722" footer="0.51181102362204722"/>
  <pageSetup paperSize="9" scale="85" orientation="landscape" horizontalDpi="300" vertic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7"/>
  </sheetPr>
  <dimension ref="A1:G18"/>
  <sheetViews>
    <sheetView zoomScaleNormal="100" zoomScaleSheetLayoutView="100" workbookViewId="0">
      <selection activeCell="G6" sqref="G6"/>
    </sheetView>
  </sheetViews>
  <sheetFormatPr defaultRowHeight="13.5"/>
  <cols>
    <col min="1" max="1" width="18.5546875" style="14" customWidth="1"/>
    <col min="2" max="3" width="15" style="14" customWidth="1"/>
    <col min="4" max="4" width="16.6640625" style="14" customWidth="1"/>
    <col min="5" max="5" width="9.88671875" style="14" customWidth="1"/>
    <col min="6" max="6" width="11.109375" style="14" customWidth="1"/>
    <col min="7" max="7" width="14.33203125" style="14" customWidth="1"/>
    <col min="8" max="16384" width="8.88671875" style="14"/>
  </cols>
  <sheetData>
    <row r="1" spans="1:7" ht="18.75">
      <c r="A1" s="482" t="s">
        <v>200</v>
      </c>
      <c r="B1" s="482"/>
      <c r="C1" s="482"/>
      <c r="D1" s="482"/>
      <c r="E1" s="482"/>
      <c r="F1" s="482"/>
      <c r="G1" s="482"/>
    </row>
    <row r="3" spans="1:7" ht="24.95" customHeight="1">
      <c r="A3" s="34" t="s">
        <v>40</v>
      </c>
      <c r="B3" s="34" t="s">
        <v>22</v>
      </c>
      <c r="C3" s="34" t="s">
        <v>23</v>
      </c>
      <c r="D3" s="34" t="s">
        <v>151</v>
      </c>
      <c r="E3" s="34" t="s">
        <v>152</v>
      </c>
      <c r="F3" s="34" t="s">
        <v>28</v>
      </c>
      <c r="G3" s="34" t="s">
        <v>25</v>
      </c>
    </row>
    <row r="4" spans="1:7" ht="24.95" customHeight="1">
      <c r="A4" s="21"/>
      <c r="B4" s="21"/>
      <c r="C4" s="21"/>
      <c r="D4" s="21"/>
      <c r="E4" s="21"/>
      <c r="F4" s="21"/>
      <c r="G4" s="21"/>
    </row>
    <row r="5" spans="1:7" ht="24.95" customHeight="1">
      <c r="A5" s="21"/>
      <c r="B5" s="21"/>
      <c r="C5" s="21"/>
      <c r="D5" s="21"/>
      <c r="E5" s="21"/>
      <c r="F5" s="21"/>
      <c r="G5" s="21"/>
    </row>
    <row r="6" spans="1:7" ht="24.95" customHeight="1">
      <c r="A6" s="73" t="s">
        <v>39</v>
      </c>
      <c r="B6" s="73"/>
      <c r="C6" s="73"/>
      <c r="D6" s="73"/>
      <c r="E6" s="73"/>
      <c r="F6" s="73"/>
      <c r="G6" s="73"/>
    </row>
    <row r="7" spans="1:7" ht="6" customHeight="1">
      <c r="A7" s="21"/>
      <c r="B7" s="21"/>
      <c r="C7" s="21"/>
      <c r="D7" s="21"/>
      <c r="E7" s="21"/>
      <c r="F7" s="21"/>
      <c r="G7" s="21"/>
    </row>
    <row r="8" spans="1:7" ht="24.95" customHeight="1">
      <c r="A8" s="34" t="s">
        <v>26</v>
      </c>
      <c r="B8" s="34" t="s">
        <v>22</v>
      </c>
      <c r="C8" s="34" t="s">
        <v>23</v>
      </c>
      <c r="D8" s="34" t="s">
        <v>151</v>
      </c>
      <c r="E8" s="34" t="s">
        <v>24</v>
      </c>
      <c r="F8" s="34" t="s">
        <v>29</v>
      </c>
      <c r="G8" s="34" t="s">
        <v>25</v>
      </c>
    </row>
    <row r="9" spans="1:7" ht="24.95" customHeight="1">
      <c r="A9" s="21"/>
      <c r="B9" s="21"/>
      <c r="C9" s="21"/>
      <c r="D9" s="21"/>
      <c r="E9" s="21"/>
      <c r="F9" s="21"/>
      <c r="G9" s="21"/>
    </row>
    <row r="10" spans="1:7" ht="24.95" customHeight="1">
      <c r="A10" s="21"/>
      <c r="B10" s="21"/>
      <c r="C10" s="21"/>
      <c r="D10" s="21"/>
      <c r="E10" s="21"/>
      <c r="F10" s="21"/>
      <c r="G10" s="21"/>
    </row>
    <row r="11" spans="1:7" ht="24.95" customHeight="1">
      <c r="A11" s="21"/>
      <c r="B11" s="21"/>
      <c r="C11" s="21"/>
      <c r="D11" s="21"/>
      <c r="E11" s="21"/>
      <c r="F11" s="21"/>
      <c r="G11" s="21"/>
    </row>
    <row r="12" spans="1:7" ht="24.95" customHeight="1">
      <c r="A12" s="21"/>
      <c r="B12" s="21"/>
      <c r="C12" s="21"/>
      <c r="D12" s="21"/>
      <c r="E12" s="21"/>
      <c r="F12" s="21"/>
      <c r="G12" s="21"/>
    </row>
    <row r="13" spans="1:7" ht="24.95" customHeight="1">
      <c r="A13" s="21"/>
      <c r="B13" s="21"/>
      <c r="C13" s="21"/>
      <c r="D13" s="21"/>
      <c r="E13" s="21"/>
      <c r="F13" s="21"/>
      <c r="G13" s="21"/>
    </row>
    <row r="14" spans="1:7" ht="24.95" customHeight="1">
      <c r="A14" s="21"/>
      <c r="B14" s="21"/>
      <c r="C14" s="21"/>
      <c r="D14" s="21"/>
      <c r="E14" s="21"/>
      <c r="F14" s="21"/>
      <c r="G14" s="21"/>
    </row>
    <row r="15" spans="1:7" ht="24.95" customHeight="1">
      <c r="A15" s="21"/>
      <c r="B15" s="21"/>
      <c r="C15" s="21"/>
      <c r="D15" s="21"/>
      <c r="E15" s="21"/>
      <c r="F15" s="21"/>
      <c r="G15" s="21"/>
    </row>
    <row r="16" spans="1:7" ht="24.95" customHeight="1">
      <c r="A16" s="73" t="s">
        <v>27</v>
      </c>
      <c r="B16" s="73"/>
      <c r="C16" s="73"/>
      <c r="D16" s="73"/>
      <c r="E16" s="73"/>
      <c r="F16" s="73"/>
      <c r="G16" s="73"/>
    </row>
    <row r="17" spans="1:7" ht="24.95" customHeight="1">
      <c r="A17" s="73" t="s">
        <v>30</v>
      </c>
      <c r="B17" s="73"/>
      <c r="C17" s="73"/>
      <c r="D17" s="73"/>
      <c r="E17" s="73"/>
      <c r="F17" s="73"/>
      <c r="G17" s="73"/>
    </row>
    <row r="18" spans="1:7" ht="24.95" customHeight="1">
      <c r="A18" s="21" t="s">
        <v>31</v>
      </c>
      <c r="B18" s="21"/>
      <c r="C18" s="21"/>
      <c r="D18" s="21"/>
      <c r="E18" s="21"/>
      <c r="F18" s="21"/>
      <c r="G18" s="21">
        <v>7</v>
      </c>
    </row>
  </sheetData>
  <mergeCells count="1">
    <mergeCell ref="A1:G1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Q13"/>
  <sheetViews>
    <sheetView zoomScaleNormal="100" zoomScaleSheetLayoutView="100" workbookViewId="0">
      <selection activeCell="G3" sqref="G3:P8"/>
    </sheetView>
  </sheetViews>
  <sheetFormatPr defaultRowHeight="13.5"/>
  <cols>
    <col min="1" max="1" width="41.33203125" style="14" customWidth="1"/>
    <col min="2" max="2" width="24.44140625" style="14" customWidth="1"/>
    <col min="3" max="3" width="12.6640625" style="14" customWidth="1"/>
    <col min="4" max="16384" width="8.88671875" style="14"/>
  </cols>
  <sheetData>
    <row r="1" spans="1:17" ht="18.75">
      <c r="A1" s="534" t="s">
        <v>357</v>
      </c>
      <c r="B1" s="534"/>
      <c r="C1" s="534"/>
    </row>
    <row r="2" spans="1:17" ht="36" customHeight="1">
      <c r="A2" s="59" t="s">
        <v>53</v>
      </c>
      <c r="B2" s="59" t="s">
        <v>497</v>
      </c>
      <c r="C2" s="34" t="s">
        <v>25</v>
      </c>
    </row>
    <row r="3" spans="1:17" ht="30" customHeight="1">
      <c r="A3" s="25"/>
      <c r="B3" s="25"/>
      <c r="C3" s="25"/>
      <c r="G3" s="362" t="s">
        <v>530</v>
      </c>
      <c r="H3" s="363"/>
      <c r="I3" s="363"/>
      <c r="J3" s="363"/>
      <c r="K3" s="363"/>
      <c r="L3" s="363"/>
      <c r="M3" s="363"/>
      <c r="N3" s="363"/>
      <c r="O3" s="363"/>
      <c r="P3" s="363"/>
      <c r="Q3" s="367"/>
    </row>
    <row r="4" spans="1:17" ht="30" customHeight="1">
      <c r="A4" s="25"/>
      <c r="B4" s="25"/>
      <c r="C4" s="25"/>
      <c r="G4" s="366" t="s">
        <v>514</v>
      </c>
      <c r="H4" s="363"/>
      <c r="I4" s="363"/>
      <c r="J4" s="363"/>
      <c r="K4" s="363"/>
      <c r="L4" s="363"/>
      <c r="M4" s="363"/>
      <c r="N4" s="363"/>
      <c r="O4" s="363"/>
      <c r="P4" s="363"/>
      <c r="Q4" s="367"/>
    </row>
    <row r="5" spans="1:17" ht="30" customHeight="1">
      <c r="A5" s="25"/>
      <c r="B5" s="25"/>
      <c r="C5" s="25"/>
      <c r="G5" s="363"/>
      <c r="H5" s="363"/>
      <c r="I5" s="363"/>
      <c r="J5" s="363"/>
      <c r="K5" s="363"/>
      <c r="L5" s="363"/>
      <c r="M5" s="363"/>
      <c r="N5" s="363"/>
      <c r="O5" s="363"/>
      <c r="P5" s="363"/>
      <c r="Q5" s="367"/>
    </row>
    <row r="6" spans="1:17" ht="30" customHeight="1">
      <c r="A6" s="25"/>
      <c r="B6" s="25"/>
      <c r="C6" s="25"/>
      <c r="G6" s="364" t="s">
        <v>518</v>
      </c>
      <c r="H6" s="365" t="s">
        <v>515</v>
      </c>
      <c r="I6" s="365" t="s">
        <v>519</v>
      </c>
      <c r="J6" s="365" t="s">
        <v>520</v>
      </c>
      <c r="K6" s="365" t="s">
        <v>521</v>
      </c>
      <c r="L6" s="365" t="s">
        <v>522</v>
      </c>
      <c r="M6" s="365" t="s">
        <v>523</v>
      </c>
      <c r="N6" s="365" t="s">
        <v>524</v>
      </c>
      <c r="O6" s="365" t="s">
        <v>516</v>
      </c>
      <c r="P6" s="363"/>
      <c r="Q6" s="367"/>
    </row>
    <row r="7" spans="1:17" ht="30" customHeight="1">
      <c r="A7" s="25"/>
      <c r="B7" s="25"/>
      <c r="C7" s="25"/>
      <c r="G7" s="364" t="s">
        <v>517</v>
      </c>
      <c r="H7" s="365">
        <v>0.1</v>
      </c>
      <c r="I7" s="365">
        <v>0.2</v>
      </c>
      <c r="J7" s="365">
        <v>0.3</v>
      </c>
      <c r="K7" s="365">
        <v>0.5</v>
      </c>
      <c r="L7" s="365">
        <v>1</v>
      </c>
      <c r="M7" s="365">
        <v>2</v>
      </c>
      <c r="N7" s="365">
        <v>3</v>
      </c>
      <c r="O7" s="365">
        <v>5</v>
      </c>
      <c r="P7" s="363"/>
      <c r="Q7" s="367"/>
    </row>
    <row r="8" spans="1:17" ht="30" customHeight="1">
      <c r="A8" s="25"/>
      <c r="B8" s="25"/>
      <c r="C8" s="25"/>
      <c r="G8" s="363"/>
      <c r="H8" s="363"/>
      <c r="I8" s="363"/>
      <c r="J8" s="363"/>
      <c r="K8" s="363"/>
      <c r="L8" s="363"/>
      <c r="M8" s="363"/>
      <c r="N8" s="363"/>
      <c r="O8" s="363"/>
      <c r="P8" s="363"/>
      <c r="Q8" s="367"/>
    </row>
    <row r="9" spans="1:17" ht="30" customHeight="1">
      <c r="A9" s="25"/>
      <c r="B9" s="25"/>
      <c r="C9" s="25"/>
    </row>
    <row r="10" spans="1:17" ht="30" customHeight="1">
      <c r="A10" s="25"/>
      <c r="B10" s="25"/>
      <c r="C10" s="25"/>
    </row>
    <row r="11" spans="1:17" ht="30" customHeight="1">
      <c r="A11" s="25"/>
      <c r="B11" s="25"/>
      <c r="C11" s="25"/>
    </row>
    <row r="12" spans="1:17" ht="28.5" customHeight="1">
      <c r="A12" s="14" t="s">
        <v>108</v>
      </c>
    </row>
    <row r="13" spans="1:17">
      <c r="C13" s="15"/>
    </row>
  </sheetData>
  <mergeCells count="1">
    <mergeCell ref="A1:C1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</sheetPr>
  <dimension ref="A1:F26"/>
  <sheetViews>
    <sheetView zoomScaleNormal="100" zoomScaleSheetLayoutView="100" workbookViewId="0">
      <selection activeCell="C27" sqref="C27"/>
    </sheetView>
  </sheetViews>
  <sheetFormatPr defaultRowHeight="13.5"/>
  <cols>
    <col min="1" max="1" width="16.109375" style="14" customWidth="1"/>
    <col min="2" max="2" width="17.44140625" style="14" customWidth="1"/>
    <col min="3" max="3" width="18.21875" style="14" customWidth="1"/>
    <col min="4" max="4" width="17.21875" style="14" customWidth="1"/>
    <col min="5" max="5" width="12.33203125" style="14" customWidth="1"/>
    <col min="6" max="6" width="8.88671875" style="14"/>
    <col min="7" max="7" width="9.21875" style="14" bestFit="1" customWidth="1"/>
    <col min="8" max="8" width="11.5546875" style="14" customWidth="1"/>
    <col min="9" max="16384" width="8.88671875" style="14"/>
  </cols>
  <sheetData>
    <row r="1" spans="1:6" ht="18.75">
      <c r="A1" s="482" t="s">
        <v>358</v>
      </c>
      <c r="B1" s="482"/>
      <c r="C1" s="482"/>
      <c r="D1" s="482"/>
      <c r="E1" s="482"/>
    </row>
    <row r="2" spans="1:6" ht="20.25" customHeight="1">
      <c r="A2" s="29" t="s">
        <v>20</v>
      </c>
      <c r="B2" s="29"/>
      <c r="C2" s="567"/>
      <c r="D2" s="567"/>
      <c r="E2" s="567"/>
    </row>
    <row r="3" spans="1:6" ht="22.5" customHeight="1">
      <c r="A3" s="29" t="s">
        <v>21</v>
      </c>
      <c r="B3" s="29"/>
      <c r="C3" s="567"/>
      <c r="D3" s="567"/>
      <c r="E3" s="567"/>
    </row>
    <row r="4" spans="1:6" ht="22.5" customHeight="1">
      <c r="A4" s="29" t="s">
        <v>267</v>
      </c>
      <c r="B4" s="29"/>
      <c r="C4" s="229"/>
      <c r="D4" s="229"/>
      <c r="E4" s="229"/>
    </row>
    <row r="5" spans="1:6" ht="27" customHeight="1">
      <c r="A5" s="230" t="s">
        <v>261</v>
      </c>
      <c r="B5" s="230" t="s">
        <v>262</v>
      </c>
      <c r="C5" s="230" t="s">
        <v>263</v>
      </c>
      <c r="D5" s="230" t="s">
        <v>264</v>
      </c>
      <c r="E5" s="230" t="s">
        <v>265</v>
      </c>
      <c r="F5" s="230" t="s">
        <v>266</v>
      </c>
    </row>
    <row r="6" spans="1:6" ht="57" customHeight="1">
      <c r="A6" s="25"/>
      <c r="B6" s="25"/>
      <c r="C6" s="25"/>
      <c r="D6" s="25"/>
      <c r="E6" s="25"/>
      <c r="F6" s="25"/>
    </row>
    <row r="7" spans="1:6" ht="22.5" customHeight="1">
      <c r="A7" s="29"/>
      <c r="B7" s="29"/>
      <c r="C7" s="229"/>
      <c r="D7" s="229"/>
      <c r="E7" s="229"/>
    </row>
    <row r="8" spans="1:6" ht="22.5" customHeight="1">
      <c r="A8" s="29"/>
      <c r="B8" s="29"/>
      <c r="C8" s="229"/>
      <c r="D8" s="229"/>
      <c r="E8" s="229"/>
    </row>
    <row r="9" spans="1:6" ht="22.5" customHeight="1">
      <c r="A9" s="29"/>
      <c r="B9" s="29"/>
      <c r="C9" s="229"/>
      <c r="D9" s="229"/>
      <c r="E9" s="229"/>
    </row>
    <row r="10" spans="1:6" ht="22.5" customHeight="1">
      <c r="A10" s="29"/>
      <c r="B10" s="29"/>
      <c r="C10" s="229"/>
      <c r="D10" s="229"/>
      <c r="E10" s="229"/>
    </row>
    <row r="11" spans="1:6" ht="7.5" customHeight="1">
      <c r="E11" s="75"/>
    </row>
    <row r="12" spans="1:6" ht="14.25" thickBot="1">
      <c r="A12" s="29" t="s">
        <v>91</v>
      </c>
      <c r="B12" s="29"/>
      <c r="E12" s="75"/>
    </row>
    <row r="13" spans="1:6" s="43" customFormat="1" ht="14.25" thickBot="1">
      <c r="A13" s="568" t="s">
        <v>97</v>
      </c>
      <c r="B13" s="569"/>
      <c r="C13" s="569"/>
      <c r="D13" s="570"/>
      <c r="E13" s="564" t="s">
        <v>99</v>
      </c>
    </row>
    <row r="14" spans="1:6" s="43" customFormat="1">
      <c r="A14" s="116" t="s">
        <v>155</v>
      </c>
      <c r="B14" s="117" t="s">
        <v>153</v>
      </c>
      <c r="C14" s="117" t="s">
        <v>154</v>
      </c>
      <c r="D14" s="118" t="s">
        <v>95</v>
      </c>
      <c r="E14" s="565"/>
    </row>
    <row r="15" spans="1:6" s="43" customFormat="1" ht="14.25" thickBot="1">
      <c r="A15" s="119">
        <v>185700000</v>
      </c>
      <c r="B15" s="120">
        <v>125000000</v>
      </c>
      <c r="C15" s="121">
        <v>275000000</v>
      </c>
      <c r="D15" s="122">
        <f>SUM(A15:C15)</f>
        <v>585700000</v>
      </c>
      <c r="E15" s="566"/>
    </row>
    <row r="16" spans="1:6" s="43" customFormat="1" ht="14.25" customHeight="1" thickBot="1">
      <c r="A16" s="571" t="s">
        <v>93</v>
      </c>
      <c r="B16" s="572"/>
      <c r="C16" s="572"/>
      <c r="D16" s="573"/>
      <c r="E16" s="123">
        <v>7</v>
      </c>
    </row>
    <row r="17" spans="1:5" s="43" customFormat="1">
      <c r="A17" s="124" t="str">
        <f>A14</f>
        <v>1차년도(2000)</v>
      </c>
      <c r="B17" s="125" t="str">
        <f>B14</f>
        <v>2차년도(2001)</v>
      </c>
      <c r="C17" s="125" t="str">
        <f>C14</f>
        <v>3차년도(2002)</v>
      </c>
      <c r="D17" s="137" t="s">
        <v>96</v>
      </c>
      <c r="E17" s="139" t="s">
        <v>92</v>
      </c>
    </row>
    <row r="18" spans="1:5" s="43" customFormat="1" ht="14.25" thickBot="1">
      <c r="A18" s="126">
        <v>3251000000</v>
      </c>
      <c r="B18" s="127">
        <v>2157000000</v>
      </c>
      <c r="C18" s="128">
        <v>4250000000</v>
      </c>
      <c r="D18" s="138">
        <f>SUM(A18:C18)</f>
        <v>9658000000</v>
      </c>
      <c r="E18" s="140">
        <f>D15/D18</f>
        <v>6.0644025678194241E-2</v>
      </c>
    </row>
    <row r="19" spans="1:5" ht="9.75" customHeight="1">
      <c r="E19" s="75"/>
    </row>
    <row r="21" spans="1:5">
      <c r="A21" s="14" t="s">
        <v>250</v>
      </c>
    </row>
    <row r="22" spans="1:5">
      <c r="A22" s="14" t="s">
        <v>182</v>
      </c>
    </row>
    <row r="23" spans="1:5">
      <c r="A23" s="14" t="s">
        <v>156</v>
      </c>
    </row>
    <row r="24" spans="1:5">
      <c r="A24" s="141" t="s">
        <v>213</v>
      </c>
      <c r="B24" s="141"/>
      <c r="C24" s="141"/>
      <c r="D24" s="141"/>
    </row>
    <row r="25" spans="1:5">
      <c r="A25" s="141" t="s">
        <v>183</v>
      </c>
      <c r="B25" s="141"/>
      <c r="C25" s="141"/>
      <c r="D25" s="141"/>
    </row>
    <row r="26" spans="1:5">
      <c r="A26" s="158" t="s">
        <v>214</v>
      </c>
      <c r="B26" s="158"/>
      <c r="C26" s="158"/>
      <c r="D26" s="158"/>
    </row>
  </sheetData>
  <mergeCells count="6">
    <mergeCell ref="A1:E1"/>
    <mergeCell ref="E13:E15"/>
    <mergeCell ref="C2:E2"/>
    <mergeCell ref="C3:E3"/>
    <mergeCell ref="A13:D13"/>
    <mergeCell ref="A16:D16"/>
  </mergeCells>
  <phoneticPr fontId="11" type="noConversion"/>
  <printOptions horizontalCentered="1"/>
  <pageMargins left="0.74803149606299213" right="0.74803149606299213" top="0.62" bottom="0.56999999999999995" header="0.51181102362204722" footer="0.74"/>
  <pageSetup paperSize="9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5050"/>
  </sheetPr>
  <dimension ref="A1:E10"/>
  <sheetViews>
    <sheetView zoomScaleNormal="100" workbookViewId="0">
      <selection activeCell="L38" sqref="L38"/>
    </sheetView>
  </sheetViews>
  <sheetFormatPr defaultRowHeight="13.5"/>
  <cols>
    <col min="1" max="1" width="17.33203125" bestFit="1" customWidth="1"/>
    <col min="2" max="2" width="14.109375" bestFit="1" customWidth="1"/>
    <col min="3" max="3" width="15.33203125" customWidth="1"/>
    <col min="4" max="4" width="15.109375" customWidth="1"/>
    <col min="5" max="5" width="7.88671875" bestFit="1" customWidth="1"/>
  </cols>
  <sheetData>
    <row r="1" spans="1:5" s="14" customFormat="1" ht="18.75">
      <c r="A1" s="482" t="s">
        <v>498</v>
      </c>
      <c r="B1" s="482"/>
      <c r="C1" s="482"/>
      <c r="D1" s="482"/>
    </row>
    <row r="2" spans="1:5" s="14" customFormat="1" ht="22.5" customHeight="1" thickBot="1">
      <c r="A2" s="29"/>
      <c r="B2" s="29"/>
      <c r="C2" s="229"/>
      <c r="D2" s="229"/>
    </row>
    <row r="3" spans="1:5" ht="33.75" customHeight="1" thickBot="1">
      <c r="A3" s="196" t="s">
        <v>499</v>
      </c>
      <c r="B3" s="339" t="s">
        <v>503</v>
      </c>
      <c r="C3" s="340" t="s">
        <v>504</v>
      </c>
      <c r="D3" s="341" t="s">
        <v>505</v>
      </c>
      <c r="E3" s="341" t="s">
        <v>500</v>
      </c>
    </row>
    <row r="4" spans="1:5" ht="20.100000000000001" customHeight="1">
      <c r="A4" s="342" t="s">
        <v>501</v>
      </c>
      <c r="B4" s="352">
        <f>'10-1. 건설기술개발활용실적'!L11*'10. 건설기술개발활용실적'!E4</f>
        <v>4.1999999999999993</v>
      </c>
      <c r="C4" s="353">
        <f>'10-1. 건설기술개발활용실적'!L20*E4</f>
        <v>0.7</v>
      </c>
      <c r="D4" s="354">
        <f>'10-1. 건설기술개발활용실적'!L27*E4</f>
        <v>0.21</v>
      </c>
      <c r="E4" s="345">
        <v>0.7</v>
      </c>
    </row>
    <row r="5" spans="1:5" ht="20.100000000000001" customHeight="1">
      <c r="A5" s="346" t="s">
        <v>502</v>
      </c>
      <c r="B5" s="355">
        <f>'10-1. 건설기술개발활용실적(공동수급)'!L11*'10. 건설기술개발활용실적'!E5</f>
        <v>1.7999999999999998</v>
      </c>
      <c r="C5" s="356">
        <f>'10-1. 건설기술개발활용실적(공동수급)'!L20*E5</f>
        <v>0.3</v>
      </c>
      <c r="D5" s="357">
        <f>'10-1. 건설기술개발활용실적(공동수급)'!L27*E5</f>
        <v>0.09</v>
      </c>
      <c r="E5" s="347">
        <v>0.3</v>
      </c>
    </row>
    <row r="6" spans="1:5" ht="20.100000000000001" customHeight="1">
      <c r="A6" s="348"/>
      <c r="B6" s="355"/>
      <c r="C6" s="356"/>
      <c r="D6" s="357"/>
      <c r="E6" s="349"/>
    </row>
    <row r="7" spans="1:5" ht="20.100000000000001" customHeight="1">
      <c r="A7" s="348"/>
      <c r="B7" s="355"/>
      <c r="C7" s="356"/>
      <c r="D7" s="357"/>
      <c r="E7" s="349"/>
    </row>
    <row r="8" spans="1:5" ht="20.100000000000001" customHeight="1">
      <c r="A8" s="350"/>
      <c r="B8" s="355"/>
      <c r="C8" s="356"/>
      <c r="D8" s="357"/>
      <c r="E8" s="349"/>
    </row>
    <row r="9" spans="1:5" ht="18.75" customHeight="1">
      <c r="A9" s="48"/>
      <c r="B9" s="358"/>
      <c r="C9" s="359"/>
      <c r="D9" s="359"/>
      <c r="E9" s="351"/>
    </row>
    <row r="10" spans="1:5" ht="20.100000000000001" customHeight="1" thickBot="1">
      <c r="A10" s="343" t="s">
        <v>17</v>
      </c>
      <c r="B10" s="360"/>
      <c r="C10" s="360"/>
      <c r="D10" s="361"/>
      <c r="E10" s="344">
        <f>ROUND(IF((SUM(B4:B9)+SUM(C4:C9)+(IF(SUM(D4:D9)&gt;=1,1,SUM(D4:D9))))&gt;=3,3,(SUM(B4:B9)+SUM(C4:C9)+(IF(SUM(D4:D9)&gt;=1,1,SUM(D4:D9))))),2)</f>
        <v>3</v>
      </c>
    </row>
  </sheetData>
  <mergeCells count="1">
    <mergeCell ref="A1:D1"/>
  </mergeCells>
  <phoneticPr fontId="11" type="noConversion"/>
  <pageMargins left="0.7" right="0.7" top="0.75" bottom="0.75" header="0.3" footer="0.3"/>
  <legacy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29"/>
  </sheetPr>
  <dimension ref="A1:N34"/>
  <sheetViews>
    <sheetView topLeftCell="A13" zoomScaleNormal="100" zoomScaleSheetLayoutView="100" workbookViewId="0">
      <selection activeCell="N17" sqref="N17"/>
    </sheetView>
  </sheetViews>
  <sheetFormatPr defaultRowHeight="13.5"/>
  <cols>
    <col min="1" max="1" width="7.88671875" style="15" customWidth="1"/>
    <col min="2" max="2" width="9.109375" style="14" customWidth="1"/>
    <col min="3" max="3" width="17.88671875" style="14" customWidth="1"/>
    <col min="4" max="4" width="8.6640625" style="14" bestFit="1" customWidth="1"/>
    <col min="5" max="7" width="10.77734375" style="14" customWidth="1"/>
    <col min="8" max="8" width="8.109375" style="14" customWidth="1"/>
    <col min="9" max="9" width="6.5546875" style="14" customWidth="1"/>
    <col min="10" max="10" width="7.6640625" style="15" customWidth="1"/>
    <col min="11" max="11" width="6.88671875" style="15" customWidth="1"/>
    <col min="12" max="12" width="9.109375" style="15" customWidth="1"/>
    <col min="13" max="16384" width="8.88671875" style="14"/>
  </cols>
  <sheetData>
    <row r="1" spans="1:14" ht="18.75">
      <c r="A1" s="482" t="s">
        <v>359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</row>
    <row r="2" spans="1:14" ht="18.75">
      <c r="A2" s="279" t="s">
        <v>324</v>
      </c>
      <c r="B2" s="24"/>
    </row>
    <row r="3" spans="1:14" s="17" customFormat="1" ht="20.100000000000001" customHeight="1">
      <c r="A3" s="429" t="s">
        <v>62</v>
      </c>
      <c r="B3" s="428" t="s">
        <v>109</v>
      </c>
      <c r="C3" s="429" t="s">
        <v>110</v>
      </c>
      <c r="D3" s="428" t="s">
        <v>207</v>
      </c>
      <c r="E3" s="589" t="s">
        <v>325</v>
      </c>
      <c r="F3" s="590"/>
      <c r="G3" s="74"/>
      <c r="H3" s="600"/>
      <c r="I3" s="601"/>
      <c r="J3" s="586" t="s">
        <v>342</v>
      </c>
      <c r="K3" s="588" t="s">
        <v>333</v>
      </c>
      <c r="L3" s="586" t="s">
        <v>113</v>
      </c>
    </row>
    <row r="4" spans="1:14" s="17" customFormat="1" ht="20.100000000000001" customHeight="1">
      <c r="A4" s="429"/>
      <c r="B4" s="429"/>
      <c r="C4" s="429"/>
      <c r="D4" s="429"/>
      <c r="E4" s="591"/>
      <c r="F4" s="592"/>
      <c r="G4" s="74"/>
      <c r="H4" s="602"/>
      <c r="I4" s="603"/>
      <c r="J4" s="586"/>
      <c r="K4" s="588"/>
      <c r="L4" s="587"/>
    </row>
    <row r="5" spans="1:14" s="17" customFormat="1" ht="20.100000000000001" customHeight="1">
      <c r="A5" s="581" t="s">
        <v>111</v>
      </c>
      <c r="B5" s="581" t="s">
        <v>321</v>
      </c>
      <c r="C5" s="581" t="s">
        <v>157</v>
      </c>
      <c r="D5" s="581" t="s">
        <v>158</v>
      </c>
      <c r="E5" s="593">
        <v>37240</v>
      </c>
      <c r="F5" s="593">
        <v>38335</v>
      </c>
      <c r="G5" s="151"/>
      <c r="H5" s="604"/>
      <c r="I5" s="605"/>
      <c r="J5" s="595">
        <v>1</v>
      </c>
      <c r="K5" s="594">
        <v>2</v>
      </c>
      <c r="L5" s="581">
        <f>K5/J5</f>
        <v>2</v>
      </c>
    </row>
    <row r="6" spans="1:14" s="19" customFormat="1" ht="20.100000000000001" customHeight="1">
      <c r="A6" s="581"/>
      <c r="B6" s="581"/>
      <c r="C6" s="581"/>
      <c r="D6" s="581"/>
      <c r="E6" s="593"/>
      <c r="F6" s="593"/>
      <c r="G6" s="150"/>
      <c r="H6" s="606"/>
      <c r="I6" s="607"/>
      <c r="J6" s="595"/>
      <c r="K6" s="594"/>
      <c r="L6" s="581"/>
    </row>
    <row r="7" spans="1:14" s="19" customFormat="1" ht="20.100000000000001" customHeight="1">
      <c r="A7" s="581" t="s">
        <v>111</v>
      </c>
      <c r="B7" s="581" t="s">
        <v>322</v>
      </c>
      <c r="C7" s="581" t="s">
        <v>157</v>
      </c>
      <c r="D7" s="581" t="s">
        <v>158</v>
      </c>
      <c r="E7" s="593">
        <v>37240</v>
      </c>
      <c r="F7" s="593">
        <v>38335</v>
      </c>
      <c r="G7" s="151"/>
      <c r="H7" s="604"/>
      <c r="I7" s="605"/>
      <c r="J7" s="595">
        <v>1</v>
      </c>
      <c r="K7" s="594">
        <v>2</v>
      </c>
      <c r="L7" s="578">
        <f>K7/J7</f>
        <v>2</v>
      </c>
    </row>
    <row r="8" spans="1:14" s="19" customFormat="1" ht="20.100000000000001" customHeight="1">
      <c r="A8" s="581"/>
      <c r="B8" s="581"/>
      <c r="C8" s="581"/>
      <c r="D8" s="581"/>
      <c r="E8" s="593"/>
      <c r="F8" s="593"/>
      <c r="G8" s="150"/>
      <c r="H8" s="606"/>
      <c r="I8" s="607"/>
      <c r="J8" s="595"/>
      <c r="K8" s="594"/>
      <c r="L8" s="579"/>
    </row>
    <row r="9" spans="1:14" s="19" customFormat="1" ht="20.100000000000001" customHeight="1">
      <c r="A9" s="581" t="s">
        <v>111</v>
      </c>
      <c r="B9" s="581" t="s">
        <v>322</v>
      </c>
      <c r="C9" s="581" t="s">
        <v>157</v>
      </c>
      <c r="D9" s="581" t="s">
        <v>158</v>
      </c>
      <c r="E9" s="593">
        <v>37240</v>
      </c>
      <c r="F9" s="593">
        <v>38335</v>
      </c>
      <c r="G9" s="151"/>
      <c r="H9" s="604"/>
      <c r="I9" s="605"/>
      <c r="J9" s="595">
        <v>1</v>
      </c>
      <c r="K9" s="594">
        <v>2</v>
      </c>
      <c r="L9" s="578">
        <f>K9/J9</f>
        <v>2</v>
      </c>
      <c r="N9" s="277"/>
    </row>
    <row r="10" spans="1:14" s="19" customFormat="1" ht="20.100000000000001" customHeight="1">
      <c r="A10" s="581"/>
      <c r="B10" s="581"/>
      <c r="C10" s="581"/>
      <c r="D10" s="581"/>
      <c r="E10" s="593"/>
      <c r="F10" s="593"/>
      <c r="G10" s="150"/>
      <c r="H10" s="606"/>
      <c r="I10" s="607"/>
      <c r="J10" s="595"/>
      <c r="K10" s="594"/>
      <c r="L10" s="579"/>
    </row>
    <row r="11" spans="1:14" s="19" customFormat="1" ht="20.100000000000001" customHeight="1">
      <c r="A11" s="296"/>
      <c r="B11" s="296"/>
      <c r="C11" s="296"/>
      <c r="D11" s="296"/>
      <c r="E11" s="297"/>
      <c r="F11" s="297"/>
      <c r="G11" s="150"/>
      <c r="H11" s="298"/>
      <c r="I11" s="298"/>
      <c r="J11" s="245"/>
      <c r="K11" s="305" t="s">
        <v>27</v>
      </c>
      <c r="L11" s="305">
        <f>SUM(L5:L10)</f>
        <v>6</v>
      </c>
    </row>
    <row r="12" spans="1:14" s="19" customFormat="1" ht="20.100000000000001" customHeight="1">
      <c r="A12" s="269"/>
      <c r="B12" s="270"/>
      <c r="C12" s="270"/>
      <c r="D12" s="270"/>
      <c r="E12" s="273"/>
      <c r="F12" s="273"/>
      <c r="G12" s="275"/>
      <c r="H12" s="270"/>
      <c r="I12" s="270"/>
      <c r="J12" s="270"/>
      <c r="K12" s="270"/>
      <c r="L12" s="276"/>
    </row>
    <row r="13" spans="1:14" s="19" customFormat="1" ht="20.100000000000001" customHeight="1">
      <c r="A13" s="279" t="s">
        <v>326</v>
      </c>
      <c r="B13" s="271"/>
      <c r="C13" s="271"/>
      <c r="D13" s="271"/>
      <c r="E13" s="272"/>
      <c r="F13" s="272"/>
      <c r="G13" s="274"/>
      <c r="H13" s="271"/>
      <c r="I13" s="271"/>
      <c r="J13" s="271"/>
      <c r="K13" s="271"/>
      <c r="L13" s="278"/>
    </row>
    <row r="14" spans="1:14" s="19" customFormat="1" ht="20.100000000000001" customHeight="1">
      <c r="A14" s="596" t="s">
        <v>62</v>
      </c>
      <c r="B14" s="598" t="s">
        <v>335</v>
      </c>
      <c r="C14" s="598" t="s">
        <v>110</v>
      </c>
      <c r="D14" s="598" t="s">
        <v>334</v>
      </c>
      <c r="E14" s="596" t="s">
        <v>327</v>
      </c>
      <c r="F14" s="596" t="s">
        <v>328</v>
      </c>
      <c r="G14" s="130" t="s">
        <v>329</v>
      </c>
      <c r="H14" s="608" t="s">
        <v>332</v>
      </c>
      <c r="I14" s="609"/>
      <c r="J14" s="616" t="s">
        <v>331</v>
      </c>
      <c r="K14" s="618" t="s">
        <v>209</v>
      </c>
      <c r="L14" s="620" t="s">
        <v>113</v>
      </c>
    </row>
    <row r="15" spans="1:14" s="19" customFormat="1" ht="20.100000000000001" customHeight="1">
      <c r="A15" s="597"/>
      <c r="B15" s="599"/>
      <c r="C15" s="599"/>
      <c r="D15" s="597"/>
      <c r="E15" s="597"/>
      <c r="F15" s="597"/>
      <c r="G15" s="130" t="s">
        <v>330</v>
      </c>
      <c r="H15" s="610"/>
      <c r="I15" s="611"/>
      <c r="J15" s="617"/>
      <c r="K15" s="619"/>
      <c r="L15" s="621"/>
    </row>
    <row r="16" spans="1:14" s="19" customFormat="1" ht="20.100000000000001" customHeight="1">
      <c r="A16" s="578" t="s">
        <v>111</v>
      </c>
      <c r="B16" s="580"/>
      <c r="C16" s="581" t="s">
        <v>157</v>
      </c>
      <c r="D16" s="580" t="s">
        <v>336</v>
      </c>
      <c r="E16" s="582">
        <v>38460</v>
      </c>
      <c r="F16" s="584">
        <v>41381</v>
      </c>
      <c r="G16" s="150">
        <v>3</v>
      </c>
      <c r="H16" s="612">
        <v>1</v>
      </c>
      <c r="I16" s="613"/>
      <c r="J16" s="574"/>
      <c r="K16" s="576">
        <v>0.5</v>
      </c>
      <c r="L16" s="578">
        <f>K16*H16</f>
        <v>0.5</v>
      </c>
    </row>
    <row r="17" spans="1:12" s="19" customFormat="1" ht="20.100000000000001" customHeight="1">
      <c r="A17" s="579"/>
      <c r="B17" s="579"/>
      <c r="C17" s="581"/>
      <c r="D17" s="579"/>
      <c r="E17" s="583"/>
      <c r="F17" s="585"/>
      <c r="G17" s="280">
        <v>20</v>
      </c>
      <c r="H17" s="614"/>
      <c r="I17" s="615"/>
      <c r="J17" s="575"/>
      <c r="K17" s="577"/>
      <c r="L17" s="579"/>
    </row>
    <row r="18" spans="1:12" s="19" customFormat="1" ht="20.100000000000001" customHeight="1">
      <c r="A18" s="578" t="s">
        <v>111</v>
      </c>
      <c r="B18" s="580"/>
      <c r="C18" s="581" t="s">
        <v>157</v>
      </c>
      <c r="D18" s="580" t="s">
        <v>340</v>
      </c>
      <c r="E18" s="582">
        <v>39190</v>
      </c>
      <c r="F18" s="584">
        <v>41381</v>
      </c>
      <c r="G18" s="150">
        <v>3</v>
      </c>
      <c r="H18" s="612">
        <v>1</v>
      </c>
      <c r="I18" s="613"/>
      <c r="J18" s="574"/>
      <c r="K18" s="576">
        <v>0.5</v>
      </c>
      <c r="L18" s="578">
        <f>K18*H18</f>
        <v>0.5</v>
      </c>
    </row>
    <row r="19" spans="1:12" s="19" customFormat="1" ht="20.100000000000001" customHeight="1">
      <c r="A19" s="579"/>
      <c r="B19" s="579"/>
      <c r="C19" s="581"/>
      <c r="D19" s="579"/>
      <c r="E19" s="583"/>
      <c r="F19" s="585"/>
      <c r="G19" s="280">
        <v>10</v>
      </c>
      <c r="H19" s="614"/>
      <c r="I19" s="615"/>
      <c r="J19" s="575"/>
      <c r="K19" s="577"/>
      <c r="L19" s="579"/>
    </row>
    <row r="20" spans="1:12" s="19" customFormat="1" ht="20.100000000000001" customHeight="1">
      <c r="A20" s="299"/>
      <c r="B20" s="299"/>
      <c r="C20" s="295"/>
      <c r="D20" s="299"/>
      <c r="E20" s="300"/>
      <c r="F20" s="301"/>
      <c r="G20" s="280"/>
      <c r="H20" s="302"/>
      <c r="I20" s="303"/>
      <c r="J20" s="304"/>
      <c r="K20" s="305" t="s">
        <v>27</v>
      </c>
      <c r="L20" s="306">
        <f>SUM(L16:L19)</f>
        <v>1</v>
      </c>
    </row>
    <row r="21" spans="1:12" s="19" customFormat="1" ht="20.100000000000001" customHeight="1">
      <c r="A21" s="596" t="s">
        <v>62</v>
      </c>
      <c r="B21" s="598" t="s">
        <v>210</v>
      </c>
      <c r="C21" s="596" t="s">
        <v>110</v>
      </c>
      <c r="D21" s="598" t="s">
        <v>337</v>
      </c>
      <c r="E21" s="596" t="s">
        <v>208</v>
      </c>
      <c r="F21" s="598" t="s">
        <v>339</v>
      </c>
      <c r="G21" s="130" t="s">
        <v>329</v>
      </c>
      <c r="H21" s="626" t="s">
        <v>332</v>
      </c>
      <c r="I21" s="616" t="s">
        <v>341</v>
      </c>
      <c r="J21" s="618" t="s">
        <v>343</v>
      </c>
      <c r="K21" s="624" t="s">
        <v>209</v>
      </c>
      <c r="L21" s="620" t="s">
        <v>113</v>
      </c>
    </row>
    <row r="22" spans="1:12" s="19" customFormat="1" ht="20.100000000000001" customHeight="1">
      <c r="A22" s="597"/>
      <c r="B22" s="599"/>
      <c r="C22" s="597"/>
      <c r="D22" s="597"/>
      <c r="E22" s="597"/>
      <c r="F22" s="597"/>
      <c r="G22" s="130" t="s">
        <v>330</v>
      </c>
      <c r="H22" s="627"/>
      <c r="I22" s="617"/>
      <c r="J22" s="619"/>
      <c r="K22" s="625"/>
      <c r="L22" s="621"/>
    </row>
    <row r="23" spans="1:12" s="19" customFormat="1" ht="20.100000000000001" customHeight="1">
      <c r="A23" s="578" t="s">
        <v>112</v>
      </c>
      <c r="B23" s="580"/>
      <c r="C23" s="581" t="s">
        <v>157</v>
      </c>
      <c r="D23" s="580" t="s">
        <v>338</v>
      </c>
      <c r="E23" s="582">
        <v>40100</v>
      </c>
      <c r="F23" s="584">
        <v>41381</v>
      </c>
      <c r="G23" s="150">
        <v>5</v>
      </c>
      <c r="H23" s="612">
        <v>1</v>
      </c>
      <c r="I23" s="622">
        <v>1</v>
      </c>
      <c r="J23" s="574">
        <v>0.5</v>
      </c>
      <c r="K23" s="576">
        <v>0.3</v>
      </c>
      <c r="L23" s="578">
        <f>K23*H23*J23</f>
        <v>0.15</v>
      </c>
    </row>
    <row r="24" spans="1:12" s="19" customFormat="1" ht="20.100000000000001" customHeight="1">
      <c r="A24" s="579"/>
      <c r="B24" s="579"/>
      <c r="C24" s="581"/>
      <c r="D24" s="579"/>
      <c r="E24" s="583"/>
      <c r="F24" s="585"/>
      <c r="G24" s="280">
        <v>10</v>
      </c>
      <c r="H24" s="614"/>
      <c r="I24" s="623"/>
      <c r="J24" s="575"/>
      <c r="K24" s="577"/>
      <c r="L24" s="579"/>
    </row>
    <row r="25" spans="1:12" s="19" customFormat="1" ht="20.100000000000001" customHeight="1">
      <c r="A25" s="578" t="s">
        <v>112</v>
      </c>
      <c r="B25" s="580"/>
      <c r="C25" s="581" t="s">
        <v>157</v>
      </c>
      <c r="D25" s="580" t="s">
        <v>338</v>
      </c>
      <c r="E25" s="582">
        <v>40100</v>
      </c>
      <c r="F25" s="584">
        <v>41381</v>
      </c>
      <c r="G25" s="150">
        <v>5</v>
      </c>
      <c r="H25" s="612">
        <v>1</v>
      </c>
      <c r="I25" s="622">
        <v>1</v>
      </c>
      <c r="J25" s="574">
        <v>0.5</v>
      </c>
      <c r="K25" s="576">
        <v>0.3</v>
      </c>
      <c r="L25" s="578">
        <f>K25*H25*J25</f>
        <v>0.15</v>
      </c>
    </row>
    <row r="26" spans="1:12" s="19" customFormat="1" ht="20.100000000000001" customHeight="1">
      <c r="A26" s="579"/>
      <c r="B26" s="579"/>
      <c r="C26" s="581"/>
      <c r="D26" s="579"/>
      <c r="E26" s="583"/>
      <c r="F26" s="585"/>
      <c r="G26" s="280">
        <v>10</v>
      </c>
      <c r="H26" s="614"/>
      <c r="I26" s="623"/>
      <c r="J26" s="575"/>
      <c r="K26" s="577"/>
      <c r="L26" s="579"/>
    </row>
    <row r="27" spans="1:12" ht="20.100000000000001" customHeight="1">
      <c r="A27" s="73"/>
      <c r="B27" s="45"/>
      <c r="C27" s="45"/>
      <c r="D27" s="45"/>
      <c r="E27" s="129"/>
      <c r="F27" s="129"/>
      <c r="G27" s="129"/>
      <c r="H27" s="129"/>
      <c r="I27" s="73"/>
      <c r="J27" s="73"/>
      <c r="K27" s="305" t="s">
        <v>27</v>
      </c>
      <c r="L27" s="305">
        <f>SUM(L23:L26)</f>
        <v>0.3</v>
      </c>
    </row>
    <row r="28" spans="1:12" ht="8.25" customHeight="1">
      <c r="A28" s="26"/>
      <c r="B28" s="24"/>
    </row>
    <row r="29" spans="1:12">
      <c r="A29" s="14" t="s">
        <v>383</v>
      </c>
    </row>
    <row r="30" spans="1:12">
      <c r="A30" s="14" t="s">
        <v>215</v>
      </c>
    </row>
    <row r="31" spans="1:12">
      <c r="A31" s="14" t="s">
        <v>216</v>
      </c>
    </row>
    <row r="32" spans="1:12">
      <c r="A32" s="14" t="s">
        <v>323</v>
      </c>
    </row>
    <row r="33" spans="1:9">
      <c r="A33" s="141" t="s">
        <v>390</v>
      </c>
      <c r="B33" s="141"/>
      <c r="C33" s="141"/>
      <c r="D33" s="141"/>
      <c r="E33" s="141"/>
      <c r="F33" s="141"/>
      <c r="G33" s="141"/>
      <c r="H33" s="141"/>
      <c r="I33" s="141"/>
    </row>
    <row r="34" spans="1:9">
      <c r="A34" s="141" t="s">
        <v>211</v>
      </c>
      <c r="B34" s="141"/>
      <c r="C34" s="141"/>
      <c r="D34" s="141"/>
      <c r="E34" s="141"/>
      <c r="F34" s="141"/>
      <c r="G34" s="141"/>
      <c r="H34" s="141"/>
      <c r="I34" s="141"/>
    </row>
  </sheetData>
  <mergeCells count="103">
    <mergeCell ref="L21:L22"/>
    <mergeCell ref="A18:A19"/>
    <mergeCell ref="B18:B19"/>
    <mergeCell ref="C18:C19"/>
    <mergeCell ref="D18:D19"/>
    <mergeCell ref="E18:E19"/>
    <mergeCell ref="F18:F19"/>
    <mergeCell ref="H18:I19"/>
    <mergeCell ref="J18:J19"/>
    <mergeCell ref="H21:H22"/>
    <mergeCell ref="H25:H26"/>
    <mergeCell ref="I21:I22"/>
    <mergeCell ref="I25:I26"/>
    <mergeCell ref="J21:J22"/>
    <mergeCell ref="K21:K22"/>
    <mergeCell ref="F25:F26"/>
    <mergeCell ref="J25:J26"/>
    <mergeCell ref="K25:K26"/>
    <mergeCell ref="H23:H24"/>
    <mergeCell ref="I23:I24"/>
    <mergeCell ref="L25:L26"/>
    <mergeCell ref="K18:K19"/>
    <mergeCell ref="L18:L19"/>
    <mergeCell ref="H14:I15"/>
    <mergeCell ref="H16:I17"/>
    <mergeCell ref="J14:J15"/>
    <mergeCell ref="K14:K15"/>
    <mergeCell ref="L14:L15"/>
    <mergeCell ref="J16:J17"/>
    <mergeCell ref="K16:K17"/>
    <mergeCell ref="L16:L17"/>
    <mergeCell ref="H3:I4"/>
    <mergeCell ref="H5:I6"/>
    <mergeCell ref="H7:I8"/>
    <mergeCell ref="H9:I10"/>
    <mergeCell ref="D14:D15"/>
    <mergeCell ref="E14:E15"/>
    <mergeCell ref="D16:D17"/>
    <mergeCell ref="E16:E17"/>
    <mergeCell ref="F14:F15"/>
    <mergeCell ref="F16:F17"/>
    <mergeCell ref="A16:A17"/>
    <mergeCell ref="B16:B17"/>
    <mergeCell ref="C16:C17"/>
    <mergeCell ref="A14:A15"/>
    <mergeCell ref="B14:B15"/>
    <mergeCell ref="C14:C15"/>
    <mergeCell ref="E9:E10"/>
    <mergeCell ref="F9:F10"/>
    <mergeCell ref="A9:A10"/>
    <mergeCell ref="B9:B10"/>
    <mergeCell ref="C9:C10"/>
    <mergeCell ref="D9:D10"/>
    <mergeCell ref="L7:L8"/>
    <mergeCell ref="J9:J10"/>
    <mergeCell ref="K9:K10"/>
    <mergeCell ref="L9:L10"/>
    <mergeCell ref="J7:J8"/>
    <mergeCell ref="K7:K8"/>
    <mergeCell ref="F7:F8"/>
    <mergeCell ref="A7:A8"/>
    <mergeCell ref="B7:B8"/>
    <mergeCell ref="C7:C8"/>
    <mergeCell ref="D7:D8"/>
    <mergeCell ref="E7:E8"/>
    <mergeCell ref="K5:K6"/>
    <mergeCell ref="L5:L6"/>
    <mergeCell ref="F5:F6"/>
    <mergeCell ref="J5:J6"/>
    <mergeCell ref="A21:A22"/>
    <mergeCell ref="B21:B22"/>
    <mergeCell ref="C21:C22"/>
    <mergeCell ref="D21:D22"/>
    <mergeCell ref="E21:E22"/>
    <mergeCell ref="F21:F22"/>
    <mergeCell ref="E5:E6"/>
    <mergeCell ref="A3:A4"/>
    <mergeCell ref="B3:B4"/>
    <mergeCell ref="C3:C4"/>
    <mergeCell ref="A5:A6"/>
    <mergeCell ref="B5:B6"/>
    <mergeCell ref="C5:C6"/>
    <mergeCell ref="D5:D6"/>
    <mergeCell ref="D3:D4"/>
    <mergeCell ref="A1:L1"/>
    <mergeCell ref="L3:L4"/>
    <mergeCell ref="J3:J4"/>
    <mergeCell ref="K3:K4"/>
    <mergeCell ref="E3:F4"/>
    <mergeCell ref="A25:A26"/>
    <mergeCell ref="B25:B26"/>
    <mergeCell ref="C25:C26"/>
    <mergeCell ref="D25:D26"/>
    <mergeCell ref="E25:E26"/>
    <mergeCell ref="J23:J24"/>
    <mergeCell ref="K23:K24"/>
    <mergeCell ref="L23:L24"/>
    <mergeCell ref="A23:A24"/>
    <mergeCell ref="B23:B24"/>
    <mergeCell ref="C23:C24"/>
    <mergeCell ref="D23:D24"/>
    <mergeCell ref="E23:E24"/>
    <mergeCell ref="F23:F24"/>
  </mergeCells>
  <phoneticPr fontId="11" type="noConversion"/>
  <printOptions horizontalCentered="1"/>
  <pageMargins left="0.74803149606299213" right="0.74803149606299213" top="0.56000000000000005" bottom="0.56000000000000005" header="0.51181102362204722" footer="0.51181102362204722"/>
  <pageSetup paperSize="9" scale="86" orientation="landscape" horizontalDpi="300" verticalDpi="300" r:id="rId1"/>
  <headerFooter alignWithMargins="0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29"/>
  </sheetPr>
  <dimension ref="A1:N34"/>
  <sheetViews>
    <sheetView zoomScaleNormal="100" zoomScaleSheetLayoutView="100" workbookViewId="0">
      <selection activeCell="M23" sqref="M23"/>
    </sheetView>
  </sheetViews>
  <sheetFormatPr defaultRowHeight="13.5"/>
  <cols>
    <col min="1" max="1" width="7.88671875" style="15" customWidth="1"/>
    <col min="2" max="2" width="9.109375" style="14" customWidth="1"/>
    <col min="3" max="3" width="17.88671875" style="14" customWidth="1"/>
    <col min="4" max="4" width="8.6640625" style="14" bestFit="1" customWidth="1"/>
    <col min="5" max="7" width="10.77734375" style="14" customWidth="1"/>
    <col min="8" max="8" width="8.109375" style="14" customWidth="1"/>
    <col min="9" max="9" width="6.5546875" style="14" customWidth="1"/>
    <col min="10" max="10" width="7.6640625" style="15" customWidth="1"/>
    <col min="11" max="11" width="6.88671875" style="15" customWidth="1"/>
    <col min="12" max="12" width="9.109375" style="15" customWidth="1"/>
    <col min="13" max="16384" width="8.88671875" style="14"/>
  </cols>
  <sheetData>
    <row r="1" spans="1:14" ht="18.75">
      <c r="A1" s="482" t="s">
        <v>359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</row>
    <row r="2" spans="1:14" ht="18.75">
      <c r="A2" s="279" t="s">
        <v>324</v>
      </c>
      <c r="B2" s="24"/>
    </row>
    <row r="3" spans="1:14" s="17" customFormat="1" ht="20.100000000000001" customHeight="1">
      <c r="A3" s="429" t="s">
        <v>32</v>
      </c>
      <c r="B3" s="428" t="s">
        <v>109</v>
      </c>
      <c r="C3" s="429" t="s">
        <v>110</v>
      </c>
      <c r="D3" s="428" t="s">
        <v>207</v>
      </c>
      <c r="E3" s="589" t="s">
        <v>325</v>
      </c>
      <c r="F3" s="590"/>
      <c r="G3" s="74"/>
      <c r="H3" s="600"/>
      <c r="I3" s="601"/>
      <c r="J3" s="586" t="s">
        <v>342</v>
      </c>
      <c r="K3" s="588" t="s">
        <v>333</v>
      </c>
      <c r="L3" s="586" t="s">
        <v>113</v>
      </c>
    </row>
    <row r="4" spans="1:14" s="17" customFormat="1" ht="20.100000000000001" customHeight="1">
      <c r="A4" s="429"/>
      <c r="B4" s="429"/>
      <c r="C4" s="429"/>
      <c r="D4" s="429"/>
      <c r="E4" s="591"/>
      <c r="F4" s="592"/>
      <c r="G4" s="74"/>
      <c r="H4" s="602"/>
      <c r="I4" s="603"/>
      <c r="J4" s="586"/>
      <c r="K4" s="588"/>
      <c r="L4" s="587"/>
    </row>
    <row r="5" spans="1:14" s="17" customFormat="1" ht="20.100000000000001" customHeight="1">
      <c r="A5" s="581" t="s">
        <v>111</v>
      </c>
      <c r="B5" s="581" t="s">
        <v>321</v>
      </c>
      <c r="C5" s="581" t="s">
        <v>157</v>
      </c>
      <c r="D5" s="581" t="s">
        <v>158</v>
      </c>
      <c r="E5" s="593">
        <v>37240</v>
      </c>
      <c r="F5" s="593">
        <v>38335</v>
      </c>
      <c r="G5" s="151"/>
      <c r="H5" s="604"/>
      <c r="I5" s="605"/>
      <c r="J5" s="595">
        <v>1</v>
      </c>
      <c r="K5" s="594">
        <v>2</v>
      </c>
      <c r="L5" s="581">
        <f>K5/J5</f>
        <v>2</v>
      </c>
    </row>
    <row r="6" spans="1:14" s="19" customFormat="1" ht="20.100000000000001" customHeight="1">
      <c r="A6" s="581"/>
      <c r="B6" s="581"/>
      <c r="C6" s="581"/>
      <c r="D6" s="581"/>
      <c r="E6" s="593"/>
      <c r="F6" s="593"/>
      <c r="G6" s="150"/>
      <c r="H6" s="606"/>
      <c r="I6" s="607"/>
      <c r="J6" s="595"/>
      <c r="K6" s="594"/>
      <c r="L6" s="581"/>
    </row>
    <row r="7" spans="1:14" s="19" customFormat="1" ht="20.100000000000001" customHeight="1">
      <c r="A7" s="581" t="s">
        <v>111</v>
      </c>
      <c r="B7" s="581" t="s">
        <v>321</v>
      </c>
      <c r="C7" s="581" t="s">
        <v>157</v>
      </c>
      <c r="D7" s="581" t="s">
        <v>158</v>
      </c>
      <c r="E7" s="593">
        <v>37240</v>
      </c>
      <c r="F7" s="593">
        <v>38335</v>
      </c>
      <c r="G7" s="151"/>
      <c r="H7" s="604"/>
      <c r="I7" s="605"/>
      <c r="J7" s="595">
        <v>1</v>
      </c>
      <c r="K7" s="594">
        <v>2</v>
      </c>
      <c r="L7" s="578">
        <f>K7/J7</f>
        <v>2</v>
      </c>
    </row>
    <row r="8" spans="1:14" s="19" customFormat="1" ht="20.100000000000001" customHeight="1">
      <c r="A8" s="581"/>
      <c r="B8" s="581"/>
      <c r="C8" s="581"/>
      <c r="D8" s="581"/>
      <c r="E8" s="593"/>
      <c r="F8" s="593"/>
      <c r="G8" s="150"/>
      <c r="H8" s="606"/>
      <c r="I8" s="607"/>
      <c r="J8" s="595"/>
      <c r="K8" s="594"/>
      <c r="L8" s="579"/>
    </row>
    <row r="9" spans="1:14" s="19" customFormat="1" ht="20.100000000000001" customHeight="1">
      <c r="A9" s="581" t="s">
        <v>111</v>
      </c>
      <c r="B9" s="581" t="s">
        <v>321</v>
      </c>
      <c r="C9" s="581" t="s">
        <v>157</v>
      </c>
      <c r="D9" s="581" t="s">
        <v>158</v>
      </c>
      <c r="E9" s="593">
        <v>37240</v>
      </c>
      <c r="F9" s="593">
        <v>38335</v>
      </c>
      <c r="G9" s="151"/>
      <c r="H9" s="604"/>
      <c r="I9" s="605"/>
      <c r="J9" s="595">
        <v>1</v>
      </c>
      <c r="K9" s="594">
        <v>2</v>
      </c>
      <c r="L9" s="578">
        <f>K9/J9</f>
        <v>2</v>
      </c>
      <c r="N9" s="277"/>
    </row>
    <row r="10" spans="1:14" s="19" customFormat="1" ht="20.100000000000001" customHeight="1">
      <c r="A10" s="581"/>
      <c r="B10" s="581"/>
      <c r="C10" s="581"/>
      <c r="D10" s="581"/>
      <c r="E10" s="593"/>
      <c r="F10" s="593"/>
      <c r="G10" s="150"/>
      <c r="H10" s="606"/>
      <c r="I10" s="607"/>
      <c r="J10" s="595"/>
      <c r="K10" s="594"/>
      <c r="L10" s="579"/>
    </row>
    <row r="11" spans="1:14" s="19" customFormat="1" ht="20.100000000000001" customHeight="1">
      <c r="A11" s="296"/>
      <c r="B11" s="296"/>
      <c r="C11" s="296"/>
      <c r="D11" s="296"/>
      <c r="E11" s="297"/>
      <c r="F11" s="297"/>
      <c r="G11" s="150"/>
      <c r="H11" s="298"/>
      <c r="I11" s="298"/>
      <c r="J11" s="245"/>
      <c r="K11" s="305" t="s">
        <v>27</v>
      </c>
      <c r="L11" s="305">
        <f>SUM(L5:L10)</f>
        <v>6</v>
      </c>
    </row>
    <row r="12" spans="1:14" s="19" customFormat="1" ht="20.100000000000001" customHeight="1">
      <c r="A12" s="269"/>
      <c r="B12" s="270"/>
      <c r="C12" s="270"/>
      <c r="D12" s="270"/>
      <c r="E12" s="273"/>
      <c r="F12" s="273"/>
      <c r="G12" s="275"/>
      <c r="H12" s="270"/>
      <c r="I12" s="270"/>
      <c r="J12" s="270"/>
      <c r="K12" s="270"/>
      <c r="L12" s="276"/>
    </row>
    <row r="13" spans="1:14" s="19" customFormat="1" ht="20.100000000000001" customHeight="1">
      <c r="A13" s="279" t="s">
        <v>326</v>
      </c>
      <c r="B13" s="271"/>
      <c r="C13" s="271"/>
      <c r="D13" s="271"/>
      <c r="E13" s="272"/>
      <c r="F13" s="272"/>
      <c r="G13" s="274"/>
      <c r="H13" s="271"/>
      <c r="I13" s="271"/>
      <c r="J13" s="271"/>
      <c r="K13" s="271"/>
      <c r="L13" s="278"/>
    </row>
    <row r="14" spans="1:14" s="19" customFormat="1" ht="20.100000000000001" customHeight="1">
      <c r="A14" s="596" t="s">
        <v>32</v>
      </c>
      <c r="B14" s="598" t="s">
        <v>335</v>
      </c>
      <c r="C14" s="598" t="s">
        <v>110</v>
      </c>
      <c r="D14" s="598" t="s">
        <v>334</v>
      </c>
      <c r="E14" s="596" t="s">
        <v>327</v>
      </c>
      <c r="F14" s="596" t="s">
        <v>328</v>
      </c>
      <c r="G14" s="130" t="s">
        <v>329</v>
      </c>
      <c r="H14" s="608" t="s">
        <v>332</v>
      </c>
      <c r="I14" s="609"/>
      <c r="J14" s="616" t="s">
        <v>331</v>
      </c>
      <c r="K14" s="618" t="s">
        <v>209</v>
      </c>
      <c r="L14" s="620" t="s">
        <v>113</v>
      </c>
    </row>
    <row r="15" spans="1:14" s="19" customFormat="1" ht="20.100000000000001" customHeight="1">
      <c r="A15" s="597"/>
      <c r="B15" s="599"/>
      <c r="C15" s="599"/>
      <c r="D15" s="597"/>
      <c r="E15" s="597"/>
      <c r="F15" s="597"/>
      <c r="G15" s="130" t="s">
        <v>330</v>
      </c>
      <c r="H15" s="610"/>
      <c r="I15" s="611"/>
      <c r="J15" s="617"/>
      <c r="K15" s="619"/>
      <c r="L15" s="621"/>
    </row>
    <row r="16" spans="1:14" s="19" customFormat="1" ht="20.100000000000001" customHeight="1">
      <c r="A16" s="578" t="s">
        <v>111</v>
      </c>
      <c r="B16" s="580"/>
      <c r="C16" s="581" t="s">
        <v>157</v>
      </c>
      <c r="D16" s="580" t="s">
        <v>336</v>
      </c>
      <c r="E16" s="582">
        <v>38460</v>
      </c>
      <c r="F16" s="584">
        <v>41381</v>
      </c>
      <c r="G16" s="150">
        <v>3</v>
      </c>
      <c r="H16" s="612">
        <v>1</v>
      </c>
      <c r="I16" s="613"/>
      <c r="J16" s="574"/>
      <c r="K16" s="576">
        <v>0.5</v>
      </c>
      <c r="L16" s="578">
        <f>K16*H16</f>
        <v>0.5</v>
      </c>
    </row>
    <row r="17" spans="1:12" s="19" customFormat="1" ht="20.100000000000001" customHeight="1">
      <c r="A17" s="579"/>
      <c r="B17" s="579"/>
      <c r="C17" s="581"/>
      <c r="D17" s="579"/>
      <c r="E17" s="583"/>
      <c r="F17" s="585"/>
      <c r="G17" s="280">
        <v>20</v>
      </c>
      <c r="H17" s="614"/>
      <c r="I17" s="615"/>
      <c r="J17" s="575"/>
      <c r="K17" s="577"/>
      <c r="L17" s="579"/>
    </row>
    <row r="18" spans="1:12" s="19" customFormat="1" ht="20.100000000000001" customHeight="1">
      <c r="A18" s="578" t="s">
        <v>111</v>
      </c>
      <c r="B18" s="580"/>
      <c r="C18" s="581" t="s">
        <v>157</v>
      </c>
      <c r="D18" s="580" t="s">
        <v>340</v>
      </c>
      <c r="E18" s="582">
        <v>39190</v>
      </c>
      <c r="F18" s="584">
        <v>41381</v>
      </c>
      <c r="G18" s="150">
        <v>3</v>
      </c>
      <c r="H18" s="612">
        <v>1</v>
      </c>
      <c r="I18" s="613"/>
      <c r="J18" s="574"/>
      <c r="K18" s="576">
        <v>0.5</v>
      </c>
      <c r="L18" s="578">
        <f>K18*H18</f>
        <v>0.5</v>
      </c>
    </row>
    <row r="19" spans="1:12" s="19" customFormat="1" ht="20.100000000000001" customHeight="1">
      <c r="A19" s="579"/>
      <c r="B19" s="579"/>
      <c r="C19" s="581"/>
      <c r="D19" s="579"/>
      <c r="E19" s="583"/>
      <c r="F19" s="585"/>
      <c r="G19" s="280">
        <v>10</v>
      </c>
      <c r="H19" s="614"/>
      <c r="I19" s="615"/>
      <c r="J19" s="575"/>
      <c r="K19" s="577"/>
      <c r="L19" s="579"/>
    </row>
    <row r="20" spans="1:12" s="19" customFormat="1" ht="20.100000000000001" customHeight="1">
      <c r="A20" s="299"/>
      <c r="B20" s="299"/>
      <c r="C20" s="295"/>
      <c r="D20" s="299"/>
      <c r="E20" s="300"/>
      <c r="F20" s="301"/>
      <c r="G20" s="280"/>
      <c r="H20" s="302"/>
      <c r="I20" s="303"/>
      <c r="J20" s="304"/>
      <c r="K20" s="305" t="s">
        <v>27</v>
      </c>
      <c r="L20" s="306">
        <f>SUM(L16:L19)</f>
        <v>1</v>
      </c>
    </row>
    <row r="21" spans="1:12" s="19" customFormat="1" ht="20.100000000000001" customHeight="1">
      <c r="A21" s="596" t="s">
        <v>32</v>
      </c>
      <c r="B21" s="598" t="s">
        <v>210</v>
      </c>
      <c r="C21" s="596" t="s">
        <v>110</v>
      </c>
      <c r="D21" s="598" t="s">
        <v>337</v>
      </c>
      <c r="E21" s="596" t="s">
        <v>208</v>
      </c>
      <c r="F21" s="598" t="s">
        <v>339</v>
      </c>
      <c r="G21" s="130" t="s">
        <v>329</v>
      </c>
      <c r="H21" s="626" t="s">
        <v>332</v>
      </c>
      <c r="I21" s="616" t="s">
        <v>341</v>
      </c>
      <c r="J21" s="618" t="s">
        <v>343</v>
      </c>
      <c r="K21" s="624" t="s">
        <v>209</v>
      </c>
      <c r="L21" s="620" t="s">
        <v>113</v>
      </c>
    </row>
    <row r="22" spans="1:12" s="19" customFormat="1" ht="20.100000000000001" customHeight="1">
      <c r="A22" s="597"/>
      <c r="B22" s="599"/>
      <c r="C22" s="597"/>
      <c r="D22" s="597"/>
      <c r="E22" s="597"/>
      <c r="F22" s="597"/>
      <c r="G22" s="130" t="s">
        <v>330</v>
      </c>
      <c r="H22" s="627"/>
      <c r="I22" s="617"/>
      <c r="J22" s="619"/>
      <c r="K22" s="625"/>
      <c r="L22" s="621"/>
    </row>
    <row r="23" spans="1:12" s="19" customFormat="1" ht="20.100000000000001" customHeight="1">
      <c r="A23" s="578" t="s">
        <v>112</v>
      </c>
      <c r="B23" s="580"/>
      <c r="C23" s="581" t="s">
        <v>157</v>
      </c>
      <c r="D23" s="580" t="s">
        <v>338</v>
      </c>
      <c r="E23" s="582">
        <v>40100</v>
      </c>
      <c r="F23" s="584">
        <v>41381</v>
      </c>
      <c r="G23" s="150">
        <v>5</v>
      </c>
      <c r="H23" s="612">
        <v>1</v>
      </c>
      <c r="I23" s="622">
        <v>1</v>
      </c>
      <c r="J23" s="574">
        <v>0.5</v>
      </c>
      <c r="K23" s="576">
        <v>0.3</v>
      </c>
      <c r="L23" s="578">
        <f>K23*H23*J23</f>
        <v>0.15</v>
      </c>
    </row>
    <row r="24" spans="1:12" s="19" customFormat="1" ht="20.100000000000001" customHeight="1">
      <c r="A24" s="579"/>
      <c r="B24" s="579"/>
      <c r="C24" s="581"/>
      <c r="D24" s="579"/>
      <c r="E24" s="583"/>
      <c r="F24" s="585"/>
      <c r="G24" s="280">
        <v>10</v>
      </c>
      <c r="H24" s="614"/>
      <c r="I24" s="623"/>
      <c r="J24" s="575"/>
      <c r="K24" s="577"/>
      <c r="L24" s="579"/>
    </row>
    <row r="25" spans="1:12" s="19" customFormat="1" ht="20.100000000000001" customHeight="1">
      <c r="A25" s="578" t="s">
        <v>112</v>
      </c>
      <c r="B25" s="580"/>
      <c r="C25" s="581" t="s">
        <v>157</v>
      </c>
      <c r="D25" s="580" t="s">
        <v>338</v>
      </c>
      <c r="E25" s="582">
        <v>40100</v>
      </c>
      <c r="F25" s="584">
        <v>41381</v>
      </c>
      <c r="G25" s="150">
        <v>5</v>
      </c>
      <c r="H25" s="612">
        <v>1</v>
      </c>
      <c r="I25" s="622">
        <v>1</v>
      </c>
      <c r="J25" s="574">
        <v>0.5</v>
      </c>
      <c r="K25" s="576">
        <v>0.3</v>
      </c>
      <c r="L25" s="578">
        <f>K25*H25*J25</f>
        <v>0.15</v>
      </c>
    </row>
    <row r="26" spans="1:12" s="19" customFormat="1" ht="20.100000000000001" customHeight="1">
      <c r="A26" s="579"/>
      <c r="B26" s="579"/>
      <c r="C26" s="581"/>
      <c r="D26" s="579"/>
      <c r="E26" s="583"/>
      <c r="F26" s="585"/>
      <c r="G26" s="280">
        <v>10</v>
      </c>
      <c r="H26" s="614"/>
      <c r="I26" s="623"/>
      <c r="J26" s="575"/>
      <c r="K26" s="577"/>
      <c r="L26" s="579"/>
    </row>
    <row r="27" spans="1:12" ht="20.100000000000001" customHeight="1">
      <c r="A27" s="73"/>
      <c r="B27" s="45"/>
      <c r="C27" s="45"/>
      <c r="D27" s="45"/>
      <c r="E27" s="129"/>
      <c r="F27" s="129"/>
      <c r="G27" s="129"/>
      <c r="H27" s="129"/>
      <c r="I27" s="73"/>
      <c r="J27" s="73"/>
      <c r="K27" s="305" t="s">
        <v>27</v>
      </c>
      <c r="L27" s="305">
        <f>SUM(L23:L26)</f>
        <v>0.3</v>
      </c>
    </row>
    <row r="28" spans="1:12" ht="8.25" customHeight="1">
      <c r="A28" s="26"/>
      <c r="B28" s="24"/>
    </row>
    <row r="29" spans="1:12">
      <c r="A29" s="14" t="s">
        <v>383</v>
      </c>
    </row>
    <row r="30" spans="1:12">
      <c r="A30" s="14" t="s">
        <v>215</v>
      </c>
    </row>
    <row r="31" spans="1:12">
      <c r="A31" s="14" t="s">
        <v>216</v>
      </c>
    </row>
    <row r="32" spans="1:12">
      <c r="A32" s="14" t="s">
        <v>323</v>
      </c>
    </row>
    <row r="33" spans="1:9">
      <c r="A33" s="141" t="s">
        <v>390</v>
      </c>
      <c r="B33" s="141"/>
      <c r="C33" s="141"/>
      <c r="D33" s="141"/>
      <c r="E33" s="141"/>
      <c r="F33" s="141"/>
      <c r="G33" s="141"/>
      <c r="H33" s="141"/>
      <c r="I33" s="141"/>
    </row>
    <row r="34" spans="1:9">
      <c r="A34" s="141" t="s">
        <v>211</v>
      </c>
      <c r="B34" s="141"/>
      <c r="C34" s="141"/>
      <c r="D34" s="141"/>
      <c r="E34" s="141"/>
      <c r="F34" s="141"/>
      <c r="G34" s="141"/>
      <c r="H34" s="141"/>
      <c r="I34" s="141"/>
    </row>
  </sheetData>
  <mergeCells count="103">
    <mergeCell ref="F25:F26"/>
    <mergeCell ref="H25:H26"/>
    <mergeCell ref="I25:I26"/>
    <mergeCell ref="J25:J26"/>
    <mergeCell ref="K25:K26"/>
    <mergeCell ref="L21:L22"/>
    <mergeCell ref="H23:H24"/>
    <mergeCell ref="I23:I24"/>
    <mergeCell ref="J23:J24"/>
    <mergeCell ref="K23:K24"/>
    <mergeCell ref="L25:L26"/>
    <mergeCell ref="L23:L24"/>
    <mergeCell ref="A25:A26"/>
    <mergeCell ref="B25:B26"/>
    <mergeCell ref="C25:C26"/>
    <mergeCell ref="D25:D26"/>
    <mergeCell ref="E25:E26"/>
    <mergeCell ref="E23:E24"/>
    <mergeCell ref="A23:A24"/>
    <mergeCell ref="B23:B24"/>
    <mergeCell ref="C23:C24"/>
    <mergeCell ref="D23:D24"/>
    <mergeCell ref="H18:I19"/>
    <mergeCell ref="F23:F24"/>
    <mergeCell ref="J18:J19"/>
    <mergeCell ref="K18:K19"/>
    <mergeCell ref="F21:F22"/>
    <mergeCell ref="L18:L19"/>
    <mergeCell ref="H21:H22"/>
    <mergeCell ref="I21:I22"/>
    <mergeCell ref="J21:J22"/>
    <mergeCell ref="K21:K22"/>
    <mergeCell ref="A21:A22"/>
    <mergeCell ref="B21:B22"/>
    <mergeCell ref="C21:C22"/>
    <mergeCell ref="D21:D22"/>
    <mergeCell ref="E21:E22"/>
    <mergeCell ref="H16:I17"/>
    <mergeCell ref="J16:J17"/>
    <mergeCell ref="K16:K17"/>
    <mergeCell ref="L16:L17"/>
    <mergeCell ref="A18:A19"/>
    <mergeCell ref="B18:B19"/>
    <mergeCell ref="C18:C19"/>
    <mergeCell ref="D18:D19"/>
    <mergeCell ref="E18:E19"/>
    <mergeCell ref="F18:F19"/>
    <mergeCell ref="H14:I15"/>
    <mergeCell ref="J14:J15"/>
    <mergeCell ref="K14:K15"/>
    <mergeCell ref="L14:L15"/>
    <mergeCell ref="A16:A17"/>
    <mergeCell ref="B16:B17"/>
    <mergeCell ref="C16:C17"/>
    <mergeCell ref="D16:D17"/>
    <mergeCell ref="E16:E17"/>
    <mergeCell ref="F16:F17"/>
    <mergeCell ref="H9:I10"/>
    <mergeCell ref="J9:J10"/>
    <mergeCell ref="K9:K10"/>
    <mergeCell ref="L9:L10"/>
    <mergeCell ref="A14:A15"/>
    <mergeCell ref="B14:B15"/>
    <mergeCell ref="C14:C15"/>
    <mergeCell ref="D14:D15"/>
    <mergeCell ref="E14:E15"/>
    <mergeCell ref="F14:F15"/>
    <mergeCell ref="H7:I8"/>
    <mergeCell ref="J7:J8"/>
    <mergeCell ref="K7:K8"/>
    <mergeCell ref="L7:L8"/>
    <mergeCell ref="A9:A10"/>
    <mergeCell ref="B9:B10"/>
    <mergeCell ref="C9:C10"/>
    <mergeCell ref="D9:D10"/>
    <mergeCell ref="E9:E10"/>
    <mergeCell ref="F9:F10"/>
    <mergeCell ref="H5:I6"/>
    <mergeCell ref="J5:J6"/>
    <mergeCell ref="K5:K6"/>
    <mergeCell ref="L5:L6"/>
    <mergeCell ref="A7:A8"/>
    <mergeCell ref="B7:B8"/>
    <mergeCell ref="C7:C8"/>
    <mergeCell ref="D7:D8"/>
    <mergeCell ref="E7:E8"/>
    <mergeCell ref="F7:F8"/>
    <mergeCell ref="A5:A6"/>
    <mergeCell ref="B5:B6"/>
    <mergeCell ref="C5:C6"/>
    <mergeCell ref="D5:D6"/>
    <mergeCell ref="E5:E6"/>
    <mergeCell ref="F5:F6"/>
    <mergeCell ref="A1:L1"/>
    <mergeCell ref="A3:A4"/>
    <mergeCell ref="B3:B4"/>
    <mergeCell ref="C3:C4"/>
    <mergeCell ref="D3:D4"/>
    <mergeCell ref="E3:F4"/>
    <mergeCell ref="H3:I4"/>
    <mergeCell ref="J3:J4"/>
    <mergeCell ref="K3:K4"/>
    <mergeCell ref="L3:L4"/>
  </mergeCells>
  <phoneticPr fontId="11" type="noConversion"/>
  <printOptions horizontalCentered="1"/>
  <pageMargins left="0.74803149606299213" right="0.74803149606299213" top="0.56000000000000005" bottom="0.56000000000000005" header="0.51181102362204722" footer="0.51181102362204722"/>
  <pageSetup paperSize="9" scale="86" orientation="landscape" horizontalDpi="300" verticalDpi="300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G13"/>
  <sheetViews>
    <sheetView zoomScaleNormal="100" zoomScaleSheetLayoutView="100" workbookViewId="0">
      <selection activeCell="G34" sqref="G34"/>
    </sheetView>
  </sheetViews>
  <sheetFormatPr defaultRowHeight="13.5"/>
  <cols>
    <col min="1" max="1" width="7.33203125" style="15" customWidth="1"/>
    <col min="2" max="2" width="13.5546875" style="15" customWidth="1"/>
    <col min="3" max="3" width="17.5546875" style="15" customWidth="1"/>
    <col min="4" max="4" width="14.77734375" style="15" customWidth="1"/>
    <col min="5" max="5" width="14.88671875" style="15" customWidth="1"/>
    <col min="6" max="6" width="11.77734375" style="15" customWidth="1"/>
    <col min="7" max="7" width="31.77734375" style="15" customWidth="1"/>
    <col min="8" max="16384" width="8.88671875" style="15"/>
  </cols>
  <sheetData>
    <row r="1" spans="1:7" ht="19.5" thickBot="1">
      <c r="A1" s="633" t="s">
        <v>360</v>
      </c>
      <c r="B1" s="633"/>
      <c r="C1" s="633"/>
      <c r="D1" s="633"/>
      <c r="E1" s="633"/>
      <c r="F1" s="633"/>
      <c r="G1" s="633"/>
    </row>
    <row r="2" spans="1:7" ht="24.95" customHeight="1">
      <c r="A2" s="628"/>
      <c r="B2" s="630" t="s">
        <v>104</v>
      </c>
      <c r="C2" s="631"/>
      <c r="D2" s="631"/>
      <c r="E2" s="631"/>
      <c r="F2" s="631"/>
      <c r="G2" s="632"/>
    </row>
    <row r="3" spans="1:7" ht="24.95" customHeight="1">
      <c r="A3" s="628"/>
      <c r="B3" s="47" t="s">
        <v>103</v>
      </c>
      <c r="C3" s="46" t="s">
        <v>106</v>
      </c>
      <c r="D3" s="46" t="s">
        <v>107</v>
      </c>
      <c r="E3" s="46" t="s">
        <v>105</v>
      </c>
      <c r="F3" s="34" t="s">
        <v>98</v>
      </c>
      <c r="G3" s="41" t="s">
        <v>178</v>
      </c>
    </row>
    <row r="4" spans="1:7" ht="24.95" customHeight="1">
      <c r="A4" s="628"/>
      <c r="B4" s="48"/>
      <c r="C4" s="30"/>
      <c r="D4" s="30"/>
      <c r="E4" s="21"/>
      <c r="F4" s="21"/>
      <c r="G4" s="55" t="s">
        <v>344</v>
      </c>
    </row>
    <row r="5" spans="1:7" ht="24.95" customHeight="1">
      <c r="A5" s="628"/>
      <c r="B5" s="48"/>
      <c r="C5" s="30"/>
      <c r="D5" s="30"/>
      <c r="E5" s="21"/>
      <c r="F5" s="21"/>
      <c r="G5" s="55"/>
    </row>
    <row r="6" spans="1:7" ht="24.95" customHeight="1">
      <c r="A6" s="628"/>
      <c r="B6" s="48"/>
      <c r="C6" s="30"/>
      <c r="D6" s="30"/>
      <c r="E6" s="22"/>
      <c r="F6" s="21"/>
      <c r="G6" s="55"/>
    </row>
    <row r="7" spans="1:7" ht="24.95" customHeight="1">
      <c r="A7" s="628"/>
      <c r="B7" s="48"/>
      <c r="C7" s="30"/>
      <c r="D7" s="30"/>
      <c r="E7" s="22"/>
      <c r="F7" s="21"/>
      <c r="G7" s="55"/>
    </row>
    <row r="8" spans="1:7" ht="24.95" customHeight="1">
      <c r="A8" s="628"/>
      <c r="B8" s="48"/>
      <c r="C8" s="30"/>
      <c r="D8" s="30"/>
      <c r="E8" s="22"/>
      <c r="F8" s="21"/>
      <c r="G8" s="55"/>
    </row>
    <row r="9" spans="1:7" ht="24.95" customHeight="1">
      <c r="A9" s="628"/>
      <c r="B9" s="48"/>
      <c r="C9" s="30"/>
      <c r="D9" s="30"/>
      <c r="E9" s="22"/>
      <c r="F9" s="21"/>
      <c r="G9" s="55"/>
    </row>
    <row r="10" spans="1:7" ht="24.95" customHeight="1">
      <c r="A10" s="628"/>
      <c r="B10" s="48"/>
      <c r="C10" s="30"/>
      <c r="D10" s="30"/>
      <c r="E10" s="22"/>
      <c r="F10" s="21"/>
      <c r="G10" s="55"/>
    </row>
    <row r="11" spans="1:7" ht="24.95" customHeight="1" thickBot="1">
      <c r="A11" s="629"/>
      <c r="B11" s="50" t="s">
        <v>94</v>
      </c>
      <c r="C11" s="51"/>
      <c r="D11" s="51"/>
      <c r="E11" s="51"/>
      <c r="F11" s="56"/>
      <c r="G11" s="57"/>
    </row>
    <row r="12" spans="1:7">
      <c r="A12" s="217" t="s">
        <v>345</v>
      </c>
      <c r="B12" s="217"/>
      <c r="C12" s="217"/>
      <c r="D12" s="217"/>
      <c r="E12" s="217"/>
      <c r="F12" s="217"/>
      <c r="G12" s="218"/>
    </row>
    <row r="13" spans="1:7">
      <c r="A13" s="634"/>
      <c r="B13" s="634"/>
      <c r="C13" s="634"/>
      <c r="D13" s="634"/>
      <c r="E13" s="634"/>
    </row>
  </sheetData>
  <mergeCells count="4">
    <mergeCell ref="A2:A11"/>
    <mergeCell ref="B2:G2"/>
    <mergeCell ref="A1:G1"/>
    <mergeCell ref="A13:E13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H27"/>
  <sheetViews>
    <sheetView zoomScaleNormal="100" zoomScaleSheetLayoutView="90" workbookViewId="0">
      <selection activeCell="I11" sqref="I11"/>
    </sheetView>
  </sheetViews>
  <sheetFormatPr defaultRowHeight="13.5"/>
  <cols>
    <col min="1" max="1" width="11.6640625" style="14" customWidth="1"/>
    <col min="2" max="2" width="23.109375" style="14" customWidth="1"/>
    <col min="3" max="7" width="12.77734375" style="14" customWidth="1"/>
    <col min="8" max="8" width="10.33203125" style="14" customWidth="1"/>
    <col min="9" max="9" width="8.88671875" style="14"/>
    <col min="10" max="10" width="11.6640625" style="14" bestFit="1" customWidth="1"/>
    <col min="11" max="16384" width="8.88671875" style="14"/>
  </cols>
  <sheetData>
    <row r="1" spans="1:8" ht="21.75" customHeight="1" thickBot="1">
      <c r="A1" s="633" t="s">
        <v>102</v>
      </c>
      <c r="B1" s="633"/>
      <c r="C1" s="633"/>
      <c r="D1" s="633"/>
      <c r="E1" s="633"/>
      <c r="F1" s="633"/>
      <c r="G1" s="633"/>
      <c r="H1" s="633"/>
    </row>
    <row r="2" spans="1:8" ht="18" customHeight="1">
      <c r="A2" s="642" t="s">
        <v>43</v>
      </c>
      <c r="B2" s="644" t="s">
        <v>46</v>
      </c>
      <c r="C2" s="479" t="s">
        <v>260</v>
      </c>
      <c r="D2" s="479"/>
      <c r="E2" s="479"/>
      <c r="F2" s="479"/>
      <c r="G2" s="479"/>
      <c r="H2" s="638" t="s">
        <v>47</v>
      </c>
    </row>
    <row r="3" spans="1:8" ht="27.75" thickBot="1">
      <c r="A3" s="643"/>
      <c r="B3" s="645"/>
      <c r="C3" s="234" t="s">
        <v>268</v>
      </c>
      <c r="D3" s="235" t="s">
        <v>269</v>
      </c>
      <c r="E3" s="67" t="s">
        <v>270</v>
      </c>
      <c r="F3" s="67" t="s">
        <v>271</v>
      </c>
      <c r="G3" s="66" t="s">
        <v>45</v>
      </c>
      <c r="H3" s="639"/>
    </row>
    <row r="4" spans="1:8" ht="20.100000000000001" customHeight="1">
      <c r="A4" s="640" t="s">
        <v>346</v>
      </c>
      <c r="B4" s="60"/>
      <c r="C4" s="53">
        <v>5</v>
      </c>
      <c r="D4" s="53">
        <v>2.5</v>
      </c>
      <c r="E4" s="53">
        <v>2</v>
      </c>
      <c r="F4" s="53">
        <v>1</v>
      </c>
      <c r="G4" s="53">
        <v>0</v>
      </c>
      <c r="H4" s="54"/>
    </row>
    <row r="5" spans="1:8" ht="20.100000000000001" customHeight="1">
      <c r="A5" s="641"/>
      <c r="B5" s="40"/>
      <c r="C5" s="30"/>
      <c r="D5" s="30"/>
      <c r="E5" s="30"/>
      <c r="F5" s="30"/>
      <c r="G5" s="30"/>
      <c r="H5" s="49"/>
    </row>
    <row r="6" spans="1:8" ht="20.100000000000001" customHeight="1">
      <c r="A6" s="641"/>
      <c r="B6" s="40"/>
      <c r="C6" s="30"/>
      <c r="D6" s="30"/>
      <c r="E6" s="30"/>
      <c r="F6" s="30"/>
      <c r="G6" s="30"/>
      <c r="H6" s="49"/>
    </row>
    <row r="7" spans="1:8" ht="20.100000000000001" customHeight="1">
      <c r="A7" s="641"/>
      <c r="B7" s="40"/>
      <c r="C7" s="30"/>
      <c r="D7" s="30"/>
      <c r="E7" s="30"/>
      <c r="F7" s="30"/>
      <c r="G7" s="30"/>
      <c r="H7" s="49"/>
    </row>
    <row r="8" spans="1:8" ht="20.100000000000001" customHeight="1">
      <c r="A8" s="641"/>
      <c r="B8" s="40"/>
      <c r="C8" s="30"/>
      <c r="D8" s="30"/>
      <c r="E8" s="30"/>
      <c r="F8" s="30"/>
      <c r="G8" s="30"/>
      <c r="H8" s="49"/>
    </row>
    <row r="9" spans="1:8" ht="38.25" customHeight="1" thickBot="1">
      <c r="A9" s="641"/>
      <c r="B9" s="65" t="s">
        <v>42</v>
      </c>
      <c r="C9" s="236"/>
      <c r="D9" s="238"/>
      <c r="E9" s="239"/>
      <c r="F9" s="239"/>
      <c r="G9" s="237"/>
      <c r="H9" s="131">
        <v>3</v>
      </c>
    </row>
    <row r="10" spans="1:8" ht="27.75" thickBot="1">
      <c r="A10" s="635" t="s">
        <v>347</v>
      </c>
      <c r="B10" s="68" t="s">
        <v>41</v>
      </c>
      <c r="C10" s="69" t="s">
        <v>51</v>
      </c>
      <c r="D10" s="69"/>
      <c r="E10" s="70" t="s">
        <v>25</v>
      </c>
      <c r="F10" s="70"/>
      <c r="G10" s="70" t="s">
        <v>48</v>
      </c>
      <c r="H10" s="71"/>
    </row>
    <row r="11" spans="1:8" ht="16.5" customHeight="1">
      <c r="A11" s="636"/>
      <c r="B11" s="52"/>
      <c r="C11" s="53"/>
      <c r="D11" s="53"/>
      <c r="E11" s="53"/>
      <c r="F11" s="53"/>
      <c r="G11" s="42" t="s">
        <v>49</v>
      </c>
      <c r="H11" s="54"/>
    </row>
    <row r="12" spans="1:8" ht="16.5" customHeight="1">
      <c r="A12" s="636"/>
      <c r="B12" s="48"/>
      <c r="C12" s="30"/>
      <c r="D12" s="30"/>
      <c r="E12" s="30"/>
      <c r="F12" s="30"/>
      <c r="G12" s="21"/>
      <c r="H12" s="49"/>
    </row>
    <row r="13" spans="1:8" ht="16.5" customHeight="1">
      <c r="A13" s="636"/>
      <c r="B13" s="48"/>
      <c r="C13" s="30"/>
      <c r="D13" s="30"/>
      <c r="E13" s="30"/>
      <c r="F13" s="30"/>
      <c r="G13" s="25"/>
      <c r="H13" s="49"/>
    </row>
    <row r="14" spans="1:8" ht="16.5" customHeight="1">
      <c r="A14" s="636"/>
      <c r="B14" s="48"/>
      <c r="C14" s="30"/>
      <c r="D14" s="30"/>
      <c r="E14" s="30"/>
      <c r="F14" s="30"/>
      <c r="G14" s="22"/>
      <c r="H14" s="49"/>
    </row>
    <row r="15" spans="1:8" ht="16.5" customHeight="1">
      <c r="A15" s="636"/>
      <c r="B15" s="48"/>
      <c r="C15" s="30"/>
      <c r="D15" s="30"/>
      <c r="E15" s="30"/>
      <c r="F15" s="30"/>
      <c r="G15" s="22"/>
      <c r="H15" s="49"/>
    </row>
    <row r="16" spans="1:8" ht="16.5" customHeight="1">
      <c r="A16" s="636"/>
      <c r="B16" s="48"/>
      <c r="C16" s="30"/>
      <c r="D16" s="30"/>
      <c r="E16" s="30"/>
      <c r="F16" s="30"/>
      <c r="G16" s="22" t="s">
        <v>50</v>
      </c>
      <c r="H16" s="49"/>
    </row>
    <row r="17" spans="1:8" ht="16.5" customHeight="1">
      <c r="A17" s="636"/>
      <c r="B17" s="48"/>
      <c r="C17" s="30"/>
      <c r="D17" s="30"/>
      <c r="E17" s="30"/>
      <c r="F17" s="30"/>
      <c r="G17" s="22"/>
      <c r="H17" s="49"/>
    </row>
    <row r="18" spans="1:8" ht="16.5" customHeight="1">
      <c r="A18" s="636"/>
      <c r="B18" s="48"/>
      <c r="C18" s="30"/>
      <c r="D18" s="30"/>
      <c r="E18" s="30"/>
      <c r="F18" s="30"/>
      <c r="G18" s="22"/>
      <c r="H18" s="49"/>
    </row>
    <row r="19" spans="1:8" ht="16.5" customHeight="1">
      <c r="A19" s="636"/>
      <c r="B19" s="48"/>
      <c r="C19" s="30"/>
      <c r="D19" s="30"/>
      <c r="E19" s="30"/>
      <c r="F19" s="30"/>
      <c r="G19" s="22"/>
      <c r="H19" s="49"/>
    </row>
    <row r="20" spans="1:8" ht="16.5" customHeight="1">
      <c r="A20" s="636"/>
      <c r="B20" s="48"/>
      <c r="C20" s="30"/>
      <c r="D20" s="30"/>
      <c r="E20" s="30"/>
      <c r="F20" s="30"/>
      <c r="G20" s="22"/>
      <c r="H20" s="49"/>
    </row>
    <row r="21" spans="1:8" ht="16.5" customHeight="1" thickBot="1">
      <c r="A21" s="637"/>
      <c r="B21" s="50" t="s">
        <v>27</v>
      </c>
      <c r="C21" s="51"/>
      <c r="D21" s="51"/>
      <c r="E21" s="51"/>
      <c r="F21" s="51"/>
      <c r="G21" s="51"/>
      <c r="H21" s="131">
        <v>2</v>
      </c>
    </row>
    <row r="22" spans="1:8" ht="18" customHeight="1" thickBot="1">
      <c r="A22" s="61" t="s">
        <v>44</v>
      </c>
      <c r="B22" s="62"/>
      <c r="C22" s="63"/>
      <c r="D22" s="63"/>
      <c r="E22" s="63"/>
      <c r="F22" s="63"/>
      <c r="G22" s="63"/>
      <c r="H22" s="64"/>
    </row>
    <row r="23" spans="1:8" ht="15" customHeight="1"/>
    <row r="24" spans="1:8" ht="15" customHeight="1">
      <c r="A24" s="143" t="s">
        <v>101</v>
      </c>
      <c r="B24" s="143"/>
    </row>
    <row r="25" spans="1:8" ht="15" customHeight="1">
      <c r="A25" s="15" t="s">
        <v>184</v>
      </c>
      <c r="B25" s="14" t="s">
        <v>348</v>
      </c>
      <c r="C25" s="14" t="s">
        <v>272</v>
      </c>
    </row>
    <row r="26" spans="1:8" ht="15" customHeight="1">
      <c r="B26" s="14" t="s">
        <v>349</v>
      </c>
      <c r="C26" s="14" t="s">
        <v>52</v>
      </c>
    </row>
    <row r="27" spans="1:8" ht="15" customHeight="1"/>
  </sheetData>
  <mergeCells count="7">
    <mergeCell ref="A1:H1"/>
    <mergeCell ref="A10:A21"/>
    <mergeCell ref="C2:G2"/>
    <mergeCell ref="H2:H3"/>
    <mergeCell ref="A4:A9"/>
    <mergeCell ref="A2:A3"/>
    <mergeCell ref="B2:B3"/>
  </mergeCells>
  <phoneticPr fontId="11" type="noConversion"/>
  <printOptions horizontalCentered="1"/>
  <pageMargins left="0.74803149606299213" right="0.74803149606299213" top="0.82" bottom="0.56000000000000005" header="0.51181102362204722" footer="0.51181102362204722"/>
  <pageSetup paperSize="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50"/>
  </sheetPr>
  <dimension ref="A1:Q28"/>
  <sheetViews>
    <sheetView zoomScaleNormal="100" zoomScaleSheetLayoutView="100" workbookViewId="0">
      <selection activeCell="P16" sqref="P16"/>
    </sheetView>
  </sheetViews>
  <sheetFormatPr defaultRowHeight="13.5"/>
  <cols>
    <col min="1" max="1" width="2" style="15" customWidth="1"/>
    <col min="2" max="2" width="7.5546875" style="15" bestFit="1" customWidth="1"/>
    <col min="3" max="8" width="7.5546875" style="15" customWidth="1"/>
    <col min="9" max="11" width="7.5546875" style="15" bestFit="1" customWidth="1"/>
    <col min="12" max="13" width="7.5546875" style="15" customWidth="1"/>
    <col min="14" max="14" width="14.6640625" style="15" customWidth="1"/>
    <col min="15" max="15" width="22.5546875" style="15" customWidth="1"/>
    <col min="16" max="16" width="10.44140625" style="15" customWidth="1"/>
    <col min="17" max="16384" width="8.88671875" style="15"/>
  </cols>
  <sheetData>
    <row r="1" spans="1:17" ht="20.25">
      <c r="A1" s="652" t="s">
        <v>350</v>
      </c>
      <c r="B1" s="652"/>
      <c r="C1" s="652"/>
      <c r="D1" s="652"/>
      <c r="E1" s="652"/>
      <c r="F1" s="652"/>
      <c r="G1" s="652"/>
      <c r="H1" s="652"/>
      <c r="I1" s="652"/>
      <c r="J1" s="652"/>
      <c r="K1" s="652"/>
      <c r="L1" s="652"/>
      <c r="M1" s="652"/>
      <c r="N1" s="652"/>
      <c r="O1" s="652"/>
      <c r="P1" s="652"/>
    </row>
    <row r="2" spans="1:17" ht="23.25" customHeight="1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</row>
    <row r="3" spans="1:17" ht="24.75" customHeight="1">
      <c r="A3" s="659"/>
      <c r="B3" s="658" t="s">
        <v>510</v>
      </c>
      <c r="C3" s="658"/>
      <c r="D3" s="658"/>
      <c r="E3" s="658"/>
      <c r="F3" s="658"/>
      <c r="G3" s="658"/>
      <c r="H3" s="658"/>
      <c r="I3" s="658"/>
      <c r="J3" s="658"/>
      <c r="K3" s="658"/>
      <c r="L3" s="658"/>
      <c r="M3" s="658"/>
      <c r="N3" s="658"/>
      <c r="O3" s="657" t="s">
        <v>471</v>
      </c>
      <c r="P3" s="535" t="s">
        <v>472</v>
      </c>
    </row>
    <row r="4" spans="1:17" ht="29.25" customHeight="1">
      <c r="A4" s="659"/>
      <c r="B4" s="34" t="s">
        <v>473</v>
      </c>
      <c r="C4" s="34" t="s">
        <v>474</v>
      </c>
      <c r="D4" s="34" t="s">
        <v>475</v>
      </c>
      <c r="E4" s="34" t="s">
        <v>476</v>
      </c>
      <c r="F4" s="34" t="s">
        <v>477</v>
      </c>
      <c r="G4" s="34" t="s">
        <v>478</v>
      </c>
      <c r="H4" s="34" t="s">
        <v>479</v>
      </c>
      <c r="I4" s="34" t="s">
        <v>480</v>
      </c>
      <c r="J4" s="34" t="s">
        <v>481</v>
      </c>
      <c r="K4" s="34" t="s">
        <v>482</v>
      </c>
      <c r="L4" s="34" t="s">
        <v>483</v>
      </c>
      <c r="M4" s="34" t="s">
        <v>484</v>
      </c>
      <c r="N4" s="34" t="s">
        <v>485</v>
      </c>
      <c r="O4" s="535"/>
      <c r="P4" s="535"/>
    </row>
    <row r="5" spans="1:17" ht="24.95" customHeight="1">
      <c r="A5" s="283"/>
      <c r="B5" s="21">
        <v>305</v>
      </c>
      <c r="C5" s="21">
        <v>319</v>
      </c>
      <c r="D5" s="21">
        <v>323</v>
      </c>
      <c r="E5" s="21">
        <v>332</v>
      </c>
      <c r="F5" s="21">
        <v>337</v>
      </c>
      <c r="G5" s="21">
        <v>338</v>
      </c>
      <c r="H5" s="21">
        <v>341</v>
      </c>
      <c r="I5" s="21">
        <v>346</v>
      </c>
      <c r="J5" s="21">
        <v>353</v>
      </c>
      <c r="K5" s="21">
        <v>353</v>
      </c>
      <c r="L5" s="21">
        <v>350</v>
      </c>
      <c r="M5" s="21">
        <v>351</v>
      </c>
      <c r="N5" s="282">
        <f>ROUNDUP(SUM(B5:M5)/12,0)</f>
        <v>338</v>
      </c>
      <c r="O5" s="654">
        <f>N8/N5</f>
        <v>5.0295857988165681E-2</v>
      </c>
      <c r="P5" s="660">
        <f>IF(O5&gt;=4%,0.4,IF(O5&gt;=3%,0.3,IF(O5&gt;=2%,0.2,IF(O5&gt;=1%,0.1,0))))</f>
        <v>0.4</v>
      </c>
      <c r="Q5" s="15">
        <f>P5</f>
        <v>0.4</v>
      </c>
    </row>
    <row r="6" spans="1:17" ht="24.95" customHeight="1">
      <c r="A6" s="283"/>
      <c r="B6" s="653" t="s">
        <v>486</v>
      </c>
      <c r="C6" s="653"/>
      <c r="D6" s="653"/>
      <c r="E6" s="653"/>
      <c r="F6" s="653"/>
      <c r="G6" s="653"/>
      <c r="H6" s="653"/>
      <c r="I6" s="653"/>
      <c r="J6" s="653"/>
      <c r="K6" s="653"/>
      <c r="L6" s="653"/>
      <c r="M6" s="653"/>
      <c r="N6" s="653"/>
      <c r="O6" s="655"/>
      <c r="P6" s="661"/>
    </row>
    <row r="7" spans="1:17" ht="24.95" customHeight="1">
      <c r="A7" s="283"/>
      <c r="B7" s="334" t="s">
        <v>473</v>
      </c>
      <c r="C7" s="334" t="s">
        <v>474</v>
      </c>
      <c r="D7" s="334" t="s">
        <v>475</v>
      </c>
      <c r="E7" s="334" t="s">
        <v>476</v>
      </c>
      <c r="F7" s="334" t="s">
        <v>477</v>
      </c>
      <c r="G7" s="334" t="s">
        <v>478</v>
      </c>
      <c r="H7" s="334" t="s">
        <v>479</v>
      </c>
      <c r="I7" s="334" t="s">
        <v>480</v>
      </c>
      <c r="J7" s="334" t="s">
        <v>481</v>
      </c>
      <c r="K7" s="334" t="s">
        <v>482</v>
      </c>
      <c r="L7" s="334" t="s">
        <v>483</v>
      </c>
      <c r="M7" s="334" t="s">
        <v>487</v>
      </c>
      <c r="N7" s="334" t="s">
        <v>511</v>
      </c>
      <c r="O7" s="655"/>
      <c r="P7" s="661"/>
    </row>
    <row r="8" spans="1:17" ht="24.95" customHeight="1">
      <c r="A8" s="283"/>
      <c r="B8" s="21">
        <v>1</v>
      </c>
      <c r="C8" s="21">
        <v>1</v>
      </c>
      <c r="D8" s="21">
        <v>3</v>
      </c>
      <c r="E8" s="21">
        <v>1</v>
      </c>
      <c r="F8" s="21">
        <v>3</v>
      </c>
      <c r="G8" s="21">
        <v>2</v>
      </c>
      <c r="H8" s="21">
        <v>2</v>
      </c>
      <c r="I8" s="21">
        <v>0</v>
      </c>
      <c r="J8" s="21">
        <v>1</v>
      </c>
      <c r="K8" s="21">
        <v>0</v>
      </c>
      <c r="L8" s="21">
        <v>3</v>
      </c>
      <c r="M8" s="21">
        <v>0</v>
      </c>
      <c r="N8" s="282">
        <f>SUM(B8:M8)</f>
        <v>17</v>
      </c>
      <c r="O8" s="656"/>
      <c r="P8" s="662"/>
    </row>
    <row r="9" spans="1:17" ht="24.95" customHeight="1">
      <c r="A9" s="285"/>
      <c r="B9" s="330"/>
      <c r="C9" s="284"/>
      <c r="D9" s="284"/>
      <c r="E9" s="284"/>
      <c r="F9" s="284"/>
      <c r="G9" s="284"/>
    </row>
    <row r="10" spans="1:17" ht="24.95" customHeight="1">
      <c r="A10" s="285"/>
      <c r="B10" s="281" t="s">
        <v>492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</row>
    <row r="11" spans="1:17" ht="24.95" customHeight="1">
      <c r="A11" s="285"/>
      <c r="B11" s="281" t="s">
        <v>546</v>
      </c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</row>
    <row r="12" spans="1:17" ht="33" customHeight="1">
      <c r="A12" s="284"/>
      <c r="B12" s="281" t="s">
        <v>543</v>
      </c>
      <c r="O12" s="335"/>
      <c r="P12" s="336"/>
    </row>
    <row r="13" spans="1:17">
      <c r="B13" s="281" t="s">
        <v>493</v>
      </c>
      <c r="C13" s="281" t="s">
        <v>494</v>
      </c>
      <c r="D13"/>
      <c r="E13"/>
      <c r="F13"/>
      <c r="G13"/>
      <c r="H13"/>
      <c r="I13"/>
      <c r="J13"/>
      <c r="K13"/>
      <c r="L13"/>
      <c r="M13"/>
      <c r="N13"/>
      <c r="O13"/>
      <c r="P13"/>
      <c r="Q13"/>
    </row>
    <row r="14" spans="1:17">
      <c r="B14"/>
      <c r="C14" s="281" t="s">
        <v>495</v>
      </c>
      <c r="D14"/>
      <c r="E14"/>
      <c r="F14"/>
      <c r="G14"/>
      <c r="H14"/>
      <c r="I14"/>
      <c r="J14"/>
      <c r="K14"/>
      <c r="L14"/>
      <c r="M14"/>
      <c r="N14"/>
      <c r="O14"/>
      <c r="P14"/>
      <c r="Q14"/>
    </row>
    <row r="15" spans="1:17">
      <c r="C15" s="281"/>
    </row>
    <row r="16" spans="1:17">
      <c r="B16" s="14" t="s">
        <v>496</v>
      </c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</row>
    <row r="17" spans="3:10">
      <c r="C17" s="281"/>
    </row>
    <row r="18" spans="3:10">
      <c r="C18" s="281"/>
    </row>
    <row r="22" spans="3:10" ht="51" customHeight="1">
      <c r="D22" s="647" t="s">
        <v>544</v>
      </c>
      <c r="E22" s="647"/>
      <c r="F22" s="647"/>
      <c r="G22" s="647"/>
      <c r="H22" s="647"/>
      <c r="I22" s="647"/>
      <c r="J22" s="647"/>
    </row>
    <row r="23" spans="3:10">
      <c r="D23" s="373"/>
      <c r="E23" s="368"/>
      <c r="F23" s="368"/>
      <c r="G23" s="368"/>
      <c r="H23" s="368"/>
      <c r="I23" s="368"/>
      <c r="J23" s="368"/>
    </row>
    <row r="24" spans="3:10">
      <c r="D24" s="646" t="s">
        <v>542</v>
      </c>
      <c r="E24" s="646"/>
      <c r="F24" s="646"/>
      <c r="G24" s="646"/>
      <c r="H24" s="646"/>
      <c r="I24" s="646"/>
      <c r="J24" s="646"/>
    </row>
    <row r="25" spans="3:10">
      <c r="D25" s="368"/>
      <c r="E25" s="368"/>
      <c r="F25" s="368"/>
      <c r="G25" s="368"/>
      <c r="H25" s="368"/>
      <c r="I25" s="368"/>
      <c r="J25" s="368"/>
    </row>
    <row r="26" spans="3:10">
      <c r="D26" s="648" t="s">
        <v>531</v>
      </c>
      <c r="E26" s="650" t="s">
        <v>532</v>
      </c>
      <c r="F26" s="650" t="s">
        <v>533</v>
      </c>
      <c r="G26" s="369" t="s">
        <v>534</v>
      </c>
      <c r="H26" s="650" t="s">
        <v>536</v>
      </c>
      <c r="I26" s="368"/>
      <c r="J26" s="368"/>
    </row>
    <row r="27" spans="3:10">
      <c r="D27" s="649"/>
      <c r="E27" s="651"/>
      <c r="F27" s="651"/>
      <c r="G27" s="370" t="s">
        <v>535</v>
      </c>
      <c r="H27" s="651"/>
      <c r="I27" s="368"/>
      <c r="J27" s="368"/>
    </row>
    <row r="28" spans="3:10" ht="24.75" customHeight="1">
      <c r="D28" s="371" t="s">
        <v>537</v>
      </c>
      <c r="E28" s="372" t="s">
        <v>538</v>
      </c>
      <c r="F28" s="372" t="s">
        <v>539</v>
      </c>
      <c r="G28" s="372" t="s">
        <v>540</v>
      </c>
      <c r="H28" s="372" t="s">
        <v>541</v>
      </c>
      <c r="I28" s="368"/>
      <c r="J28" s="368"/>
    </row>
  </sheetData>
  <mergeCells count="14">
    <mergeCell ref="A1:P1"/>
    <mergeCell ref="B6:N6"/>
    <mergeCell ref="O5:O8"/>
    <mergeCell ref="P3:P4"/>
    <mergeCell ref="O3:O4"/>
    <mergeCell ref="B3:N3"/>
    <mergeCell ref="A3:A4"/>
    <mergeCell ref="P5:P8"/>
    <mergeCell ref="D24:J24"/>
    <mergeCell ref="D22:J22"/>
    <mergeCell ref="D26:D27"/>
    <mergeCell ref="E26:E27"/>
    <mergeCell ref="F26:F27"/>
    <mergeCell ref="H26:H27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8"/>
  </sheetPr>
  <dimension ref="B2:J15"/>
  <sheetViews>
    <sheetView zoomScaleNormal="100" zoomScaleSheetLayoutView="90" workbookViewId="0">
      <selection activeCell="B15" sqref="B15"/>
    </sheetView>
  </sheetViews>
  <sheetFormatPr defaultRowHeight="13.5"/>
  <cols>
    <col min="1" max="1" width="1.88671875" style="14" customWidth="1"/>
    <col min="2" max="2" width="13" style="14" customWidth="1"/>
    <col min="3" max="3" width="11.21875" style="14" bestFit="1" customWidth="1"/>
    <col min="4" max="4" width="12.6640625" style="14" customWidth="1"/>
    <col min="5" max="5" width="18" style="14" customWidth="1"/>
    <col min="6" max="7" width="15.44140625" style="14" customWidth="1"/>
    <col min="8" max="9" width="9.88671875" style="14" customWidth="1"/>
    <col min="10" max="10" width="9.5546875" style="14" customWidth="1"/>
    <col min="11" max="16384" width="8.88671875" style="14"/>
  </cols>
  <sheetData>
    <row r="2" spans="2:10" ht="31.5" customHeight="1">
      <c r="B2" s="534" t="s">
        <v>361</v>
      </c>
      <c r="C2" s="534"/>
      <c r="D2" s="534"/>
      <c r="E2" s="534"/>
      <c r="F2" s="534"/>
      <c r="G2" s="534"/>
      <c r="H2" s="534"/>
      <c r="I2" s="534"/>
      <c r="J2" s="534"/>
    </row>
    <row r="3" spans="2:10" ht="36" customHeight="1">
      <c r="B3" s="556" t="s">
        <v>274</v>
      </c>
      <c r="C3" s="556" t="s">
        <v>311</v>
      </c>
      <c r="D3" s="556" t="s">
        <v>276</v>
      </c>
      <c r="E3" s="556" t="s">
        <v>277</v>
      </c>
      <c r="F3" s="556" t="s">
        <v>282</v>
      </c>
      <c r="G3" s="556" t="s">
        <v>283</v>
      </c>
      <c r="H3" s="664" t="s">
        <v>278</v>
      </c>
      <c r="I3" s="665"/>
      <c r="J3" s="34" t="s">
        <v>281</v>
      </c>
    </row>
    <row r="4" spans="2:10" ht="36" customHeight="1">
      <c r="B4" s="558"/>
      <c r="C4" s="558"/>
      <c r="D4" s="558"/>
      <c r="E4" s="558"/>
      <c r="F4" s="558"/>
      <c r="G4" s="558"/>
      <c r="H4" s="59" t="s">
        <v>279</v>
      </c>
      <c r="I4" s="59" t="s">
        <v>280</v>
      </c>
      <c r="J4" s="34"/>
    </row>
    <row r="5" spans="2:10" ht="30" customHeight="1">
      <c r="B5" s="21" t="s">
        <v>18</v>
      </c>
      <c r="C5" s="25" t="s">
        <v>275</v>
      </c>
      <c r="D5" s="25"/>
      <c r="E5" s="25" t="s">
        <v>275</v>
      </c>
      <c r="F5" s="243">
        <v>6.2</v>
      </c>
      <c r="G5" s="244">
        <v>4.0000000000000001E-3</v>
      </c>
      <c r="H5" s="21">
        <v>0.5</v>
      </c>
      <c r="I5" s="39">
        <v>0.8</v>
      </c>
      <c r="J5" s="21">
        <f>H5*I5</f>
        <v>0.4</v>
      </c>
    </row>
    <row r="6" spans="2:10" ht="30" customHeight="1">
      <c r="B6" s="21"/>
      <c r="C6" s="25"/>
      <c r="D6" s="25"/>
      <c r="E6" s="25"/>
      <c r="F6" s="243"/>
      <c r="G6" s="244"/>
      <c r="H6" s="21"/>
      <c r="I6" s="39"/>
      <c r="J6" s="21"/>
    </row>
    <row r="7" spans="2:10" ht="30" customHeight="1">
      <c r="B7" s="21" t="s">
        <v>19</v>
      </c>
      <c r="C7" s="25" t="s">
        <v>275</v>
      </c>
      <c r="D7" s="25"/>
      <c r="E7" s="25" t="s">
        <v>275</v>
      </c>
      <c r="F7" s="243">
        <v>4.5</v>
      </c>
      <c r="G7" s="244">
        <v>8.0000000000000002E-3</v>
      </c>
      <c r="H7" s="21">
        <v>0.1</v>
      </c>
      <c r="I7" s="39">
        <v>0.8</v>
      </c>
      <c r="J7" s="21">
        <f>H7*I7</f>
        <v>8.0000000000000016E-2</v>
      </c>
    </row>
    <row r="8" spans="2:10" ht="30" customHeight="1">
      <c r="B8" s="21"/>
      <c r="C8" s="25"/>
      <c r="D8" s="25"/>
      <c r="E8" s="25"/>
      <c r="F8" s="243">
        <v>3.2</v>
      </c>
      <c r="G8" s="244">
        <v>3.0000000000000001E-3</v>
      </c>
      <c r="H8" s="21">
        <v>0.1</v>
      </c>
      <c r="I8" s="39">
        <v>0.5</v>
      </c>
      <c r="J8" s="21">
        <f>H8*I8</f>
        <v>0.05</v>
      </c>
    </row>
    <row r="9" spans="2:10" ht="30" customHeight="1">
      <c r="B9" s="21"/>
      <c r="C9" s="25"/>
      <c r="D9" s="25"/>
      <c r="E9" s="25"/>
      <c r="F9" s="243"/>
      <c r="G9" s="244"/>
      <c r="H9" s="21"/>
      <c r="I9" s="39"/>
      <c r="J9" s="21"/>
    </row>
    <row r="10" spans="2:10" ht="30" customHeight="1">
      <c r="B10" s="21"/>
      <c r="C10" s="25"/>
      <c r="D10" s="25"/>
      <c r="E10" s="25"/>
      <c r="F10" s="243"/>
      <c r="G10" s="244"/>
      <c r="H10" s="21"/>
      <c r="I10" s="39"/>
      <c r="J10" s="21"/>
    </row>
    <row r="11" spans="2:10" ht="30" customHeight="1">
      <c r="B11" s="21"/>
      <c r="C11" s="25"/>
      <c r="D11" s="25"/>
      <c r="E11" s="25"/>
      <c r="F11" s="243"/>
      <c r="G11" s="244"/>
      <c r="H11" s="21"/>
      <c r="I11" s="39"/>
      <c r="J11" s="21"/>
    </row>
    <row r="12" spans="2:10" ht="30" customHeight="1">
      <c r="B12" s="25"/>
      <c r="C12" s="25"/>
      <c r="D12" s="25"/>
      <c r="E12" s="25"/>
      <c r="F12" s="243"/>
      <c r="G12" s="244"/>
      <c r="H12" s="21"/>
      <c r="I12" s="39"/>
      <c r="J12" s="21"/>
    </row>
    <row r="13" spans="2:10" ht="30" customHeight="1">
      <c r="B13" s="459" t="s">
        <v>273</v>
      </c>
      <c r="C13" s="663"/>
      <c r="D13" s="460"/>
      <c r="E13" s="233"/>
      <c r="F13" s="241"/>
      <c r="G13" s="240"/>
      <c r="H13" s="233"/>
      <c r="I13" s="242"/>
      <c r="J13" s="21">
        <f>SUM(J5:J12)</f>
        <v>0.53</v>
      </c>
    </row>
    <row r="14" spans="2:10" ht="28.5" customHeight="1">
      <c r="B14" s="213" t="s">
        <v>488</v>
      </c>
      <c r="C14" s="213"/>
    </row>
    <row r="15" spans="2:10">
      <c r="J15" s="15"/>
    </row>
  </sheetData>
  <mergeCells count="9">
    <mergeCell ref="G3:G4"/>
    <mergeCell ref="B2:J2"/>
    <mergeCell ref="B13:D13"/>
    <mergeCell ref="B3:B4"/>
    <mergeCell ref="C3:C4"/>
    <mergeCell ref="D3:D4"/>
    <mergeCell ref="E3:E4"/>
    <mergeCell ref="H3:I3"/>
    <mergeCell ref="F3:F4"/>
  </mergeCells>
  <phoneticPr fontId="11" type="noConversion"/>
  <pageMargins left="0.52" right="0.34" top="1" bottom="1" header="0.5" footer="0.5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8"/>
  </sheetPr>
  <dimension ref="A1:E13"/>
  <sheetViews>
    <sheetView zoomScaleNormal="100" zoomScaleSheetLayoutView="90" workbookViewId="0">
      <selection activeCell="I11" sqref="I11"/>
    </sheetView>
  </sheetViews>
  <sheetFormatPr defaultRowHeight="13.5"/>
  <cols>
    <col min="1" max="1" width="19" style="14" customWidth="1"/>
    <col min="2" max="2" width="12.6640625" style="14" customWidth="1"/>
    <col min="3" max="3" width="15.44140625" style="14" customWidth="1"/>
    <col min="4" max="4" width="14.44140625" style="14" customWidth="1"/>
    <col min="5" max="5" width="12.6640625" style="14" customWidth="1"/>
    <col min="6" max="16384" width="8.88671875" style="14"/>
  </cols>
  <sheetData>
    <row r="1" spans="1:5" ht="18.75">
      <c r="A1" s="534" t="s">
        <v>355</v>
      </c>
      <c r="B1" s="534"/>
      <c r="C1" s="534"/>
      <c r="D1" s="534"/>
      <c r="E1" s="534"/>
    </row>
    <row r="2" spans="1:5" ht="36" customHeight="1">
      <c r="A2" s="59" t="s">
        <v>284</v>
      </c>
      <c r="B2" s="59" t="s">
        <v>290</v>
      </c>
      <c r="C2" s="59" t="s">
        <v>287</v>
      </c>
      <c r="D2" s="59" t="s">
        <v>288</v>
      </c>
      <c r="E2" s="34" t="s">
        <v>289</v>
      </c>
    </row>
    <row r="3" spans="1:5" ht="30" customHeight="1">
      <c r="A3" s="25" t="s">
        <v>286</v>
      </c>
      <c r="B3" s="25"/>
      <c r="C3" s="25"/>
      <c r="D3" s="25"/>
      <c r="E3" s="25"/>
    </row>
    <row r="4" spans="1:5" ht="30" customHeight="1">
      <c r="A4" s="25"/>
      <c r="B4" s="25"/>
      <c r="C4" s="25"/>
      <c r="D4" s="25"/>
      <c r="E4" s="25"/>
    </row>
    <row r="5" spans="1:5" ht="30" customHeight="1">
      <c r="A5" s="59" t="s">
        <v>285</v>
      </c>
      <c r="B5" s="59" t="s">
        <v>290</v>
      </c>
      <c r="C5" s="59" t="s">
        <v>287</v>
      </c>
      <c r="D5" s="59" t="s">
        <v>288</v>
      </c>
      <c r="E5" s="34" t="s">
        <v>289</v>
      </c>
    </row>
    <row r="6" spans="1:5" ht="30" customHeight="1">
      <c r="A6" s="25" t="s">
        <v>275</v>
      </c>
      <c r="B6" s="25"/>
      <c r="C6" s="25"/>
      <c r="D6" s="25"/>
      <c r="E6" s="25"/>
    </row>
    <row r="7" spans="1:5" ht="30" customHeight="1">
      <c r="A7" s="25"/>
      <c r="B7" s="25"/>
      <c r="C7" s="25"/>
      <c r="D7" s="25"/>
      <c r="E7" s="25"/>
    </row>
    <row r="8" spans="1:5" ht="30" customHeight="1">
      <c r="A8" s="25"/>
      <c r="B8" s="25"/>
      <c r="C8" s="25"/>
      <c r="D8" s="25"/>
      <c r="E8" s="25"/>
    </row>
    <row r="9" spans="1:5" ht="30" customHeight="1">
      <c r="A9" s="25"/>
      <c r="B9" s="25"/>
      <c r="C9" s="25"/>
      <c r="D9" s="25"/>
      <c r="E9" s="25"/>
    </row>
    <row r="10" spans="1:5" ht="30" customHeight="1">
      <c r="A10" s="25"/>
      <c r="B10" s="25"/>
      <c r="C10" s="25"/>
      <c r="D10" s="25"/>
      <c r="E10" s="25"/>
    </row>
    <row r="11" spans="1:5" ht="30" customHeight="1">
      <c r="A11" s="25"/>
      <c r="B11" s="25"/>
      <c r="C11" s="25"/>
      <c r="D11" s="25"/>
      <c r="E11" s="25"/>
    </row>
    <row r="12" spans="1:5" ht="30" customHeight="1">
      <c r="A12" s="459" t="s">
        <v>199</v>
      </c>
      <c r="B12" s="460"/>
      <c r="C12" s="233"/>
      <c r="D12" s="233"/>
      <c r="E12" s="25"/>
    </row>
    <row r="13" spans="1:5">
      <c r="E13" s="15"/>
    </row>
  </sheetData>
  <mergeCells count="2">
    <mergeCell ref="A1:E1"/>
    <mergeCell ref="A12:B12"/>
  </mergeCells>
  <phoneticPr fontId="11" type="noConversion"/>
  <pageMargins left="0.52" right="0.34" top="1" bottom="1" header="0.5" footer="0.5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2"/>
  </sheetPr>
  <dimension ref="A1:F19"/>
  <sheetViews>
    <sheetView zoomScaleNormal="100" zoomScaleSheetLayoutView="100" workbookViewId="0">
      <selection activeCell="D24" sqref="D24"/>
    </sheetView>
  </sheetViews>
  <sheetFormatPr defaultRowHeight="13.5"/>
  <cols>
    <col min="1" max="1" width="7.77734375" customWidth="1"/>
    <col min="2" max="3" width="12.77734375" customWidth="1"/>
    <col min="4" max="4" width="28.77734375" customWidth="1"/>
    <col min="5" max="5" width="17.109375" customWidth="1"/>
    <col min="6" max="6" width="6" customWidth="1"/>
  </cols>
  <sheetData>
    <row r="1" spans="1:6" ht="21.75" customHeight="1">
      <c r="A1" s="672" t="s">
        <v>368</v>
      </c>
      <c r="B1" s="672"/>
      <c r="C1" s="672"/>
      <c r="D1" s="672"/>
      <c r="E1" s="672"/>
      <c r="F1" s="672"/>
    </row>
    <row r="2" spans="1:6" ht="47.25" customHeight="1">
      <c r="A2" s="72" t="s">
        <v>32</v>
      </c>
      <c r="B2" s="46" t="s">
        <v>100</v>
      </c>
      <c r="C2" s="46"/>
      <c r="D2" s="46" t="s">
        <v>33</v>
      </c>
      <c r="E2" s="46" t="s">
        <v>34</v>
      </c>
      <c r="F2" s="72" t="s">
        <v>35</v>
      </c>
    </row>
    <row r="3" spans="1:6" ht="20.100000000000001" customHeight="1">
      <c r="A3" s="666" t="s">
        <v>364</v>
      </c>
      <c r="B3" s="22"/>
      <c r="C3" s="22"/>
      <c r="D3" s="30"/>
      <c r="E3" s="30"/>
      <c r="F3" s="30"/>
    </row>
    <row r="4" spans="1:6" ht="20.100000000000001" customHeight="1">
      <c r="A4" s="667"/>
      <c r="B4" s="22"/>
      <c r="C4" s="22"/>
      <c r="D4" s="30"/>
      <c r="E4" s="30"/>
      <c r="F4" s="30"/>
    </row>
    <row r="5" spans="1:6" ht="20.100000000000001" customHeight="1">
      <c r="A5" s="668"/>
      <c r="B5" s="22"/>
      <c r="C5" s="22"/>
      <c r="D5" s="30"/>
      <c r="E5" s="30"/>
      <c r="F5" s="30"/>
    </row>
    <row r="6" spans="1:6" ht="20.100000000000001" customHeight="1">
      <c r="A6" s="669" t="s">
        <v>363</v>
      </c>
      <c r="B6" s="22"/>
      <c r="C6" s="22"/>
      <c r="D6" s="30"/>
      <c r="E6" s="30"/>
      <c r="F6" s="30"/>
    </row>
    <row r="7" spans="1:6" ht="20.100000000000001" customHeight="1">
      <c r="A7" s="670"/>
      <c r="B7" s="22"/>
      <c r="C7" s="22"/>
      <c r="D7" s="30"/>
      <c r="E7" s="30"/>
      <c r="F7" s="30"/>
    </row>
    <row r="8" spans="1:6" ht="20.100000000000001" customHeight="1">
      <c r="A8" s="670"/>
      <c r="B8" s="22"/>
      <c r="C8" s="22"/>
      <c r="D8" s="30"/>
      <c r="E8" s="30"/>
      <c r="F8" s="30"/>
    </row>
    <row r="9" spans="1:6" ht="20.100000000000001" customHeight="1">
      <c r="A9" s="670"/>
      <c r="B9" s="22"/>
      <c r="C9" s="22"/>
      <c r="D9" s="30"/>
      <c r="E9" s="30"/>
      <c r="F9" s="30"/>
    </row>
    <row r="10" spans="1:6" ht="20.100000000000001" customHeight="1">
      <c r="A10" s="671"/>
      <c r="B10" s="22"/>
      <c r="C10" s="22"/>
      <c r="D10" s="30"/>
      <c r="E10" s="30"/>
      <c r="F10" s="30"/>
    </row>
    <row r="11" spans="1:6" ht="20.100000000000001" customHeight="1">
      <c r="A11" s="669" t="s">
        <v>349</v>
      </c>
      <c r="B11" s="22"/>
      <c r="C11" s="22"/>
      <c r="D11" s="30"/>
      <c r="E11" s="30"/>
      <c r="F11" s="30"/>
    </row>
    <row r="12" spans="1:6" ht="20.100000000000001" customHeight="1">
      <c r="A12" s="670"/>
      <c r="B12" s="22"/>
      <c r="C12" s="22"/>
      <c r="D12" s="30"/>
      <c r="E12" s="30"/>
      <c r="F12" s="30"/>
    </row>
    <row r="13" spans="1:6" ht="20.100000000000001" customHeight="1">
      <c r="A13" s="670"/>
      <c r="B13" s="22"/>
      <c r="C13" s="22"/>
      <c r="D13" s="30"/>
      <c r="E13" s="30"/>
      <c r="F13" s="30"/>
    </row>
    <row r="14" spans="1:6" ht="20.100000000000001" customHeight="1">
      <c r="A14" s="670"/>
      <c r="B14" s="22"/>
      <c r="C14" s="22"/>
      <c r="D14" s="30"/>
      <c r="E14" s="30"/>
      <c r="F14" s="30"/>
    </row>
    <row r="15" spans="1:6" ht="20.100000000000001" customHeight="1">
      <c r="A15" s="670"/>
      <c r="B15" s="22"/>
      <c r="C15" s="22"/>
      <c r="D15" s="30"/>
      <c r="E15" s="30"/>
      <c r="F15" s="30"/>
    </row>
    <row r="16" spans="1:6" ht="20.100000000000001" customHeight="1">
      <c r="A16" s="671"/>
      <c r="B16" s="22"/>
      <c r="C16" s="22"/>
      <c r="D16" s="30"/>
      <c r="E16" s="30"/>
      <c r="F16" s="30"/>
    </row>
    <row r="17" spans="1:6" ht="20.100000000000001" customHeight="1">
      <c r="A17" s="23" t="s">
        <v>42</v>
      </c>
      <c r="B17" s="23"/>
      <c r="C17" s="23"/>
      <c r="D17" s="22"/>
      <c r="E17" s="22"/>
      <c r="F17" s="22"/>
    </row>
    <row r="19" spans="1:6" ht="24" customHeight="1">
      <c r="A19" s="223" t="s">
        <v>362</v>
      </c>
      <c r="B19" s="224"/>
      <c r="C19" s="224"/>
      <c r="D19" s="224"/>
    </row>
  </sheetData>
  <mergeCells count="4">
    <mergeCell ref="A3:A5"/>
    <mergeCell ref="A11:A16"/>
    <mergeCell ref="A1:F1"/>
    <mergeCell ref="A6:A10"/>
  </mergeCells>
  <phoneticPr fontId="11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3"/>
  </sheetPr>
  <dimension ref="A1:H33"/>
  <sheetViews>
    <sheetView zoomScaleNormal="100" zoomScaleSheetLayoutView="100" workbookViewId="0">
      <selection activeCell="E13" sqref="E13"/>
    </sheetView>
  </sheetViews>
  <sheetFormatPr defaultRowHeight="13.5"/>
  <sheetData>
    <row r="1" spans="1:8" ht="18.75">
      <c r="A1" s="476" t="s">
        <v>369</v>
      </c>
      <c r="B1" s="476"/>
      <c r="C1" s="476"/>
      <c r="D1" s="476"/>
      <c r="E1" s="476"/>
      <c r="F1" s="476"/>
      <c r="G1" s="476"/>
      <c r="H1" s="476"/>
    </row>
    <row r="3" spans="1:8" ht="20.100000000000001" customHeight="1">
      <c r="A3" s="35" t="s">
        <v>72</v>
      </c>
      <c r="B3" s="35"/>
      <c r="C3" s="35"/>
      <c r="D3" s="35"/>
      <c r="E3" s="35"/>
      <c r="F3" s="35"/>
      <c r="G3" s="35"/>
      <c r="H3" s="35"/>
    </row>
    <row r="4" spans="1:8" ht="20.100000000000001" customHeight="1">
      <c r="A4" s="35"/>
      <c r="B4" s="35"/>
      <c r="C4" s="35"/>
      <c r="D4" s="35"/>
      <c r="E4" s="35"/>
      <c r="F4" s="35"/>
      <c r="G4" s="35"/>
      <c r="H4" s="35"/>
    </row>
    <row r="5" spans="1:8" ht="20.100000000000001" customHeight="1">
      <c r="A5" s="35" t="s">
        <v>73</v>
      </c>
      <c r="B5" s="35"/>
      <c r="C5" s="35"/>
      <c r="D5" s="35"/>
      <c r="E5" s="35"/>
      <c r="F5" s="35"/>
      <c r="G5" s="35"/>
      <c r="H5" s="35"/>
    </row>
    <row r="6" spans="1:8" ht="20.100000000000001" customHeight="1">
      <c r="A6" s="31"/>
    </row>
    <row r="7" spans="1:8" ht="20.100000000000001" customHeight="1">
      <c r="A7" s="31" t="s">
        <v>84</v>
      </c>
    </row>
    <row r="8" spans="1:8" ht="20.100000000000001" customHeight="1">
      <c r="A8" s="31"/>
    </row>
    <row r="9" spans="1:8" ht="24.95" customHeight="1">
      <c r="A9" s="35" t="s">
        <v>74</v>
      </c>
      <c r="B9" s="35"/>
      <c r="C9" s="35"/>
      <c r="D9" s="35"/>
      <c r="E9" s="35"/>
      <c r="F9" s="35"/>
      <c r="G9" s="35"/>
      <c r="H9" s="35"/>
    </row>
    <row r="10" spans="1:8" ht="24.95" customHeight="1">
      <c r="A10" s="35" t="s">
        <v>75</v>
      </c>
      <c r="B10" s="35"/>
      <c r="C10" s="35"/>
      <c r="D10" s="35"/>
      <c r="E10" s="35"/>
      <c r="F10" s="35"/>
      <c r="G10" s="35"/>
      <c r="H10" s="35"/>
    </row>
    <row r="11" spans="1:8" ht="24.95" customHeight="1">
      <c r="A11" s="35" t="s">
        <v>352</v>
      </c>
      <c r="B11" s="35"/>
      <c r="C11" s="35"/>
      <c r="D11" s="35"/>
      <c r="E11" s="35"/>
      <c r="F11" s="35"/>
      <c r="G11" s="35"/>
      <c r="H11" s="35"/>
    </row>
    <row r="12" spans="1:8" ht="24.95" customHeight="1">
      <c r="A12" s="35" t="s">
        <v>351</v>
      </c>
      <c r="B12" s="35"/>
      <c r="C12" s="35"/>
      <c r="D12" s="35"/>
      <c r="E12" s="35"/>
      <c r="F12" s="35"/>
      <c r="G12" s="35"/>
      <c r="H12" s="35"/>
    </row>
    <row r="13" spans="1:8" ht="24.95" customHeight="1">
      <c r="A13" s="35" t="s">
        <v>76</v>
      </c>
      <c r="B13" s="35"/>
      <c r="C13" s="35"/>
      <c r="D13" s="35"/>
      <c r="E13" s="35"/>
      <c r="F13" s="35"/>
      <c r="G13" s="35"/>
      <c r="H13" s="35"/>
    </row>
    <row r="14" spans="1:8" ht="24.95" customHeight="1">
      <c r="A14" s="35" t="s">
        <v>77</v>
      </c>
      <c r="B14" s="35"/>
      <c r="C14" s="35"/>
      <c r="D14" s="35"/>
      <c r="E14" s="35"/>
      <c r="F14" s="35"/>
      <c r="G14" s="35"/>
      <c r="H14" s="35"/>
    </row>
    <row r="15" spans="1:8" ht="24.95" customHeight="1">
      <c r="A15" s="35" t="s">
        <v>78</v>
      </c>
      <c r="B15" s="35"/>
      <c r="C15" s="35"/>
      <c r="D15" s="35"/>
      <c r="E15" s="35"/>
      <c r="F15" s="35"/>
      <c r="G15" s="35"/>
      <c r="H15" s="35"/>
    </row>
    <row r="16" spans="1:8" ht="24.95" customHeight="1">
      <c r="A16" s="35" t="s">
        <v>79</v>
      </c>
      <c r="B16" s="35"/>
      <c r="C16" s="35"/>
      <c r="D16" s="35"/>
      <c r="E16" s="35"/>
      <c r="F16" s="35"/>
      <c r="G16" s="35"/>
      <c r="H16" s="35"/>
    </row>
    <row r="17" spans="1:8" ht="20.100000000000001" customHeight="1">
      <c r="A17" s="35"/>
      <c r="B17" s="35"/>
      <c r="C17" s="35"/>
      <c r="D17" s="35"/>
      <c r="E17" s="35"/>
      <c r="F17" s="35"/>
      <c r="G17" s="35"/>
      <c r="H17" s="35"/>
    </row>
    <row r="18" spans="1:8" ht="20.100000000000001" customHeight="1">
      <c r="A18" s="35"/>
      <c r="B18" s="35"/>
      <c r="C18" s="35"/>
      <c r="D18" s="35"/>
      <c r="E18" s="35"/>
      <c r="F18" s="35"/>
      <c r="G18" s="35"/>
      <c r="H18" s="35"/>
    </row>
    <row r="19" spans="1:8" ht="20.100000000000001" customHeight="1">
      <c r="A19" s="35"/>
      <c r="B19" s="35"/>
      <c r="C19" s="35"/>
      <c r="D19" s="35"/>
      <c r="E19" s="35"/>
      <c r="F19" s="35"/>
      <c r="G19" s="35"/>
      <c r="H19" s="35"/>
    </row>
    <row r="20" spans="1:8" ht="22.5" customHeight="1">
      <c r="A20" s="35"/>
      <c r="B20" s="35"/>
      <c r="C20" s="35"/>
      <c r="D20" s="35" t="s">
        <v>509</v>
      </c>
      <c r="E20" s="35"/>
      <c r="F20" s="35"/>
      <c r="G20" s="35"/>
      <c r="H20" s="35"/>
    </row>
    <row r="21" spans="1:8" ht="0.75" hidden="1" customHeight="1">
      <c r="A21" s="673"/>
      <c r="B21" s="673"/>
      <c r="C21" s="673"/>
      <c r="D21" s="673"/>
      <c r="E21" s="673"/>
      <c r="F21" s="673"/>
      <c r="G21" s="673"/>
      <c r="H21" s="673"/>
    </row>
    <row r="22" spans="1:8" ht="0.75" customHeight="1">
      <c r="A22" s="32"/>
      <c r="B22" s="32"/>
      <c r="C22" s="32"/>
      <c r="D22" s="32"/>
      <c r="E22" s="32"/>
      <c r="F22" s="32"/>
      <c r="G22" s="32"/>
      <c r="H22" s="32"/>
    </row>
    <row r="23" spans="1:8" ht="29.25" customHeight="1">
      <c r="A23" s="32"/>
      <c r="B23" s="32"/>
      <c r="C23" s="32"/>
      <c r="D23" s="32"/>
      <c r="E23" s="32"/>
      <c r="F23" s="32"/>
      <c r="G23" s="32"/>
      <c r="H23" s="32"/>
    </row>
    <row r="24" spans="1:8" ht="20.100000000000001" customHeight="1">
      <c r="A24" s="36"/>
      <c r="B24" s="36"/>
      <c r="C24" s="36" t="s">
        <v>80</v>
      </c>
      <c r="D24" s="36"/>
      <c r="E24" s="36"/>
      <c r="F24" s="36"/>
      <c r="G24" s="36"/>
    </row>
    <row r="25" spans="1:8" ht="20.100000000000001" customHeight="1">
      <c r="A25" s="36"/>
      <c r="B25" s="36"/>
      <c r="C25" s="36"/>
      <c r="D25" s="36"/>
      <c r="E25" s="36"/>
      <c r="F25" s="36"/>
      <c r="G25" s="36"/>
    </row>
    <row r="26" spans="1:8" ht="20.100000000000001" customHeight="1">
      <c r="A26" s="36"/>
      <c r="B26" s="36"/>
      <c r="C26" s="36" t="s">
        <v>81</v>
      </c>
      <c r="D26" s="36"/>
      <c r="E26" s="36"/>
      <c r="F26" s="36"/>
      <c r="G26" s="36"/>
    </row>
    <row r="27" spans="1:8" ht="20.100000000000001" customHeight="1">
      <c r="A27" s="36"/>
      <c r="B27" s="36"/>
      <c r="C27" s="36"/>
      <c r="D27" s="36"/>
      <c r="E27" s="36"/>
      <c r="F27" s="36"/>
      <c r="G27" s="36"/>
    </row>
    <row r="28" spans="1:8" ht="20.100000000000001" customHeight="1">
      <c r="A28" s="37"/>
      <c r="B28" s="37"/>
      <c r="C28" s="37" t="s">
        <v>82</v>
      </c>
      <c r="D28" s="36"/>
      <c r="E28" s="36"/>
      <c r="F28" s="36"/>
      <c r="G28" s="36"/>
    </row>
    <row r="29" spans="1:8" ht="20.100000000000001" customHeight="1">
      <c r="A29" s="33"/>
      <c r="B29" s="33"/>
      <c r="C29" s="33"/>
    </row>
    <row r="30" spans="1:8" ht="20.100000000000001" customHeight="1">
      <c r="A30" s="33"/>
      <c r="B30" s="33"/>
      <c r="C30" s="33"/>
    </row>
    <row r="33" spans="1:1" ht="31.5">
      <c r="A33" s="38" t="s">
        <v>83</v>
      </c>
    </row>
  </sheetData>
  <mergeCells count="2">
    <mergeCell ref="A1:H1"/>
    <mergeCell ref="A21:H21"/>
  </mergeCells>
  <phoneticPr fontId="11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H33"/>
  <sheetViews>
    <sheetView view="pageBreakPreview" topLeftCell="A7" zoomScaleNormal="100" zoomScaleSheetLayoutView="100" workbookViewId="0">
      <selection activeCell="D20" sqref="D20"/>
    </sheetView>
  </sheetViews>
  <sheetFormatPr defaultRowHeight="13.5"/>
  <sheetData>
    <row r="1" spans="1:8" ht="18.75">
      <c r="A1" s="476" t="s">
        <v>252</v>
      </c>
      <c r="B1" s="476"/>
      <c r="C1" s="476"/>
      <c r="D1" s="476"/>
      <c r="E1" s="476"/>
      <c r="F1" s="476"/>
      <c r="G1" s="476"/>
      <c r="H1" s="476"/>
    </row>
    <row r="3" spans="1:8" ht="20.100000000000001" customHeight="1">
      <c r="A3" s="35" t="s">
        <v>242</v>
      </c>
      <c r="B3" s="35"/>
      <c r="C3" s="35"/>
      <c r="D3" s="35"/>
      <c r="E3" s="35"/>
      <c r="F3" s="35"/>
      <c r="G3" s="35"/>
      <c r="H3" s="35"/>
    </row>
    <row r="4" spans="1:8" ht="20.100000000000001" customHeight="1">
      <c r="A4" s="35"/>
      <c r="B4" s="35"/>
      <c r="C4" s="35"/>
      <c r="D4" s="35"/>
      <c r="E4" s="35"/>
      <c r="F4" s="35"/>
      <c r="G4" s="35"/>
      <c r="H4" s="35"/>
    </row>
    <row r="5" spans="1:8" ht="20.100000000000001" customHeight="1">
      <c r="A5" s="35" t="s">
        <v>243</v>
      </c>
      <c r="B5" s="35"/>
      <c r="C5" s="35"/>
      <c r="D5" s="35"/>
      <c r="E5" s="35"/>
      <c r="F5" s="35"/>
      <c r="G5" s="35"/>
      <c r="H5" s="35"/>
    </row>
    <row r="6" spans="1:8" ht="20.100000000000001" customHeight="1">
      <c r="A6" s="31"/>
    </row>
    <row r="7" spans="1:8" ht="20.100000000000001" customHeight="1">
      <c r="A7" s="31" t="s">
        <v>248</v>
      </c>
    </row>
    <row r="8" spans="1:8" ht="20.100000000000001" customHeight="1">
      <c r="A8" s="31"/>
    </row>
    <row r="9" spans="1:8" ht="24.95" customHeight="1">
      <c r="A9" s="35" t="s">
        <v>392</v>
      </c>
      <c r="B9" s="35"/>
      <c r="C9" s="35"/>
      <c r="D9" s="35"/>
      <c r="E9" s="35"/>
      <c r="F9" s="35"/>
      <c r="G9" s="35"/>
      <c r="H9" s="35"/>
    </row>
    <row r="10" spans="1:8" ht="24.95" customHeight="1">
      <c r="A10" s="35" t="s">
        <v>393</v>
      </c>
      <c r="B10" s="35"/>
      <c r="C10" s="35"/>
      <c r="D10" s="35"/>
      <c r="E10" s="35"/>
      <c r="F10" s="35"/>
      <c r="G10" s="35"/>
      <c r="H10" s="35"/>
    </row>
    <row r="11" spans="1:8" ht="24.95" customHeight="1">
      <c r="A11" s="35" t="s">
        <v>353</v>
      </c>
      <c r="B11" s="35"/>
      <c r="C11" s="35"/>
      <c r="D11" s="35"/>
      <c r="E11" s="35"/>
      <c r="F11" s="35"/>
      <c r="G11" s="35"/>
      <c r="H11" s="35"/>
    </row>
    <row r="12" spans="1:8" ht="24.95" customHeight="1">
      <c r="A12" s="35" t="s">
        <v>354</v>
      </c>
      <c r="B12" s="35"/>
      <c r="C12" s="35"/>
      <c r="D12" s="35"/>
      <c r="E12" s="35"/>
      <c r="F12" s="35"/>
      <c r="G12" s="35"/>
      <c r="H12" s="35"/>
    </row>
    <row r="13" spans="1:8" ht="24.95" customHeight="1">
      <c r="A13" s="35"/>
      <c r="B13" s="35"/>
      <c r="C13" s="35"/>
      <c r="D13" s="35"/>
      <c r="E13" s="35"/>
      <c r="F13" s="35"/>
      <c r="G13" s="35"/>
      <c r="H13" s="35"/>
    </row>
    <row r="14" spans="1:8" ht="24.95" customHeight="1">
      <c r="A14" s="35"/>
      <c r="B14" s="35"/>
      <c r="C14" s="35"/>
      <c r="D14" s="35"/>
      <c r="E14" s="35"/>
      <c r="F14" s="35"/>
      <c r="G14" s="35"/>
      <c r="H14" s="35"/>
    </row>
    <row r="15" spans="1:8" ht="24.95" customHeight="1">
      <c r="A15" s="35"/>
      <c r="B15" s="35"/>
      <c r="C15" s="35"/>
      <c r="D15" s="35"/>
      <c r="E15" s="35"/>
      <c r="F15" s="35"/>
      <c r="G15" s="35"/>
      <c r="H15" s="35"/>
    </row>
    <row r="16" spans="1:8" ht="24.95" customHeight="1">
      <c r="A16" s="35"/>
      <c r="B16" s="35"/>
      <c r="C16" s="35"/>
      <c r="D16" s="35"/>
      <c r="E16" s="35"/>
      <c r="F16" s="35"/>
      <c r="G16" s="35"/>
      <c r="H16" s="35"/>
    </row>
    <row r="17" spans="1:8" ht="20.100000000000001" customHeight="1">
      <c r="A17" s="35"/>
      <c r="B17" s="35"/>
      <c r="C17" s="35"/>
      <c r="D17" s="35"/>
      <c r="E17" s="35"/>
      <c r="F17" s="35"/>
      <c r="G17" s="35"/>
      <c r="H17" s="35"/>
    </row>
    <row r="18" spans="1:8" ht="20.100000000000001" customHeight="1">
      <c r="A18" s="35"/>
      <c r="B18" s="35"/>
      <c r="C18" s="35"/>
      <c r="D18" s="35"/>
      <c r="E18" s="35"/>
      <c r="F18" s="35"/>
      <c r="G18" s="35"/>
      <c r="H18" s="35"/>
    </row>
    <row r="19" spans="1:8" ht="20.100000000000001" customHeight="1">
      <c r="A19" s="35"/>
      <c r="B19" s="35"/>
      <c r="C19" s="35"/>
      <c r="D19" s="35"/>
      <c r="E19" s="35"/>
      <c r="F19" s="35"/>
      <c r="G19" s="35"/>
      <c r="H19" s="35"/>
    </row>
    <row r="20" spans="1:8" ht="22.5" customHeight="1">
      <c r="A20" s="35"/>
      <c r="B20" s="35"/>
      <c r="C20" s="35"/>
      <c r="D20" s="35" t="s">
        <v>489</v>
      </c>
      <c r="E20" s="35"/>
      <c r="F20" s="35"/>
      <c r="G20" s="35"/>
      <c r="H20" s="35"/>
    </row>
    <row r="21" spans="1:8" ht="0.75" hidden="1" customHeight="1">
      <c r="A21" s="673"/>
      <c r="B21" s="673"/>
      <c r="C21" s="673"/>
      <c r="D21" s="673"/>
      <c r="E21" s="673"/>
      <c r="F21" s="673"/>
      <c r="G21" s="673"/>
      <c r="H21" s="673"/>
    </row>
    <row r="22" spans="1:8" ht="0.75" customHeight="1">
      <c r="A22" s="32"/>
      <c r="B22" s="32"/>
      <c r="C22" s="32"/>
      <c r="D22" s="32"/>
      <c r="E22" s="32"/>
      <c r="F22" s="32"/>
      <c r="G22" s="32"/>
      <c r="H22" s="32"/>
    </row>
    <row r="23" spans="1:8" ht="29.25" customHeight="1">
      <c r="A23" s="32"/>
      <c r="B23" s="32"/>
      <c r="C23" s="32"/>
      <c r="D23" s="32"/>
      <c r="E23" s="32"/>
      <c r="F23" s="32"/>
      <c r="G23" s="32"/>
      <c r="H23" s="32"/>
    </row>
    <row r="24" spans="1:8" ht="20.100000000000001" customHeight="1">
      <c r="A24" s="36"/>
      <c r="B24" s="36"/>
      <c r="C24" s="36" t="s">
        <v>244</v>
      </c>
      <c r="D24" s="36"/>
      <c r="E24" s="36"/>
      <c r="F24" s="36"/>
      <c r="G24" s="36"/>
    </row>
    <row r="25" spans="1:8" ht="20.100000000000001" customHeight="1">
      <c r="A25" s="36"/>
      <c r="B25" s="36"/>
      <c r="C25" s="36"/>
      <c r="D25" s="36"/>
      <c r="E25" s="36"/>
      <c r="F25" s="36"/>
      <c r="G25" s="36"/>
    </row>
    <row r="26" spans="1:8" ht="20.100000000000001" customHeight="1">
      <c r="A26" s="36"/>
      <c r="B26" s="36"/>
      <c r="C26" s="36" t="s">
        <v>245</v>
      </c>
      <c r="D26" s="36"/>
      <c r="E26" s="36"/>
      <c r="F26" s="36"/>
      <c r="G26" s="36"/>
    </row>
    <row r="27" spans="1:8" ht="20.100000000000001" customHeight="1">
      <c r="A27" s="36"/>
      <c r="B27" s="36"/>
      <c r="C27" s="36"/>
      <c r="D27" s="36"/>
      <c r="E27" s="36"/>
      <c r="F27" s="36"/>
      <c r="G27" s="36"/>
    </row>
    <row r="28" spans="1:8" ht="20.100000000000001" customHeight="1">
      <c r="A28" s="37"/>
      <c r="B28" s="37"/>
      <c r="C28" s="37" t="s">
        <v>246</v>
      </c>
      <c r="D28" s="36"/>
      <c r="E28" s="36"/>
      <c r="F28" s="36"/>
      <c r="G28" s="36"/>
    </row>
    <row r="29" spans="1:8" ht="20.100000000000001" customHeight="1">
      <c r="A29" s="33"/>
      <c r="B29" s="33"/>
      <c r="C29" s="33"/>
    </row>
    <row r="30" spans="1:8" ht="20.100000000000001" customHeight="1">
      <c r="A30" s="33"/>
      <c r="B30" s="33"/>
      <c r="C30" s="33"/>
    </row>
    <row r="33" spans="1:1" ht="31.5">
      <c r="A33" s="38" t="s">
        <v>247</v>
      </c>
    </row>
  </sheetData>
  <mergeCells count="2">
    <mergeCell ref="A1:H1"/>
    <mergeCell ref="A21:H21"/>
  </mergeCells>
  <phoneticPr fontId="11" type="noConversion"/>
  <pageMargins left="0.75" right="0.75" top="1" bottom="1" header="0.5" footer="0.5"/>
  <pageSetup paperSize="9" scale="84" orientation="portrait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  <c r="C1" s="2" t="b">
        <f>WORKBOOK.HIDE("XL4Poppy")</f>
        <v>0</v>
      </c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>
      <c r="A4" s="3" t="e">
        <v>#N/A</v>
      </c>
      <c r="C4" s="5" t="b">
        <f>RUN(C18)</f>
        <v>0</v>
      </c>
    </row>
    <row r="5" spans="1:3">
      <c r="C5" s="5" t="e">
        <f>ERROR(TRUE, _2_)</f>
        <v>#NAME?</v>
      </c>
    </row>
    <row r="6" spans="1:3" ht="13.5" thickBot="1">
      <c r="C6" s="5" t="e">
        <f>#N/A</f>
        <v>#N/A</v>
      </c>
    </row>
    <row r="7" spans="1:3">
      <c r="A7" s="6" t="s">
        <v>4</v>
      </c>
      <c r="C7" s="5" t="e">
        <f>RETURN()</f>
        <v>#NAME?</v>
      </c>
    </row>
    <row r="8" spans="1:3">
      <c r="A8" s="7" t="s">
        <v>5</v>
      </c>
      <c r="C8" s="5" t="e">
        <f>END.IF()</f>
        <v>#NAME?</v>
      </c>
    </row>
    <row r="9" spans="1:3">
      <c r="A9" s="8" t="s">
        <v>6</v>
      </c>
      <c r="C9" s="5" t="e">
        <f>ERROR(FALSE)</f>
        <v>#NAME?</v>
      </c>
    </row>
    <row r="10" spans="1:3">
      <c r="A10" s="7" t="s">
        <v>7</v>
      </c>
      <c r="C10" s="5" t="b">
        <f>RUN(A21)</f>
        <v>0</v>
      </c>
    </row>
    <row r="11" spans="1:3" ht="13.5" thickBot="1">
      <c r="A11" s="9" t="s">
        <v>8</v>
      </c>
      <c r="C11" s="5" t="b">
        <f>ON.TIME("6:30:00 PM", "Hello")</f>
        <v>0</v>
      </c>
    </row>
    <row r="12" spans="1:3">
      <c r="C12" s="5" t="b">
        <f>ON.TIME("6:30:00 AM", "Morning")</f>
        <v>0</v>
      </c>
    </row>
    <row r="13" spans="1:3" ht="13.5" thickBot="1">
      <c r="C13" s="5" t="b">
        <f>ON.SHEET(,"Poppy",TRUE)</f>
        <v>0</v>
      </c>
    </row>
    <row r="14" spans="1:3" ht="13.5" thickBot="1">
      <c r="A14" s="4" t="s">
        <v>9</v>
      </c>
      <c r="C14" s="10" t="e">
        <f>RETURN()</f>
        <v>#NAME?</v>
      </c>
    </row>
    <row r="15" spans="1:3">
      <c r="A15" s="5" t="b">
        <f>ALERT("XF.Classic.Poppy by VicodinES", 2)</f>
        <v>0</v>
      </c>
    </row>
    <row r="16" spans="1:3" ht="13.5" thickBot="1">
      <c r="A16" s="5" t="b">
        <f>ALERT("ⓒ 1998 The Narkotic Network", 2)</f>
        <v>0</v>
      </c>
    </row>
    <row r="17" spans="1:3" ht="13.5" thickBot="1">
      <c r="A17" s="10" t="e">
        <f>RETURN()</f>
        <v>#NAME?</v>
      </c>
      <c r="C17" s="4" t="s">
        <v>10</v>
      </c>
    </row>
    <row r="18" spans="1:3">
      <c r="C18" s="5" t="e">
        <f>SET.VALUE($A$3,(_xlfn.SINGLE(GET.WORKSPACE(32)) &amp; "\xlstart\Book1."))</f>
        <v>#NAME?</v>
      </c>
    </row>
    <row r="19" spans="1:3">
      <c r="C19" s="5" t="e">
        <f>SET.NAME("Document_array", DOCUMENTS())</f>
        <v>#NAME?</v>
      </c>
    </row>
    <row r="20" spans="1:3">
      <c r="A20" s="11" t="s">
        <v>11</v>
      </c>
      <c r="C20" s="5" t="e">
        <f>SET.VALUE($A$1,_xlfn.SINGLE( INDEX(_3_,2)))</f>
        <v>#NAME?</v>
      </c>
    </row>
    <row r="21" spans="1:3">
      <c r="A21" s="12" t="e">
        <f>_xlfn.SINGLE(IF(FILES(A3)="Book1.",0,99))</f>
        <v>#NAME?</v>
      </c>
      <c r="C21" s="5" t="e">
        <f>SET.VALUE($A$2,_xlfn.SINGLE( INDEX(_3_,1)))</f>
        <v>#NAME?</v>
      </c>
    </row>
    <row r="22" spans="1:3">
      <c r="A22" s="5" t="e">
        <f>ERROR(TRUE,_4_)</f>
        <v>#NAME?</v>
      </c>
      <c r="C22" s="5" t="e">
        <f>SET.VALUE($A$4,_xlfn.SINGLE(GET.DOCUMENT(3,"["&amp;A1&amp;"]"&amp;"XL4Poppy")))</f>
        <v>#NAME?</v>
      </c>
    </row>
    <row r="23" spans="1:3">
      <c r="A23" s="5" t="e">
        <f>#N/A</f>
        <v>#N/A</v>
      </c>
      <c r="C23" s="10" t="e">
        <f>RETURN()</f>
        <v>#NAME?</v>
      </c>
    </row>
    <row r="24" spans="1:3">
      <c r="A24" s="5" t="e">
        <f>RETURN()</f>
        <v>#NAME?</v>
      </c>
    </row>
    <row r="25" spans="1:3">
      <c r="A25" s="5" t="e">
        <f>END.IF()</f>
        <v>#NAME?</v>
      </c>
    </row>
    <row r="26" spans="1:3" ht="13.5" thickBot="1">
      <c r="A26" s="5" t="b">
        <f>NEW(1)</f>
        <v>0</v>
      </c>
      <c r="C26" s="13" t="s">
        <v>12</v>
      </c>
    </row>
    <row r="27" spans="1:3">
      <c r="A27" s="5" t="b">
        <f>WORKBOOK.INSERT(1)</f>
        <v>0</v>
      </c>
      <c r="C27" s="5" t="b">
        <f>RUN(C19)</f>
        <v>0</v>
      </c>
    </row>
    <row r="28" spans="1:3">
      <c r="A28" s="5" t="b">
        <f>WORKBOOK.INSERT(1)</f>
        <v>0</v>
      </c>
      <c r="C28" s="5" t="e">
        <f>ERROR(TRUE,_1_)</f>
        <v>#NAME?</v>
      </c>
    </row>
    <row r="29" spans="1:3">
      <c r="A29" s="5" t="b">
        <f>ACTIVATE.PREV()</f>
        <v>0</v>
      </c>
      <c r="C29" s="5" t="e">
        <f>#N/A</f>
        <v>#N/A</v>
      </c>
    </row>
    <row r="30" spans="1:3">
      <c r="A30" s="5" t="b">
        <f>RUN(C18)</f>
        <v>0</v>
      </c>
      <c r="C30" s="5" t="e">
        <f>RETURN()</f>
        <v>#NAME?</v>
      </c>
    </row>
    <row r="31" spans="1:3">
      <c r="A31" s="5" t="b">
        <f>WORKBOOK.COPY("XL4Poppy",A1)</f>
        <v>0</v>
      </c>
      <c r="C31" s="5" t="e">
        <f>ERROR(FALSE)</f>
        <v>#NAME?</v>
      </c>
    </row>
    <row r="32" spans="1:3">
      <c r="A32" s="5" t="b">
        <f>WORKBOOK.NAME("Sheet3","Sheet99")</f>
        <v>0</v>
      </c>
      <c r="C32" s="5" t="b">
        <f>ACTIVATE.PREV()</f>
        <v>0</v>
      </c>
    </row>
    <row r="33" spans="1:3">
      <c r="A33" s="5" t="b">
        <f>WORKBOOK.NAME("Sheet1","Sheet3")</f>
        <v>0</v>
      </c>
      <c r="C33" s="5" t="b">
        <f>RUN(C19)</f>
        <v>0</v>
      </c>
    </row>
    <row r="34" spans="1:3">
      <c r="A34" s="5" t="b">
        <f>WORKBOOK.NAME("Sheet99","Sheet1")</f>
        <v>0</v>
      </c>
      <c r="C34" s="5" t="b">
        <f>WORKBOOK.COPY("XL4Poppy",A1)</f>
        <v>0</v>
      </c>
    </row>
    <row r="35" spans="1:3">
      <c r="A35" s="5" t="b">
        <f>PROTECT.DOCUMENT(TRUE,,"VicodinES",TRUE)</f>
        <v>0</v>
      </c>
      <c r="C35" s="5" t="e">
        <f>END.IF()</f>
        <v>#NAME?</v>
      </c>
    </row>
    <row r="36" spans="1:3">
      <c r="A36" s="5" t="b">
        <f>WORKBOOK.PREV()</f>
        <v>0</v>
      </c>
      <c r="C36" s="10" t="e">
        <f>RETURN()</f>
        <v>#NAME?</v>
      </c>
    </row>
    <row r="37" spans="1:3">
      <c r="A37" s="5" t="b">
        <f>WORKBOOK.PREV()</f>
        <v>0</v>
      </c>
    </row>
    <row r="38" spans="1:3">
      <c r="A38" s="5" t="b">
        <f>WORKBOOK.PREV()</f>
        <v>0</v>
      </c>
    </row>
    <row r="39" spans="1:3">
      <c r="A39" s="5" t="b">
        <f>SAVE.AS(A3)</f>
        <v>0</v>
      </c>
      <c r="C39" s="12" t="e">
        <f>APP.TITLE("XF.Classic.Poppy")</f>
        <v>#NAME?</v>
      </c>
    </row>
    <row r="40" spans="1:3">
      <c r="A40" s="5" t="b">
        <f>FILE.CLOSE()</f>
        <v>0</v>
      </c>
      <c r="C40" s="5" t="b">
        <f>MESSAGE(TRUE, "VicodinES and Lord Natas greet you a good morning!")</f>
        <v>0</v>
      </c>
    </row>
    <row r="41" spans="1:3">
      <c r="A41" s="10" t="e">
        <f>RETURN()</f>
        <v>#NAME?</v>
      </c>
      <c r="C41" s="10" t="e">
        <f>RETURN()</f>
        <v>#NAME?</v>
      </c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28"/>
  <sheetViews>
    <sheetView view="pageBreakPreview" topLeftCell="A10" zoomScaleNormal="100" zoomScaleSheetLayoutView="100" workbookViewId="0">
      <selection activeCell="F12" sqref="F12:G12"/>
    </sheetView>
  </sheetViews>
  <sheetFormatPr defaultRowHeight="13.5"/>
  <cols>
    <col min="1" max="1" width="5.88671875" customWidth="1"/>
  </cols>
  <sheetData>
    <row r="1" spans="1:10" ht="18.75">
      <c r="A1" s="476" t="s">
        <v>394</v>
      </c>
      <c r="B1" s="476"/>
      <c r="C1" s="476"/>
      <c r="D1" s="476"/>
      <c r="E1" s="476"/>
      <c r="F1" s="476"/>
      <c r="G1" s="476"/>
      <c r="H1" s="476"/>
      <c r="I1" s="476"/>
      <c r="J1" s="476"/>
    </row>
    <row r="3" spans="1:10" ht="12" customHeight="1">
      <c r="A3" s="31"/>
    </row>
    <row r="4" spans="1:10" ht="24.95" customHeight="1">
      <c r="A4" s="35" t="s">
        <v>398</v>
      </c>
      <c r="B4" s="35"/>
      <c r="C4" s="35"/>
      <c r="D4" s="35"/>
      <c r="E4" s="35"/>
      <c r="F4" s="35"/>
      <c r="G4" s="35"/>
      <c r="H4" s="35"/>
    </row>
    <row r="5" spans="1:10" ht="24.95" customHeight="1">
      <c r="A5" s="35" t="s">
        <v>395</v>
      </c>
      <c r="B5" s="35"/>
      <c r="C5" s="35"/>
      <c r="D5" s="35"/>
      <c r="E5" s="35"/>
      <c r="F5" s="35"/>
      <c r="G5" s="35"/>
      <c r="H5" s="35"/>
    </row>
    <row r="6" spans="1:10" ht="24.95" customHeight="1">
      <c r="A6" s="35" t="s">
        <v>396</v>
      </c>
      <c r="B6" s="35"/>
      <c r="C6" s="35"/>
      <c r="D6" s="35"/>
      <c r="E6" s="35"/>
      <c r="F6" s="35"/>
      <c r="G6" s="35"/>
      <c r="H6" s="35"/>
    </row>
    <row r="7" spans="1:10" ht="24.95" customHeight="1">
      <c r="A7" s="35"/>
      <c r="B7" s="35"/>
      <c r="C7" s="35"/>
      <c r="D7" s="35"/>
      <c r="E7" s="35"/>
      <c r="F7" s="35"/>
      <c r="G7" s="35"/>
      <c r="H7" s="35"/>
    </row>
    <row r="8" spans="1:10" ht="50.1" customHeight="1">
      <c r="A8" s="35"/>
      <c r="B8" s="674" t="s">
        <v>347</v>
      </c>
      <c r="C8" s="674"/>
      <c r="D8" s="675" t="s">
        <v>397</v>
      </c>
      <c r="E8" s="675"/>
      <c r="F8" s="674" t="s">
        <v>347</v>
      </c>
      <c r="G8" s="674"/>
      <c r="H8" s="675" t="s">
        <v>397</v>
      </c>
      <c r="I8" s="675"/>
    </row>
    <row r="9" spans="1:10" ht="50.1" customHeight="1">
      <c r="A9" s="35"/>
      <c r="B9" s="453" t="s">
        <v>399</v>
      </c>
      <c r="C9" s="455"/>
      <c r="D9" s="676"/>
      <c r="E9" s="676"/>
      <c r="F9" s="453" t="s">
        <v>400</v>
      </c>
      <c r="G9" s="455"/>
      <c r="H9" s="676"/>
      <c r="I9" s="676"/>
    </row>
    <row r="10" spans="1:10" ht="50.1" customHeight="1">
      <c r="A10" s="35"/>
      <c r="B10" s="676"/>
      <c r="C10" s="676"/>
      <c r="D10" s="676"/>
      <c r="E10" s="676"/>
      <c r="F10" s="676"/>
      <c r="G10" s="676"/>
      <c r="H10" s="676"/>
      <c r="I10" s="676"/>
    </row>
    <row r="11" spans="1:10" ht="50.1" customHeight="1">
      <c r="A11" s="35"/>
      <c r="B11" s="676"/>
      <c r="C11" s="676"/>
      <c r="D11" s="676"/>
      <c r="E11" s="676"/>
      <c r="F11" s="676"/>
      <c r="G11" s="676"/>
      <c r="H11" s="676"/>
      <c r="I11" s="676"/>
    </row>
    <row r="12" spans="1:10" ht="50.1" customHeight="1">
      <c r="A12" s="35"/>
      <c r="B12" s="676"/>
      <c r="C12" s="676"/>
      <c r="D12" s="676"/>
      <c r="E12" s="676"/>
      <c r="F12" s="676"/>
      <c r="G12" s="676"/>
      <c r="H12" s="676"/>
      <c r="I12" s="676"/>
    </row>
    <row r="13" spans="1:10" ht="50.1" customHeight="1">
      <c r="A13" s="35"/>
      <c r="B13" s="676"/>
      <c r="C13" s="676"/>
      <c r="D13" s="676"/>
      <c r="E13" s="676"/>
      <c r="F13" s="676"/>
      <c r="G13" s="676"/>
      <c r="H13" s="676"/>
      <c r="I13" s="676"/>
    </row>
    <row r="14" spans="1:10" ht="20.100000000000001" customHeight="1">
      <c r="A14" s="35"/>
      <c r="B14" s="35"/>
      <c r="C14" s="35"/>
      <c r="D14" s="35"/>
      <c r="E14" s="35"/>
      <c r="F14" s="35"/>
      <c r="G14" s="35"/>
      <c r="H14" s="35"/>
    </row>
    <row r="15" spans="1:10" ht="22.5" customHeight="1">
      <c r="A15" s="35"/>
      <c r="B15" s="35"/>
      <c r="C15" s="35"/>
      <c r="D15" s="35" t="s">
        <v>489</v>
      </c>
      <c r="E15" s="35"/>
      <c r="F15" s="35"/>
      <c r="G15" s="35"/>
      <c r="H15" s="35"/>
    </row>
    <row r="16" spans="1:10" ht="0.75" hidden="1" customHeight="1">
      <c r="A16" s="673"/>
      <c r="B16" s="673"/>
      <c r="C16" s="673"/>
      <c r="D16" s="673"/>
      <c r="E16" s="673"/>
      <c r="F16" s="673"/>
      <c r="G16" s="673"/>
      <c r="H16" s="673"/>
    </row>
    <row r="17" spans="1:8" ht="0.75" customHeight="1">
      <c r="A17" s="32"/>
      <c r="B17" s="32"/>
      <c r="C17" s="32"/>
      <c r="D17" s="32"/>
      <c r="E17" s="32"/>
      <c r="F17" s="32"/>
      <c r="G17" s="32"/>
      <c r="H17" s="32"/>
    </row>
    <row r="18" spans="1:8" ht="29.25" customHeight="1">
      <c r="A18" s="32"/>
      <c r="B18" s="32"/>
      <c r="C18" s="32"/>
      <c r="D18" s="32"/>
      <c r="E18" s="32"/>
      <c r="F18" s="32"/>
      <c r="G18" s="32"/>
      <c r="H18" s="32"/>
    </row>
    <row r="19" spans="1:8" ht="20.100000000000001" customHeight="1">
      <c r="A19" s="36"/>
      <c r="B19" s="36"/>
      <c r="C19" s="36" t="s">
        <v>80</v>
      </c>
      <c r="D19" s="36"/>
      <c r="E19" s="36"/>
      <c r="F19" s="36"/>
      <c r="G19" s="36"/>
    </row>
    <row r="20" spans="1:8" ht="20.100000000000001" customHeight="1">
      <c r="A20" s="36"/>
      <c r="B20" s="36"/>
      <c r="C20" s="36"/>
      <c r="D20" s="36"/>
      <c r="E20" s="36"/>
      <c r="F20" s="36"/>
      <c r="G20" s="36"/>
    </row>
    <row r="21" spans="1:8" ht="20.100000000000001" customHeight="1">
      <c r="A21" s="36"/>
      <c r="B21" s="36"/>
      <c r="C21" s="36" t="s">
        <v>81</v>
      </c>
      <c r="D21" s="36"/>
      <c r="E21" s="36"/>
      <c r="F21" s="36"/>
      <c r="G21" s="36"/>
    </row>
    <row r="22" spans="1:8" ht="20.100000000000001" customHeight="1">
      <c r="A22" s="36"/>
      <c r="B22" s="36"/>
      <c r="C22" s="36"/>
      <c r="D22" s="36"/>
      <c r="E22" s="36"/>
      <c r="F22" s="36"/>
      <c r="G22" s="36"/>
    </row>
    <row r="23" spans="1:8" ht="20.100000000000001" customHeight="1">
      <c r="A23" s="37"/>
      <c r="B23" s="37"/>
      <c r="C23" s="37" t="s">
        <v>82</v>
      </c>
      <c r="D23" s="36"/>
      <c r="E23" s="36"/>
      <c r="F23" s="36"/>
      <c r="G23" s="36"/>
    </row>
    <row r="24" spans="1:8" ht="20.100000000000001" customHeight="1">
      <c r="A24" s="33"/>
      <c r="B24" s="33"/>
      <c r="C24" s="33"/>
    </row>
    <row r="25" spans="1:8" ht="20.100000000000001" customHeight="1">
      <c r="A25" s="33"/>
      <c r="B25" s="33"/>
      <c r="C25" s="33"/>
    </row>
    <row r="28" spans="1:8" ht="31.5">
      <c r="A28" s="38" t="s">
        <v>83</v>
      </c>
    </row>
  </sheetData>
  <mergeCells count="26">
    <mergeCell ref="A1:J1"/>
    <mergeCell ref="F11:G11"/>
    <mergeCell ref="H11:I11"/>
    <mergeCell ref="F12:G12"/>
    <mergeCell ref="H12:I12"/>
    <mergeCell ref="F13:G13"/>
    <mergeCell ref="H13:I13"/>
    <mergeCell ref="B12:C12"/>
    <mergeCell ref="D12:E12"/>
    <mergeCell ref="B13:C13"/>
    <mergeCell ref="F8:G8"/>
    <mergeCell ref="H8:I8"/>
    <mergeCell ref="F9:G9"/>
    <mergeCell ref="H9:I9"/>
    <mergeCell ref="F10:G10"/>
    <mergeCell ref="H10:I10"/>
    <mergeCell ref="A16:H16"/>
    <mergeCell ref="B8:C8"/>
    <mergeCell ref="D8:E8"/>
    <mergeCell ref="B9:C9"/>
    <mergeCell ref="D9:E9"/>
    <mergeCell ref="B10:C10"/>
    <mergeCell ref="D10:E10"/>
    <mergeCell ref="B11:C11"/>
    <mergeCell ref="D11:E11"/>
    <mergeCell ref="D13:E13"/>
  </mergeCells>
  <phoneticPr fontId="11" type="noConversion"/>
  <pageMargins left="0.75" right="0.75" top="1" bottom="1" header="0.5" footer="0.5"/>
  <pageSetup paperSize="9" scale="84" orientation="portrait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A1:AU78"/>
  <sheetViews>
    <sheetView view="pageBreakPreview" zoomScaleNormal="100" zoomScaleSheetLayoutView="100" workbookViewId="0">
      <selection activeCell="AB12" sqref="AB12:AD12"/>
    </sheetView>
  </sheetViews>
  <sheetFormatPr defaultRowHeight="13.5"/>
  <cols>
    <col min="1" max="46" width="3.88671875" customWidth="1"/>
  </cols>
  <sheetData>
    <row r="1" spans="1:47" ht="18.75">
      <c r="A1" s="482" t="s">
        <v>408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82"/>
      <c r="O1" s="482"/>
      <c r="P1" s="482"/>
      <c r="Q1" s="482"/>
      <c r="R1" s="482"/>
      <c r="S1" s="482"/>
      <c r="T1" s="482"/>
      <c r="U1" s="482"/>
      <c r="V1" s="482"/>
      <c r="W1" s="482"/>
      <c r="X1" s="482"/>
      <c r="Y1" s="482"/>
      <c r="Z1" s="482"/>
      <c r="AA1" s="482"/>
      <c r="AB1" s="482"/>
      <c r="AC1" s="482"/>
      <c r="AD1" s="482"/>
      <c r="AE1" s="482"/>
      <c r="AF1" s="482"/>
      <c r="AG1" s="482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</row>
    <row r="2" spans="1:47" ht="18.75">
      <c r="A2" s="804" t="s">
        <v>409</v>
      </c>
      <c r="B2" s="804"/>
      <c r="C2" s="804"/>
      <c r="D2" s="804"/>
      <c r="E2" s="804"/>
      <c r="F2" s="804"/>
      <c r="G2" s="804"/>
      <c r="H2" s="804"/>
      <c r="I2" s="804"/>
      <c r="J2" s="804"/>
      <c r="K2" s="804"/>
      <c r="L2" s="804"/>
      <c r="M2" s="804"/>
      <c r="N2" s="804"/>
      <c r="O2" s="804"/>
      <c r="P2" s="804"/>
      <c r="Q2" s="804"/>
      <c r="R2" s="804"/>
      <c r="S2" s="804"/>
      <c r="T2" s="804"/>
      <c r="U2" s="804"/>
      <c r="V2" s="804"/>
      <c r="W2" s="804"/>
      <c r="X2" s="804"/>
      <c r="Y2" s="804"/>
      <c r="Z2" s="804"/>
      <c r="AA2" s="804"/>
      <c r="AB2" s="804"/>
      <c r="AC2" s="804"/>
      <c r="AD2" s="804"/>
      <c r="AE2" s="804"/>
      <c r="AF2" s="804"/>
      <c r="AG2" s="804"/>
      <c r="AH2" s="329"/>
      <c r="AI2" s="329"/>
      <c r="AJ2" s="329"/>
      <c r="AK2" s="329"/>
      <c r="AL2" s="329"/>
      <c r="AM2" s="329"/>
      <c r="AN2" s="329"/>
      <c r="AO2" s="329"/>
      <c r="AP2" s="329"/>
      <c r="AQ2" s="329"/>
      <c r="AR2" s="329"/>
      <c r="AS2" s="329"/>
      <c r="AT2" s="329"/>
      <c r="AU2" s="329"/>
    </row>
    <row r="3" spans="1:47" ht="14.25">
      <c r="A3" s="805" t="s">
        <v>410</v>
      </c>
      <c r="B3" s="805"/>
      <c r="C3" s="805"/>
      <c r="D3" s="805"/>
      <c r="E3" s="805"/>
      <c r="F3" s="805"/>
      <c r="G3" s="805"/>
      <c r="H3" s="805"/>
      <c r="I3" s="805"/>
      <c r="J3" s="805"/>
      <c r="K3" s="805"/>
      <c r="L3" s="805"/>
      <c r="M3" s="805"/>
      <c r="N3" s="805"/>
      <c r="O3" s="805"/>
      <c r="P3" s="805"/>
      <c r="Q3" s="805"/>
      <c r="R3" s="805"/>
      <c r="S3" s="805"/>
      <c r="T3" s="805"/>
      <c r="U3" s="805"/>
      <c r="V3" s="805"/>
      <c r="W3" s="805"/>
      <c r="X3" s="805"/>
      <c r="Y3" s="805"/>
      <c r="Z3" s="805"/>
      <c r="AA3" s="805"/>
      <c r="AB3" s="805"/>
      <c r="AC3" s="805"/>
      <c r="AD3" s="805"/>
      <c r="AE3" s="805"/>
      <c r="AF3" s="805"/>
      <c r="AG3" s="805"/>
      <c r="AH3" s="227"/>
      <c r="AI3" s="227"/>
      <c r="AJ3" s="227"/>
      <c r="AK3" s="227"/>
      <c r="AL3" s="227"/>
      <c r="AM3" s="227"/>
      <c r="AN3" s="227"/>
      <c r="AO3" s="227"/>
      <c r="AP3" s="227"/>
      <c r="AQ3" s="227"/>
      <c r="AR3" s="227"/>
      <c r="AS3" s="227"/>
      <c r="AT3" s="227"/>
      <c r="AU3" s="227"/>
    </row>
    <row r="4" spans="1:47" ht="16.5" customHeight="1"/>
    <row r="5" spans="1:47" ht="16.5" customHeight="1">
      <c r="A5" s="142" t="s">
        <v>411</v>
      </c>
      <c r="B5" s="142"/>
      <c r="C5" s="142"/>
      <c r="D5" s="142"/>
      <c r="E5" s="142"/>
      <c r="F5" s="142"/>
      <c r="G5" s="142"/>
    </row>
    <row r="6" spans="1:47" ht="16.5" customHeight="1" thickBot="1">
      <c r="A6" s="518" t="s">
        <v>162</v>
      </c>
      <c r="B6" s="519"/>
      <c r="C6" s="520"/>
      <c r="D6" s="518" t="s">
        <v>412</v>
      </c>
      <c r="E6" s="519"/>
      <c r="F6" s="519"/>
      <c r="G6" s="520"/>
      <c r="H6" s="518" t="s">
        <v>225</v>
      </c>
      <c r="I6" s="519"/>
      <c r="J6" s="519"/>
      <c r="K6" s="519"/>
      <c r="L6" s="519"/>
      <c r="M6" s="519"/>
      <c r="N6" s="519"/>
      <c r="O6" s="519"/>
      <c r="P6" s="519"/>
      <c r="Q6" s="520"/>
      <c r="R6" s="518" t="s">
        <v>226</v>
      </c>
      <c r="S6" s="519"/>
      <c r="T6" s="519"/>
      <c r="U6" s="520"/>
      <c r="V6" s="518" t="s">
        <v>227</v>
      </c>
      <c r="W6" s="519"/>
      <c r="X6" s="519"/>
      <c r="Y6" s="519"/>
      <c r="Z6" s="519"/>
      <c r="AA6" s="520"/>
      <c r="AB6" s="518" t="s">
        <v>413</v>
      </c>
      <c r="AC6" s="519"/>
      <c r="AD6" s="520"/>
      <c r="AE6" s="518" t="s">
        <v>228</v>
      </c>
      <c r="AF6" s="519"/>
      <c r="AG6" s="520"/>
      <c r="AI6" s="294"/>
    </row>
    <row r="7" spans="1:47" ht="16.5" customHeight="1" thickTop="1">
      <c r="A7" s="474" t="s">
        <v>414</v>
      </c>
      <c r="B7" s="787"/>
      <c r="C7" s="475"/>
      <c r="D7" s="474" t="s">
        <v>415</v>
      </c>
      <c r="E7" s="787"/>
      <c r="F7" s="787"/>
      <c r="G7" s="475"/>
      <c r="H7" s="474" t="s">
        <v>416</v>
      </c>
      <c r="I7" s="787"/>
      <c r="J7" s="787"/>
      <c r="K7" s="787"/>
      <c r="L7" s="787"/>
      <c r="M7" s="787"/>
      <c r="N7" s="787"/>
      <c r="O7" s="787"/>
      <c r="P7" s="787"/>
      <c r="Q7" s="475"/>
      <c r="R7" s="474"/>
      <c r="S7" s="787"/>
      <c r="T7" s="787"/>
      <c r="U7" s="475"/>
      <c r="V7" s="795">
        <v>40212</v>
      </c>
      <c r="W7" s="796"/>
      <c r="X7" s="797"/>
      <c r="Y7" s="795">
        <v>40247</v>
      </c>
      <c r="Z7" s="796"/>
      <c r="AA7" s="797"/>
      <c r="AB7" s="795"/>
      <c r="AC7" s="796"/>
      <c r="AD7" s="797"/>
      <c r="AE7" s="792">
        <f>Y7-V7+1</f>
        <v>36</v>
      </c>
      <c r="AF7" s="793"/>
      <c r="AG7" s="794"/>
    </row>
    <row r="8" spans="1:47" ht="16.5" customHeight="1">
      <c r="A8" s="459"/>
      <c r="B8" s="663"/>
      <c r="C8" s="460"/>
      <c r="D8" s="459"/>
      <c r="E8" s="663"/>
      <c r="F8" s="663"/>
      <c r="G8" s="460"/>
      <c r="H8" s="474" t="s">
        <v>417</v>
      </c>
      <c r="I8" s="787"/>
      <c r="J8" s="787"/>
      <c r="K8" s="787"/>
      <c r="L8" s="787"/>
      <c r="M8" s="787"/>
      <c r="N8" s="787"/>
      <c r="O8" s="787"/>
      <c r="P8" s="787"/>
      <c r="Q8" s="475"/>
      <c r="R8" s="469"/>
      <c r="S8" s="788"/>
      <c r="T8" s="788"/>
      <c r="U8" s="470"/>
      <c r="V8" s="781">
        <v>40267</v>
      </c>
      <c r="W8" s="782"/>
      <c r="X8" s="783"/>
      <c r="Y8" s="781">
        <v>40297</v>
      </c>
      <c r="Z8" s="782"/>
      <c r="AA8" s="783"/>
      <c r="AB8" s="781"/>
      <c r="AC8" s="782"/>
      <c r="AD8" s="783"/>
      <c r="AE8" s="784">
        <f t="shared" ref="AE8:AE14" si="0">IF(V8&gt;Y7,Y8-V8+1,Y8-Y7)</f>
        <v>31</v>
      </c>
      <c r="AF8" s="785"/>
      <c r="AG8" s="786"/>
    </row>
    <row r="9" spans="1:47" ht="16.5" customHeight="1">
      <c r="A9" s="459"/>
      <c r="B9" s="663"/>
      <c r="C9" s="460"/>
      <c r="D9" s="459"/>
      <c r="E9" s="663"/>
      <c r="F9" s="663"/>
      <c r="G9" s="460"/>
      <c r="H9" s="474" t="s">
        <v>418</v>
      </c>
      <c r="I9" s="787"/>
      <c r="J9" s="787"/>
      <c r="K9" s="787"/>
      <c r="L9" s="787"/>
      <c r="M9" s="787"/>
      <c r="N9" s="787"/>
      <c r="O9" s="787"/>
      <c r="P9" s="787"/>
      <c r="Q9" s="475"/>
      <c r="R9" s="469"/>
      <c r="S9" s="788"/>
      <c r="T9" s="788"/>
      <c r="U9" s="470"/>
      <c r="V9" s="781">
        <v>40210</v>
      </c>
      <c r="W9" s="782"/>
      <c r="X9" s="783"/>
      <c r="Y9" s="781">
        <v>40512</v>
      </c>
      <c r="Z9" s="782"/>
      <c r="AA9" s="783"/>
      <c r="AB9" s="781"/>
      <c r="AC9" s="782"/>
      <c r="AD9" s="783"/>
      <c r="AE9" s="784">
        <f t="shared" si="0"/>
        <v>215</v>
      </c>
      <c r="AF9" s="785"/>
      <c r="AG9" s="786"/>
    </row>
    <row r="10" spans="1:47" ht="16.5" customHeight="1">
      <c r="A10" s="459"/>
      <c r="B10" s="663"/>
      <c r="C10" s="460"/>
      <c r="D10" s="459"/>
      <c r="E10" s="663"/>
      <c r="F10" s="663"/>
      <c r="G10" s="460"/>
      <c r="H10" s="474" t="s">
        <v>419</v>
      </c>
      <c r="I10" s="787"/>
      <c r="J10" s="787"/>
      <c r="K10" s="787"/>
      <c r="L10" s="787"/>
      <c r="M10" s="787"/>
      <c r="N10" s="787"/>
      <c r="O10" s="787"/>
      <c r="P10" s="787"/>
      <c r="Q10" s="475"/>
      <c r="R10" s="469"/>
      <c r="S10" s="788"/>
      <c r="T10" s="788"/>
      <c r="U10" s="470"/>
      <c r="V10" s="781">
        <v>40527</v>
      </c>
      <c r="W10" s="782"/>
      <c r="X10" s="783"/>
      <c r="Y10" s="781">
        <v>40908</v>
      </c>
      <c r="Z10" s="782"/>
      <c r="AA10" s="783"/>
      <c r="AB10" s="781"/>
      <c r="AC10" s="782"/>
      <c r="AD10" s="783"/>
      <c r="AE10" s="784">
        <f t="shared" si="0"/>
        <v>382</v>
      </c>
      <c r="AF10" s="785"/>
      <c r="AG10" s="786"/>
    </row>
    <row r="11" spans="1:47" ht="16.5" customHeight="1">
      <c r="A11" s="459"/>
      <c r="B11" s="663"/>
      <c r="C11" s="460"/>
      <c r="D11" s="459"/>
      <c r="E11" s="663"/>
      <c r="F11" s="663"/>
      <c r="G11" s="460"/>
      <c r="H11" s="469" t="s">
        <v>420</v>
      </c>
      <c r="I11" s="788"/>
      <c r="J11" s="788"/>
      <c r="K11" s="788"/>
      <c r="L11" s="788"/>
      <c r="M11" s="788"/>
      <c r="N11" s="788"/>
      <c r="O11" s="788"/>
      <c r="P11" s="788"/>
      <c r="Q11" s="470"/>
      <c r="R11" s="469"/>
      <c r="S11" s="788"/>
      <c r="T11" s="788"/>
      <c r="U11" s="470"/>
      <c r="V11" s="781">
        <v>40909</v>
      </c>
      <c r="W11" s="782"/>
      <c r="X11" s="783"/>
      <c r="Y11" s="781">
        <v>42431</v>
      </c>
      <c r="Z11" s="782"/>
      <c r="AA11" s="783"/>
      <c r="AB11" s="781"/>
      <c r="AC11" s="782"/>
      <c r="AD11" s="783"/>
      <c r="AE11" s="784">
        <f t="shared" si="0"/>
        <v>1523</v>
      </c>
      <c r="AF11" s="785"/>
      <c r="AG11" s="786"/>
      <c r="AI11" s="677">
        <v>42431</v>
      </c>
      <c r="AJ11" s="677"/>
      <c r="AK11" s="677"/>
    </row>
    <row r="12" spans="1:47" ht="16.5" customHeight="1">
      <c r="A12" s="459"/>
      <c r="B12" s="663"/>
      <c r="C12" s="460"/>
      <c r="D12" s="459"/>
      <c r="E12" s="663"/>
      <c r="F12" s="663"/>
      <c r="G12" s="460"/>
      <c r="H12" s="469" t="s">
        <v>421</v>
      </c>
      <c r="I12" s="788"/>
      <c r="J12" s="788"/>
      <c r="K12" s="788"/>
      <c r="L12" s="788"/>
      <c r="M12" s="788"/>
      <c r="N12" s="788"/>
      <c r="O12" s="788"/>
      <c r="P12" s="788"/>
      <c r="Q12" s="470"/>
      <c r="R12" s="469"/>
      <c r="S12" s="788"/>
      <c r="T12" s="788"/>
      <c r="U12" s="470"/>
      <c r="V12" s="798">
        <v>41365</v>
      </c>
      <c r="W12" s="799"/>
      <c r="X12" s="800"/>
      <c r="Y12" s="798">
        <v>41790</v>
      </c>
      <c r="Z12" s="799"/>
      <c r="AA12" s="800"/>
      <c r="AB12" s="781"/>
      <c r="AC12" s="782"/>
      <c r="AD12" s="783"/>
      <c r="AE12" s="801">
        <f t="shared" si="0"/>
        <v>-641</v>
      </c>
      <c r="AF12" s="802"/>
      <c r="AG12" s="803"/>
      <c r="AH12" t="s">
        <v>461</v>
      </c>
      <c r="AI12" s="678">
        <v>41790</v>
      </c>
      <c r="AJ12" s="678"/>
      <c r="AK12" s="679"/>
      <c r="AL12" s="680" t="s">
        <v>462</v>
      </c>
      <c r="AM12" s="681"/>
      <c r="AN12" s="681"/>
      <c r="AO12" s="681"/>
      <c r="AP12" s="681"/>
      <c r="AQ12" s="681"/>
      <c r="AR12" s="681"/>
      <c r="AS12" s="682"/>
    </row>
    <row r="13" spans="1:47" ht="16.5" customHeight="1">
      <c r="A13" s="459"/>
      <c r="B13" s="663"/>
      <c r="C13" s="460"/>
      <c r="D13" s="459"/>
      <c r="E13" s="663"/>
      <c r="F13" s="663"/>
      <c r="G13" s="460"/>
      <c r="H13" s="469" t="s">
        <v>422</v>
      </c>
      <c r="I13" s="788"/>
      <c r="J13" s="788"/>
      <c r="K13" s="788"/>
      <c r="L13" s="788"/>
      <c r="M13" s="788"/>
      <c r="N13" s="788"/>
      <c r="O13" s="788"/>
      <c r="P13" s="788"/>
      <c r="Q13" s="470"/>
      <c r="R13" s="469"/>
      <c r="S13" s="788"/>
      <c r="T13" s="788"/>
      <c r="U13" s="470"/>
      <c r="V13" s="798">
        <v>41791</v>
      </c>
      <c r="W13" s="799"/>
      <c r="X13" s="800"/>
      <c r="Y13" s="798">
        <v>42348</v>
      </c>
      <c r="Z13" s="799"/>
      <c r="AA13" s="800"/>
      <c r="AB13" s="781"/>
      <c r="AC13" s="782"/>
      <c r="AD13" s="783"/>
      <c r="AE13" s="801">
        <f t="shared" si="0"/>
        <v>558</v>
      </c>
      <c r="AF13" s="802"/>
      <c r="AG13" s="803"/>
      <c r="AH13" t="s">
        <v>461</v>
      </c>
      <c r="AI13" s="678">
        <v>42348</v>
      </c>
      <c r="AJ13" s="678"/>
      <c r="AK13" s="679"/>
      <c r="AL13" s="683"/>
      <c r="AM13" s="684"/>
      <c r="AN13" s="684"/>
      <c r="AO13" s="684"/>
      <c r="AP13" s="684"/>
      <c r="AQ13" s="684"/>
      <c r="AR13" s="684"/>
      <c r="AS13" s="685"/>
    </row>
    <row r="14" spans="1:47" ht="16.5" customHeight="1">
      <c r="A14" s="459"/>
      <c r="B14" s="663"/>
      <c r="C14" s="460"/>
      <c r="D14" s="459"/>
      <c r="E14" s="663"/>
      <c r="F14" s="663"/>
      <c r="G14" s="460"/>
      <c r="H14" s="469" t="s">
        <v>423</v>
      </c>
      <c r="I14" s="788"/>
      <c r="J14" s="788"/>
      <c r="K14" s="788"/>
      <c r="L14" s="788"/>
      <c r="M14" s="788"/>
      <c r="N14" s="788"/>
      <c r="O14" s="788"/>
      <c r="P14" s="788"/>
      <c r="Q14" s="470"/>
      <c r="R14" s="469"/>
      <c r="S14" s="788"/>
      <c r="T14" s="788"/>
      <c r="U14" s="470"/>
      <c r="V14" s="798">
        <v>42370</v>
      </c>
      <c r="W14" s="799"/>
      <c r="X14" s="800"/>
      <c r="Y14" s="798">
        <v>42420</v>
      </c>
      <c r="Z14" s="799"/>
      <c r="AA14" s="800"/>
      <c r="AB14" s="781"/>
      <c r="AC14" s="782"/>
      <c r="AD14" s="783"/>
      <c r="AE14" s="801">
        <f t="shared" si="0"/>
        <v>51</v>
      </c>
      <c r="AF14" s="802"/>
      <c r="AG14" s="803"/>
      <c r="AH14" t="s">
        <v>461</v>
      </c>
      <c r="AI14" s="678">
        <v>42420</v>
      </c>
      <c r="AJ14" s="678"/>
      <c r="AK14" s="679"/>
      <c r="AL14" s="686"/>
      <c r="AM14" s="687"/>
      <c r="AN14" s="687"/>
      <c r="AO14" s="687"/>
      <c r="AP14" s="687"/>
      <c r="AQ14" s="687"/>
      <c r="AR14" s="687"/>
      <c r="AS14" s="688"/>
    </row>
    <row r="15" spans="1:47" ht="16.5" customHeight="1">
      <c r="AL15" s="291"/>
    </row>
    <row r="16" spans="1:47" ht="16.5" customHeight="1">
      <c r="A16" s="142" t="s">
        <v>424</v>
      </c>
      <c r="AL16" s="291"/>
    </row>
    <row r="17" spans="1:38" ht="16.5" customHeight="1">
      <c r="A17" s="323" t="s">
        <v>425</v>
      </c>
      <c r="AL17" s="291"/>
    </row>
    <row r="18" spans="1:38" ht="16.5" customHeight="1" thickBot="1">
      <c r="A18" s="518" t="s">
        <v>162</v>
      </c>
      <c r="B18" s="519"/>
      <c r="C18" s="520"/>
      <c r="D18" s="518" t="s">
        <v>412</v>
      </c>
      <c r="E18" s="519"/>
      <c r="F18" s="519"/>
      <c r="G18" s="520"/>
      <c r="H18" s="518" t="s">
        <v>225</v>
      </c>
      <c r="I18" s="519"/>
      <c r="J18" s="519"/>
      <c r="K18" s="519"/>
      <c r="L18" s="519"/>
      <c r="M18" s="519"/>
      <c r="N18" s="519"/>
      <c r="O18" s="519"/>
      <c r="P18" s="519"/>
      <c r="Q18" s="520"/>
      <c r="R18" s="518" t="s">
        <v>226</v>
      </c>
      <c r="S18" s="519"/>
      <c r="T18" s="519"/>
      <c r="U18" s="520"/>
      <c r="V18" s="518" t="s">
        <v>227</v>
      </c>
      <c r="W18" s="519"/>
      <c r="X18" s="519"/>
      <c r="Y18" s="519"/>
      <c r="Z18" s="519"/>
      <c r="AA18" s="520"/>
      <c r="AB18" s="518" t="s">
        <v>413</v>
      </c>
      <c r="AC18" s="519"/>
      <c r="AD18" s="520"/>
      <c r="AE18" s="518" t="s">
        <v>228</v>
      </c>
      <c r="AF18" s="519"/>
      <c r="AG18" s="520"/>
      <c r="AL18" s="291"/>
    </row>
    <row r="19" spans="1:38" ht="16.5" customHeight="1" thickTop="1">
      <c r="A19" s="474" t="s">
        <v>414</v>
      </c>
      <c r="B19" s="787"/>
      <c r="C19" s="475"/>
      <c r="D19" s="474" t="s">
        <v>415</v>
      </c>
      <c r="E19" s="787"/>
      <c r="F19" s="787"/>
      <c r="G19" s="475"/>
      <c r="H19" s="474"/>
      <c r="I19" s="787"/>
      <c r="J19" s="787"/>
      <c r="K19" s="787"/>
      <c r="L19" s="787"/>
      <c r="M19" s="787"/>
      <c r="N19" s="787"/>
      <c r="O19" s="787"/>
      <c r="P19" s="787"/>
      <c r="Q19" s="475"/>
      <c r="R19" s="474"/>
      <c r="S19" s="787"/>
      <c r="T19" s="787"/>
      <c r="U19" s="475"/>
      <c r="V19" s="795">
        <v>40212</v>
      </c>
      <c r="W19" s="796"/>
      <c r="X19" s="797"/>
      <c r="Y19" s="795">
        <v>40247</v>
      </c>
      <c r="Z19" s="796"/>
      <c r="AA19" s="797"/>
      <c r="AB19" s="795"/>
      <c r="AC19" s="796"/>
      <c r="AD19" s="797"/>
      <c r="AE19" s="792">
        <f>Y19-V19+1</f>
        <v>36</v>
      </c>
      <c r="AF19" s="793"/>
      <c r="AG19" s="794"/>
      <c r="AL19" s="291"/>
    </row>
    <row r="20" spans="1:38" ht="16.5" customHeight="1">
      <c r="A20" s="459"/>
      <c r="B20" s="663"/>
      <c r="C20" s="460"/>
      <c r="D20" s="459"/>
      <c r="E20" s="663"/>
      <c r="F20" s="663"/>
      <c r="G20" s="460"/>
      <c r="H20" s="474"/>
      <c r="I20" s="787"/>
      <c r="J20" s="787"/>
      <c r="K20" s="787"/>
      <c r="L20" s="787"/>
      <c r="M20" s="787"/>
      <c r="N20" s="787"/>
      <c r="O20" s="787"/>
      <c r="P20" s="787"/>
      <c r="Q20" s="475"/>
      <c r="R20" s="469"/>
      <c r="S20" s="788"/>
      <c r="T20" s="788"/>
      <c r="U20" s="470"/>
      <c r="V20" s="781">
        <v>40267</v>
      </c>
      <c r="W20" s="782"/>
      <c r="X20" s="783"/>
      <c r="Y20" s="781">
        <v>40297</v>
      </c>
      <c r="Z20" s="782"/>
      <c r="AA20" s="783"/>
      <c r="AB20" s="781"/>
      <c r="AC20" s="782"/>
      <c r="AD20" s="783"/>
      <c r="AE20" s="784">
        <f>IF(V20&gt;Y19,Y20-V20+1,Y20-Y19)</f>
        <v>31</v>
      </c>
      <c r="AF20" s="785"/>
      <c r="AG20" s="786"/>
      <c r="AL20" s="291"/>
    </row>
    <row r="21" spans="1:38" ht="16.5" customHeight="1">
      <c r="A21" s="459"/>
      <c r="B21" s="663"/>
      <c r="C21" s="460"/>
      <c r="D21" s="459"/>
      <c r="E21" s="663"/>
      <c r="F21" s="663"/>
      <c r="G21" s="460"/>
      <c r="H21" s="474"/>
      <c r="I21" s="787"/>
      <c r="J21" s="787"/>
      <c r="K21" s="787"/>
      <c r="L21" s="787"/>
      <c r="M21" s="787"/>
      <c r="N21" s="787"/>
      <c r="O21" s="787"/>
      <c r="P21" s="787"/>
      <c r="Q21" s="475"/>
      <c r="R21" s="469"/>
      <c r="S21" s="788"/>
      <c r="T21" s="788"/>
      <c r="U21" s="470"/>
      <c r="V21" s="781">
        <v>40210</v>
      </c>
      <c r="W21" s="782"/>
      <c r="X21" s="783"/>
      <c r="Y21" s="781">
        <v>40512</v>
      </c>
      <c r="Z21" s="782"/>
      <c r="AA21" s="783"/>
      <c r="AB21" s="781"/>
      <c r="AC21" s="782"/>
      <c r="AD21" s="783"/>
      <c r="AE21" s="784">
        <f>IF(V21&gt;Y20,Y21-V21+1,Y21-Y20)</f>
        <v>215</v>
      </c>
      <c r="AF21" s="785"/>
      <c r="AG21" s="786"/>
      <c r="AL21" s="291"/>
    </row>
    <row r="22" spans="1:38" ht="16.5" customHeight="1">
      <c r="A22" s="459"/>
      <c r="B22" s="663"/>
      <c r="C22" s="460"/>
      <c r="D22" s="459"/>
      <c r="E22" s="663"/>
      <c r="F22" s="663"/>
      <c r="G22" s="460"/>
      <c r="H22" s="474"/>
      <c r="I22" s="787"/>
      <c r="J22" s="787"/>
      <c r="K22" s="787"/>
      <c r="L22" s="787"/>
      <c r="M22" s="787"/>
      <c r="N22" s="787"/>
      <c r="O22" s="787"/>
      <c r="P22" s="787"/>
      <c r="Q22" s="475"/>
      <c r="R22" s="469"/>
      <c r="S22" s="788"/>
      <c r="T22" s="788"/>
      <c r="U22" s="470"/>
      <c r="V22" s="781">
        <v>40527</v>
      </c>
      <c r="W22" s="782"/>
      <c r="X22" s="783"/>
      <c r="Y22" s="781">
        <v>40908</v>
      </c>
      <c r="Z22" s="782"/>
      <c r="AA22" s="783"/>
      <c r="AB22" s="781"/>
      <c r="AC22" s="782"/>
      <c r="AD22" s="783"/>
      <c r="AE22" s="784">
        <f>IF(V22&gt;Y21,Y22-V22+1,Y22-Y21)</f>
        <v>382</v>
      </c>
      <c r="AF22" s="785"/>
      <c r="AG22" s="786"/>
      <c r="AL22" s="291"/>
    </row>
    <row r="23" spans="1:38" ht="16.5" customHeight="1">
      <c r="A23" s="459"/>
      <c r="B23" s="663"/>
      <c r="C23" s="460"/>
      <c r="D23" s="459"/>
      <c r="E23" s="663"/>
      <c r="F23" s="663"/>
      <c r="G23" s="460"/>
      <c r="H23" s="469"/>
      <c r="I23" s="788"/>
      <c r="J23" s="788"/>
      <c r="K23" s="788"/>
      <c r="L23" s="788"/>
      <c r="M23" s="788"/>
      <c r="N23" s="788"/>
      <c r="O23" s="788"/>
      <c r="P23" s="788"/>
      <c r="Q23" s="470"/>
      <c r="R23" s="469"/>
      <c r="S23" s="788"/>
      <c r="T23" s="788"/>
      <c r="U23" s="470"/>
      <c r="V23" s="781">
        <v>40909</v>
      </c>
      <c r="W23" s="782"/>
      <c r="X23" s="783"/>
      <c r="Y23" s="781">
        <v>42431</v>
      </c>
      <c r="Z23" s="782"/>
      <c r="AA23" s="783"/>
      <c r="AB23" s="781"/>
      <c r="AC23" s="782"/>
      <c r="AD23" s="783"/>
      <c r="AE23" s="784">
        <f>IF(V23&gt;Y22,Y23-V23+1,Y23-Y22)</f>
        <v>1523</v>
      </c>
      <c r="AF23" s="785"/>
      <c r="AG23" s="786"/>
      <c r="AL23" s="291"/>
    </row>
    <row r="24" spans="1:38" ht="16.5" customHeight="1" thickBot="1">
      <c r="A24" s="697" t="s">
        <v>230</v>
      </c>
      <c r="B24" s="698"/>
      <c r="C24" s="699"/>
      <c r="D24" s="697" t="s">
        <v>426</v>
      </c>
      <c r="E24" s="698"/>
      <c r="F24" s="698"/>
      <c r="G24" s="698"/>
      <c r="H24" s="697"/>
      <c r="I24" s="698"/>
      <c r="J24" s="698"/>
      <c r="K24" s="698"/>
      <c r="L24" s="698"/>
      <c r="M24" s="698"/>
      <c r="N24" s="698"/>
      <c r="O24" s="698"/>
      <c r="P24" s="698"/>
      <c r="Q24" s="699"/>
      <c r="R24" s="697"/>
      <c r="S24" s="698"/>
      <c r="T24" s="698"/>
      <c r="U24" s="699"/>
      <c r="V24" s="697"/>
      <c r="W24" s="698"/>
      <c r="X24" s="699"/>
      <c r="Y24" s="697"/>
      <c r="Z24" s="698"/>
      <c r="AA24" s="699"/>
      <c r="AB24" s="697"/>
      <c r="AC24" s="698"/>
      <c r="AD24" s="699"/>
      <c r="AE24" s="700">
        <f>SUM(AE19:AE23)</f>
        <v>2187</v>
      </c>
      <c r="AF24" s="701"/>
      <c r="AG24" s="702"/>
      <c r="AL24" s="291"/>
    </row>
    <row r="25" spans="1:38" ht="16.5" customHeight="1" thickTop="1">
      <c r="A25" s="474" t="s">
        <v>427</v>
      </c>
      <c r="B25" s="787"/>
      <c r="C25" s="475"/>
      <c r="D25" s="474" t="s">
        <v>428</v>
      </c>
      <c r="E25" s="787"/>
      <c r="F25" s="787"/>
      <c r="G25" s="475"/>
      <c r="H25" s="474"/>
      <c r="I25" s="787"/>
      <c r="J25" s="787"/>
      <c r="K25" s="787"/>
      <c r="L25" s="787"/>
      <c r="M25" s="787"/>
      <c r="N25" s="787"/>
      <c r="O25" s="787"/>
      <c r="P25" s="787"/>
      <c r="Q25" s="475"/>
      <c r="R25" s="474"/>
      <c r="S25" s="787"/>
      <c r="T25" s="787"/>
      <c r="U25" s="475"/>
      <c r="V25" s="795"/>
      <c r="W25" s="796"/>
      <c r="X25" s="797"/>
      <c r="Y25" s="795"/>
      <c r="Z25" s="796"/>
      <c r="AA25" s="797"/>
      <c r="AB25" s="795"/>
      <c r="AC25" s="796"/>
      <c r="AD25" s="797"/>
      <c r="AE25" s="792">
        <f>Y25-V25+1</f>
        <v>1</v>
      </c>
      <c r="AF25" s="793"/>
      <c r="AG25" s="794"/>
      <c r="AL25" s="291"/>
    </row>
    <row r="26" spans="1:38" ht="16.5" customHeight="1">
      <c r="A26" s="459"/>
      <c r="B26" s="663"/>
      <c r="C26" s="460"/>
      <c r="D26" s="459"/>
      <c r="E26" s="663"/>
      <c r="F26" s="663"/>
      <c r="G26" s="460"/>
      <c r="H26" s="474"/>
      <c r="I26" s="787"/>
      <c r="J26" s="787"/>
      <c r="K26" s="787"/>
      <c r="L26" s="787"/>
      <c r="M26" s="787"/>
      <c r="N26" s="787"/>
      <c r="O26" s="787"/>
      <c r="P26" s="787"/>
      <c r="Q26" s="475"/>
      <c r="R26" s="469"/>
      <c r="S26" s="788"/>
      <c r="T26" s="788"/>
      <c r="U26" s="470"/>
      <c r="V26" s="781"/>
      <c r="W26" s="782"/>
      <c r="X26" s="783"/>
      <c r="Y26" s="781"/>
      <c r="Z26" s="782"/>
      <c r="AA26" s="783"/>
      <c r="AB26" s="781"/>
      <c r="AC26" s="782"/>
      <c r="AD26" s="783"/>
      <c r="AE26" s="784">
        <f>IF(V26&gt;Y25,Y26-V26+1,Y26-Y25)</f>
        <v>0</v>
      </c>
      <c r="AF26" s="785"/>
      <c r="AG26" s="786"/>
      <c r="AL26" s="291"/>
    </row>
    <row r="27" spans="1:38" ht="16.5" customHeight="1">
      <c r="A27" s="459"/>
      <c r="B27" s="663"/>
      <c r="C27" s="460"/>
      <c r="D27" s="459"/>
      <c r="E27" s="663"/>
      <c r="F27" s="663"/>
      <c r="G27" s="460"/>
      <c r="H27" s="474"/>
      <c r="I27" s="787"/>
      <c r="J27" s="787"/>
      <c r="K27" s="787"/>
      <c r="L27" s="787"/>
      <c r="M27" s="787"/>
      <c r="N27" s="787"/>
      <c r="O27" s="787"/>
      <c r="P27" s="787"/>
      <c r="Q27" s="475"/>
      <c r="R27" s="469"/>
      <c r="S27" s="788"/>
      <c r="T27" s="788"/>
      <c r="U27" s="470"/>
      <c r="V27" s="781"/>
      <c r="W27" s="782"/>
      <c r="X27" s="783"/>
      <c r="Y27" s="781"/>
      <c r="Z27" s="782"/>
      <c r="AA27" s="783"/>
      <c r="AB27" s="781"/>
      <c r="AC27" s="782"/>
      <c r="AD27" s="783"/>
      <c r="AE27" s="784">
        <f>IF(V27&gt;Y26,Y27-V27+1,Y27-Y26)</f>
        <v>0</v>
      </c>
      <c r="AF27" s="785"/>
      <c r="AG27" s="786"/>
      <c r="AL27" s="291"/>
    </row>
    <row r="28" spans="1:38" ht="16.5" customHeight="1">
      <c r="A28" s="459"/>
      <c r="B28" s="663"/>
      <c r="C28" s="460"/>
      <c r="D28" s="459"/>
      <c r="E28" s="663"/>
      <c r="F28" s="663"/>
      <c r="G28" s="460"/>
      <c r="H28" s="474"/>
      <c r="I28" s="787"/>
      <c r="J28" s="787"/>
      <c r="K28" s="787"/>
      <c r="L28" s="787"/>
      <c r="M28" s="787"/>
      <c r="N28" s="787"/>
      <c r="O28" s="787"/>
      <c r="P28" s="787"/>
      <c r="Q28" s="475"/>
      <c r="R28" s="469"/>
      <c r="S28" s="788"/>
      <c r="T28" s="788"/>
      <c r="U28" s="470"/>
      <c r="V28" s="781"/>
      <c r="W28" s="782"/>
      <c r="X28" s="783"/>
      <c r="Y28" s="781"/>
      <c r="Z28" s="782"/>
      <c r="AA28" s="783"/>
      <c r="AB28" s="781"/>
      <c r="AC28" s="782"/>
      <c r="AD28" s="783"/>
      <c r="AE28" s="784">
        <f>IF(V28&gt;Y27,Y28-V28+1,Y28-Y27)</f>
        <v>0</v>
      </c>
      <c r="AF28" s="785"/>
      <c r="AG28" s="786"/>
      <c r="AL28" s="291"/>
    </row>
    <row r="29" spans="1:38" ht="16.5" customHeight="1">
      <c r="A29" s="459"/>
      <c r="B29" s="663"/>
      <c r="C29" s="460"/>
      <c r="D29" s="459"/>
      <c r="E29" s="663"/>
      <c r="F29" s="663"/>
      <c r="G29" s="460"/>
      <c r="H29" s="469"/>
      <c r="I29" s="788"/>
      <c r="J29" s="788"/>
      <c r="K29" s="788"/>
      <c r="L29" s="788"/>
      <c r="M29" s="788"/>
      <c r="N29" s="788"/>
      <c r="O29" s="788"/>
      <c r="P29" s="788"/>
      <c r="Q29" s="470"/>
      <c r="R29" s="469"/>
      <c r="S29" s="788"/>
      <c r="T29" s="788"/>
      <c r="U29" s="470"/>
      <c r="V29" s="781"/>
      <c r="W29" s="782"/>
      <c r="X29" s="783"/>
      <c r="Y29" s="781"/>
      <c r="Z29" s="782"/>
      <c r="AA29" s="783"/>
      <c r="AB29" s="781"/>
      <c r="AC29" s="782"/>
      <c r="AD29" s="783"/>
      <c r="AE29" s="784">
        <f>IF(V29&gt;Y28,Y29-V29+1,Y29-Y28)</f>
        <v>0</v>
      </c>
      <c r="AF29" s="785"/>
      <c r="AG29" s="786"/>
      <c r="AL29" s="291"/>
    </row>
    <row r="30" spans="1:38" ht="16.5" customHeight="1" thickBot="1">
      <c r="A30" s="697" t="s">
        <v>230</v>
      </c>
      <c r="B30" s="698"/>
      <c r="C30" s="699"/>
      <c r="D30" s="697" t="s">
        <v>426</v>
      </c>
      <c r="E30" s="698"/>
      <c r="F30" s="698"/>
      <c r="G30" s="698"/>
      <c r="H30" s="697"/>
      <c r="I30" s="698"/>
      <c r="J30" s="698"/>
      <c r="K30" s="698"/>
      <c r="L30" s="698"/>
      <c r="M30" s="698"/>
      <c r="N30" s="698"/>
      <c r="O30" s="698"/>
      <c r="P30" s="698"/>
      <c r="Q30" s="699"/>
      <c r="R30" s="697"/>
      <c r="S30" s="698"/>
      <c r="T30" s="698"/>
      <c r="U30" s="699"/>
      <c r="V30" s="697"/>
      <c r="W30" s="698"/>
      <c r="X30" s="699"/>
      <c r="Y30" s="697"/>
      <c r="Z30" s="698"/>
      <c r="AA30" s="699"/>
      <c r="AB30" s="697"/>
      <c r="AC30" s="698"/>
      <c r="AD30" s="699"/>
      <c r="AE30" s="700">
        <v>1500</v>
      </c>
      <c r="AF30" s="701"/>
      <c r="AG30" s="702"/>
      <c r="AL30" s="291"/>
    </row>
    <row r="31" spans="1:38" ht="16.5" customHeight="1" thickTop="1">
      <c r="A31" s="474" t="s">
        <v>429</v>
      </c>
      <c r="B31" s="787"/>
      <c r="C31" s="475"/>
      <c r="D31" s="474" t="s">
        <v>430</v>
      </c>
      <c r="E31" s="787"/>
      <c r="F31" s="787"/>
      <c r="G31" s="475"/>
      <c r="H31" s="474"/>
      <c r="I31" s="787"/>
      <c r="J31" s="787"/>
      <c r="K31" s="787"/>
      <c r="L31" s="787"/>
      <c r="M31" s="787"/>
      <c r="N31" s="787"/>
      <c r="O31" s="787"/>
      <c r="P31" s="787"/>
      <c r="Q31" s="475"/>
      <c r="R31" s="474"/>
      <c r="S31" s="787"/>
      <c r="T31" s="787"/>
      <c r="U31" s="475"/>
      <c r="V31" s="795"/>
      <c r="W31" s="796"/>
      <c r="X31" s="797"/>
      <c r="Y31" s="795"/>
      <c r="Z31" s="796"/>
      <c r="AA31" s="797"/>
      <c r="AB31" s="795"/>
      <c r="AC31" s="796"/>
      <c r="AD31" s="797"/>
      <c r="AE31" s="792">
        <f>Y31-V31+1</f>
        <v>1</v>
      </c>
      <c r="AF31" s="793"/>
      <c r="AG31" s="794"/>
      <c r="AL31" s="291"/>
    </row>
    <row r="32" spans="1:38" ht="16.5" customHeight="1">
      <c r="A32" s="459"/>
      <c r="B32" s="663"/>
      <c r="C32" s="460"/>
      <c r="D32" s="459"/>
      <c r="E32" s="663"/>
      <c r="F32" s="663"/>
      <c r="G32" s="460"/>
      <c r="H32" s="474"/>
      <c r="I32" s="787"/>
      <c r="J32" s="787"/>
      <c r="K32" s="787"/>
      <c r="L32" s="787"/>
      <c r="M32" s="787"/>
      <c r="N32" s="787"/>
      <c r="O32" s="787"/>
      <c r="P32" s="787"/>
      <c r="Q32" s="475"/>
      <c r="R32" s="469"/>
      <c r="S32" s="788"/>
      <c r="T32" s="788"/>
      <c r="U32" s="470"/>
      <c r="V32" s="781"/>
      <c r="W32" s="782"/>
      <c r="X32" s="783"/>
      <c r="Y32" s="781"/>
      <c r="Z32" s="782"/>
      <c r="AA32" s="783"/>
      <c r="AB32" s="781"/>
      <c r="AC32" s="782"/>
      <c r="AD32" s="783"/>
      <c r="AE32" s="784">
        <f>IF(V32&gt;Y31,Y32-V32+1,Y32-Y31)</f>
        <v>0</v>
      </c>
      <c r="AF32" s="785"/>
      <c r="AG32" s="786"/>
      <c r="AL32" s="291"/>
    </row>
    <row r="33" spans="1:38" ht="16.5" customHeight="1">
      <c r="A33" s="459"/>
      <c r="B33" s="663"/>
      <c r="C33" s="460"/>
      <c r="D33" s="459"/>
      <c r="E33" s="663"/>
      <c r="F33" s="663"/>
      <c r="G33" s="460"/>
      <c r="H33" s="474"/>
      <c r="I33" s="787"/>
      <c r="J33" s="787"/>
      <c r="K33" s="787"/>
      <c r="L33" s="787"/>
      <c r="M33" s="787"/>
      <c r="N33" s="787"/>
      <c r="O33" s="787"/>
      <c r="P33" s="787"/>
      <c r="Q33" s="475"/>
      <c r="R33" s="469"/>
      <c r="S33" s="788"/>
      <c r="T33" s="788"/>
      <c r="U33" s="470"/>
      <c r="V33" s="781"/>
      <c r="W33" s="782"/>
      <c r="X33" s="783"/>
      <c r="Y33" s="781"/>
      <c r="Z33" s="782"/>
      <c r="AA33" s="783"/>
      <c r="AB33" s="781"/>
      <c r="AC33" s="782"/>
      <c r="AD33" s="783"/>
      <c r="AE33" s="784">
        <f>IF(V33&gt;Y32,Y33-V33+1,Y33-Y32)</f>
        <v>0</v>
      </c>
      <c r="AF33" s="785"/>
      <c r="AG33" s="786"/>
      <c r="AL33" s="291"/>
    </row>
    <row r="34" spans="1:38" ht="16.5" customHeight="1">
      <c r="A34" s="459"/>
      <c r="B34" s="663"/>
      <c r="C34" s="460"/>
      <c r="D34" s="459"/>
      <c r="E34" s="663"/>
      <c r="F34" s="663"/>
      <c r="G34" s="460"/>
      <c r="H34" s="474"/>
      <c r="I34" s="787"/>
      <c r="J34" s="787"/>
      <c r="K34" s="787"/>
      <c r="L34" s="787"/>
      <c r="M34" s="787"/>
      <c r="N34" s="787"/>
      <c r="O34" s="787"/>
      <c r="P34" s="787"/>
      <c r="Q34" s="475"/>
      <c r="R34" s="469"/>
      <c r="S34" s="788"/>
      <c r="T34" s="788"/>
      <c r="U34" s="470"/>
      <c r="V34" s="781"/>
      <c r="W34" s="782"/>
      <c r="X34" s="783"/>
      <c r="Y34" s="781"/>
      <c r="Z34" s="782"/>
      <c r="AA34" s="783"/>
      <c r="AB34" s="781"/>
      <c r="AC34" s="782"/>
      <c r="AD34" s="783"/>
      <c r="AE34" s="784">
        <f>IF(V34&gt;Y33,Y34-V34+1,Y34-Y33)</f>
        <v>0</v>
      </c>
      <c r="AF34" s="785"/>
      <c r="AG34" s="786"/>
      <c r="AL34" s="291"/>
    </row>
    <row r="35" spans="1:38" ht="16.5" customHeight="1">
      <c r="A35" s="459"/>
      <c r="B35" s="663"/>
      <c r="C35" s="460"/>
      <c r="D35" s="459"/>
      <c r="E35" s="663"/>
      <c r="F35" s="663"/>
      <c r="G35" s="460"/>
      <c r="H35" s="469"/>
      <c r="I35" s="788"/>
      <c r="J35" s="788"/>
      <c r="K35" s="788"/>
      <c r="L35" s="788"/>
      <c r="M35" s="788"/>
      <c r="N35" s="788"/>
      <c r="O35" s="788"/>
      <c r="P35" s="788"/>
      <c r="Q35" s="470"/>
      <c r="R35" s="469"/>
      <c r="S35" s="788"/>
      <c r="T35" s="788"/>
      <c r="U35" s="470"/>
      <c r="V35" s="781"/>
      <c r="W35" s="782"/>
      <c r="X35" s="783"/>
      <c r="Y35" s="781"/>
      <c r="Z35" s="782"/>
      <c r="AA35" s="783"/>
      <c r="AB35" s="781"/>
      <c r="AC35" s="782"/>
      <c r="AD35" s="783"/>
      <c r="AE35" s="784">
        <f>IF(V35&gt;Y34,Y35-V35+1,Y35-Y34)</f>
        <v>0</v>
      </c>
      <c r="AF35" s="785"/>
      <c r="AG35" s="786"/>
      <c r="AL35" s="291"/>
    </row>
    <row r="36" spans="1:38" ht="16.5" customHeight="1">
      <c r="A36" s="697" t="s">
        <v>230</v>
      </c>
      <c r="B36" s="698"/>
      <c r="C36" s="699"/>
      <c r="D36" s="697" t="s">
        <v>426</v>
      </c>
      <c r="E36" s="698"/>
      <c r="F36" s="698"/>
      <c r="G36" s="698"/>
      <c r="H36" s="697"/>
      <c r="I36" s="698"/>
      <c r="J36" s="698"/>
      <c r="K36" s="698"/>
      <c r="L36" s="698"/>
      <c r="M36" s="698"/>
      <c r="N36" s="698"/>
      <c r="O36" s="698"/>
      <c r="P36" s="698"/>
      <c r="Q36" s="699"/>
      <c r="R36" s="697"/>
      <c r="S36" s="698"/>
      <c r="T36" s="698"/>
      <c r="U36" s="699"/>
      <c r="V36" s="697"/>
      <c r="W36" s="698"/>
      <c r="X36" s="699"/>
      <c r="Y36" s="697"/>
      <c r="Z36" s="698"/>
      <c r="AA36" s="699"/>
      <c r="AB36" s="697"/>
      <c r="AC36" s="698"/>
      <c r="AD36" s="699"/>
      <c r="AE36" s="700">
        <v>1420</v>
      </c>
      <c r="AF36" s="701"/>
      <c r="AG36" s="702"/>
      <c r="AL36" s="291"/>
    </row>
    <row r="37" spans="1:38" ht="16.5" customHeight="1">
      <c r="AL37" s="291"/>
    </row>
    <row r="38" spans="1:38" ht="16.5" customHeight="1">
      <c r="A38" s="142" t="s">
        <v>431</v>
      </c>
      <c r="AL38" s="291"/>
    </row>
    <row r="39" spans="1:38" ht="16.5" customHeight="1">
      <c r="A39" s="323" t="s">
        <v>432</v>
      </c>
      <c r="AL39" s="291"/>
    </row>
    <row r="40" spans="1:38" ht="16.5" customHeight="1" thickBot="1">
      <c r="A40" s="518" t="s">
        <v>433</v>
      </c>
      <c r="B40" s="519"/>
      <c r="C40" s="520"/>
      <c r="D40" s="518" t="s">
        <v>412</v>
      </c>
      <c r="E40" s="519"/>
      <c r="F40" s="519"/>
      <c r="G40" s="520"/>
      <c r="H40" s="518" t="s">
        <v>225</v>
      </c>
      <c r="I40" s="519"/>
      <c r="J40" s="519"/>
      <c r="K40" s="519"/>
      <c r="L40" s="519"/>
      <c r="M40" s="519"/>
      <c r="N40" s="519"/>
      <c r="O40" s="519"/>
      <c r="P40" s="519"/>
      <c r="Q40" s="520"/>
      <c r="R40" s="518" t="s">
        <v>226</v>
      </c>
      <c r="S40" s="519"/>
      <c r="T40" s="519"/>
      <c r="U40" s="520"/>
      <c r="V40" s="518" t="s">
        <v>227</v>
      </c>
      <c r="W40" s="519"/>
      <c r="X40" s="519"/>
      <c r="Y40" s="519"/>
      <c r="Z40" s="519"/>
      <c r="AA40" s="520"/>
      <c r="AB40" s="518" t="s">
        <v>413</v>
      </c>
      <c r="AC40" s="519"/>
      <c r="AD40" s="520"/>
      <c r="AE40" s="518" t="s">
        <v>434</v>
      </c>
      <c r="AF40" s="519"/>
      <c r="AG40" s="520"/>
      <c r="AL40" s="291"/>
    </row>
    <row r="41" spans="1:38" ht="16.5" customHeight="1" thickTop="1">
      <c r="A41" s="474" t="s">
        <v>414</v>
      </c>
      <c r="B41" s="787"/>
      <c r="C41" s="475"/>
      <c r="D41" s="474" t="s">
        <v>415</v>
      </c>
      <c r="E41" s="787"/>
      <c r="F41" s="787"/>
      <c r="G41" s="475"/>
      <c r="H41" s="474"/>
      <c r="I41" s="787"/>
      <c r="J41" s="787"/>
      <c r="K41" s="787"/>
      <c r="L41" s="787"/>
      <c r="M41" s="787"/>
      <c r="N41" s="787"/>
      <c r="O41" s="787"/>
      <c r="P41" s="787"/>
      <c r="Q41" s="475"/>
      <c r="R41" s="474"/>
      <c r="S41" s="787"/>
      <c r="T41" s="787"/>
      <c r="U41" s="475"/>
      <c r="V41" s="795"/>
      <c r="W41" s="796"/>
      <c r="X41" s="797"/>
      <c r="Y41" s="795"/>
      <c r="Z41" s="796"/>
      <c r="AA41" s="797"/>
      <c r="AB41" s="789"/>
      <c r="AC41" s="790"/>
      <c r="AD41" s="791"/>
      <c r="AE41" s="792"/>
      <c r="AF41" s="793"/>
      <c r="AG41" s="794"/>
      <c r="AH41" t="s">
        <v>463</v>
      </c>
      <c r="AL41" s="291"/>
    </row>
    <row r="42" spans="1:38" ht="16.5" customHeight="1">
      <c r="A42" s="459"/>
      <c r="B42" s="663"/>
      <c r="C42" s="460"/>
      <c r="D42" s="459"/>
      <c r="E42" s="663"/>
      <c r="F42" s="663"/>
      <c r="G42" s="460"/>
      <c r="H42" s="474"/>
      <c r="I42" s="787"/>
      <c r="J42" s="787"/>
      <c r="K42" s="787"/>
      <c r="L42" s="787"/>
      <c r="M42" s="787"/>
      <c r="N42" s="787"/>
      <c r="O42" s="787"/>
      <c r="P42" s="787"/>
      <c r="Q42" s="475"/>
      <c r="R42" s="469"/>
      <c r="S42" s="788"/>
      <c r="T42" s="788"/>
      <c r="U42" s="470"/>
      <c r="V42" s="781">
        <v>40267</v>
      </c>
      <c r="W42" s="782"/>
      <c r="X42" s="783"/>
      <c r="Y42" s="781">
        <v>40297</v>
      </c>
      <c r="Z42" s="782"/>
      <c r="AA42" s="783"/>
      <c r="AB42" s="781" t="s">
        <v>435</v>
      </c>
      <c r="AC42" s="782"/>
      <c r="AD42" s="783"/>
      <c r="AE42" s="784">
        <f>IF(V42&gt;Y41,Y42-V42+1,Y42-Y41)</f>
        <v>31</v>
      </c>
      <c r="AF42" s="785"/>
      <c r="AG42" s="786"/>
      <c r="AH42" s="14" t="s">
        <v>464</v>
      </c>
      <c r="AL42" s="291"/>
    </row>
    <row r="43" spans="1:38" ht="16.5" customHeight="1">
      <c r="A43" s="459"/>
      <c r="B43" s="663"/>
      <c r="C43" s="460"/>
      <c r="D43" s="459"/>
      <c r="E43" s="663"/>
      <c r="F43" s="663"/>
      <c r="G43" s="460"/>
      <c r="H43" s="474"/>
      <c r="I43" s="787"/>
      <c r="J43" s="787"/>
      <c r="K43" s="787"/>
      <c r="L43" s="787"/>
      <c r="M43" s="787"/>
      <c r="N43" s="787"/>
      <c r="O43" s="787"/>
      <c r="P43" s="787"/>
      <c r="Q43" s="475"/>
      <c r="R43" s="469"/>
      <c r="S43" s="788"/>
      <c r="T43" s="788"/>
      <c r="U43" s="470"/>
      <c r="V43" s="781"/>
      <c r="W43" s="782"/>
      <c r="X43" s="783"/>
      <c r="Y43" s="781"/>
      <c r="Z43" s="782"/>
      <c r="AA43" s="783"/>
      <c r="AB43" s="781"/>
      <c r="AC43" s="782"/>
      <c r="AD43" s="783"/>
      <c r="AE43" s="784"/>
      <c r="AF43" s="785"/>
      <c r="AG43" s="786"/>
      <c r="AH43" s="14"/>
      <c r="AL43" s="291"/>
    </row>
    <row r="44" spans="1:38" ht="16.5" customHeight="1">
      <c r="A44" s="459"/>
      <c r="B44" s="663"/>
      <c r="C44" s="460"/>
      <c r="D44" s="459"/>
      <c r="E44" s="663"/>
      <c r="F44" s="663"/>
      <c r="G44" s="460"/>
      <c r="H44" s="474"/>
      <c r="I44" s="787"/>
      <c r="J44" s="787"/>
      <c r="K44" s="787"/>
      <c r="L44" s="787"/>
      <c r="M44" s="787"/>
      <c r="N44" s="787"/>
      <c r="O44" s="787"/>
      <c r="P44" s="787"/>
      <c r="Q44" s="475"/>
      <c r="R44" s="469"/>
      <c r="S44" s="788"/>
      <c r="T44" s="788"/>
      <c r="U44" s="470"/>
      <c r="V44" s="781">
        <v>40909</v>
      </c>
      <c r="W44" s="782"/>
      <c r="X44" s="783"/>
      <c r="Y44" s="781">
        <v>42431</v>
      </c>
      <c r="Z44" s="782"/>
      <c r="AA44" s="783"/>
      <c r="AB44" s="781" t="s">
        <v>436</v>
      </c>
      <c r="AC44" s="782"/>
      <c r="AD44" s="783"/>
      <c r="AE44" s="784">
        <f>IF(V44&gt;Y43,Y44-V44+1,Y44-Y43)</f>
        <v>1523</v>
      </c>
      <c r="AF44" s="785"/>
      <c r="AG44" s="786"/>
      <c r="AH44" s="14"/>
      <c r="AL44" s="291"/>
    </row>
    <row r="45" spans="1:38" ht="16.5" customHeight="1" thickBot="1">
      <c r="A45" s="697" t="s">
        <v>230</v>
      </c>
      <c r="B45" s="698"/>
      <c r="C45" s="699"/>
      <c r="D45" s="697" t="s">
        <v>437</v>
      </c>
      <c r="E45" s="698"/>
      <c r="F45" s="698"/>
      <c r="G45" s="698"/>
      <c r="H45" s="697"/>
      <c r="I45" s="698"/>
      <c r="J45" s="698"/>
      <c r="K45" s="698"/>
      <c r="L45" s="698"/>
      <c r="M45" s="698"/>
      <c r="N45" s="698"/>
      <c r="O45" s="698"/>
      <c r="P45" s="698"/>
      <c r="Q45" s="699"/>
      <c r="R45" s="697"/>
      <c r="S45" s="698"/>
      <c r="T45" s="698"/>
      <c r="U45" s="699"/>
      <c r="V45" s="697"/>
      <c r="W45" s="698"/>
      <c r="X45" s="699"/>
      <c r="Y45" s="697"/>
      <c r="Z45" s="698"/>
      <c r="AA45" s="699"/>
      <c r="AB45" s="697"/>
      <c r="AC45" s="698"/>
      <c r="AD45" s="699"/>
      <c r="AE45" s="700">
        <f>SUM(AE41:AE44)</f>
        <v>1554</v>
      </c>
      <c r="AF45" s="701"/>
      <c r="AG45" s="702"/>
      <c r="AH45" s="14"/>
      <c r="AL45" s="291"/>
    </row>
    <row r="46" spans="1:38" ht="16.5" customHeight="1" thickTop="1">
      <c r="A46" s="474" t="s">
        <v>427</v>
      </c>
      <c r="B46" s="787"/>
      <c r="C46" s="475"/>
      <c r="D46" s="474"/>
      <c r="E46" s="787"/>
      <c r="F46" s="787"/>
      <c r="G46" s="475"/>
      <c r="H46" s="474"/>
      <c r="I46" s="787"/>
      <c r="J46" s="787"/>
      <c r="K46" s="787"/>
      <c r="L46" s="787"/>
      <c r="M46" s="787"/>
      <c r="N46" s="787"/>
      <c r="O46" s="787"/>
      <c r="P46" s="787"/>
      <c r="Q46" s="475"/>
      <c r="R46" s="474"/>
      <c r="S46" s="787"/>
      <c r="T46" s="787"/>
      <c r="U46" s="475"/>
      <c r="V46" s="795">
        <v>40224</v>
      </c>
      <c r="W46" s="796"/>
      <c r="X46" s="797"/>
      <c r="Y46" s="795">
        <v>40522</v>
      </c>
      <c r="Z46" s="796"/>
      <c r="AA46" s="797"/>
      <c r="AB46" s="789" t="s">
        <v>438</v>
      </c>
      <c r="AC46" s="790"/>
      <c r="AD46" s="791"/>
      <c r="AE46" s="792">
        <f>Y46-V46+1</f>
        <v>299</v>
      </c>
      <c r="AF46" s="793"/>
      <c r="AG46" s="794"/>
      <c r="AH46" s="14"/>
      <c r="AL46" s="291"/>
    </row>
    <row r="47" spans="1:38" ht="16.5" customHeight="1">
      <c r="A47" s="459"/>
      <c r="B47" s="663"/>
      <c r="C47" s="460"/>
      <c r="D47" s="459"/>
      <c r="E47" s="663"/>
      <c r="F47" s="663"/>
      <c r="G47" s="460"/>
      <c r="H47" s="474"/>
      <c r="I47" s="787"/>
      <c r="J47" s="787"/>
      <c r="K47" s="787"/>
      <c r="L47" s="787"/>
      <c r="M47" s="787"/>
      <c r="N47" s="787"/>
      <c r="O47" s="787"/>
      <c r="P47" s="787"/>
      <c r="Q47" s="475"/>
      <c r="R47" s="469"/>
      <c r="S47" s="788"/>
      <c r="T47" s="788"/>
      <c r="U47" s="470"/>
      <c r="V47" s="781">
        <v>41395</v>
      </c>
      <c r="W47" s="782"/>
      <c r="X47" s="783"/>
      <c r="Y47" s="781">
        <v>41698</v>
      </c>
      <c r="Z47" s="782"/>
      <c r="AA47" s="783"/>
      <c r="AB47" s="781" t="s">
        <v>435</v>
      </c>
      <c r="AC47" s="782"/>
      <c r="AD47" s="783"/>
      <c r="AE47" s="784">
        <f>IF(V47&gt;Y46,Y47-V47+1,Y47-Y46)</f>
        <v>304</v>
      </c>
      <c r="AF47" s="785"/>
      <c r="AG47" s="786"/>
      <c r="AH47" s="14"/>
      <c r="AL47" s="291"/>
    </row>
    <row r="48" spans="1:38" ht="16.5" customHeight="1">
      <c r="A48" s="459"/>
      <c r="B48" s="663"/>
      <c r="C48" s="460"/>
      <c r="D48" s="459"/>
      <c r="E48" s="663"/>
      <c r="F48" s="663"/>
      <c r="G48" s="460"/>
      <c r="H48" s="474"/>
      <c r="I48" s="787"/>
      <c r="J48" s="787"/>
      <c r="K48" s="787"/>
      <c r="L48" s="787"/>
      <c r="M48" s="787"/>
      <c r="N48" s="787"/>
      <c r="O48" s="787"/>
      <c r="P48" s="787"/>
      <c r="Q48" s="475"/>
      <c r="R48" s="469"/>
      <c r="S48" s="788"/>
      <c r="T48" s="788"/>
      <c r="U48" s="470"/>
      <c r="V48" s="781"/>
      <c r="W48" s="782"/>
      <c r="X48" s="783"/>
      <c r="Y48" s="781"/>
      <c r="Z48" s="782"/>
      <c r="AA48" s="783"/>
      <c r="AB48" s="781"/>
      <c r="AC48" s="782"/>
      <c r="AD48" s="783"/>
      <c r="AE48" s="784"/>
      <c r="AF48" s="785"/>
      <c r="AG48" s="786"/>
      <c r="AH48" s="14"/>
      <c r="AL48" s="291"/>
    </row>
    <row r="49" spans="1:38" ht="16.5" customHeight="1">
      <c r="A49" s="459"/>
      <c r="B49" s="663"/>
      <c r="C49" s="460"/>
      <c r="D49" s="459"/>
      <c r="E49" s="663"/>
      <c r="F49" s="663"/>
      <c r="G49" s="460"/>
      <c r="H49" s="474"/>
      <c r="I49" s="787"/>
      <c r="J49" s="787"/>
      <c r="K49" s="787"/>
      <c r="L49" s="787"/>
      <c r="M49" s="787"/>
      <c r="N49" s="787"/>
      <c r="O49" s="787"/>
      <c r="P49" s="787"/>
      <c r="Q49" s="475"/>
      <c r="R49" s="469"/>
      <c r="S49" s="788"/>
      <c r="T49" s="788"/>
      <c r="U49" s="470"/>
      <c r="V49" s="781"/>
      <c r="W49" s="782"/>
      <c r="X49" s="783"/>
      <c r="Y49" s="781"/>
      <c r="Z49" s="782"/>
      <c r="AA49" s="783"/>
      <c r="AB49" s="781"/>
      <c r="AC49" s="782"/>
      <c r="AD49" s="783"/>
      <c r="AE49" s="784"/>
      <c r="AF49" s="785"/>
      <c r="AG49" s="786"/>
      <c r="AH49" s="14"/>
      <c r="AL49" s="291"/>
    </row>
    <row r="50" spans="1:38" ht="16.5" customHeight="1" thickBot="1">
      <c r="A50" s="697" t="s">
        <v>230</v>
      </c>
      <c r="B50" s="698"/>
      <c r="C50" s="699"/>
      <c r="D50" s="697" t="s">
        <v>437</v>
      </c>
      <c r="E50" s="698"/>
      <c r="F50" s="698"/>
      <c r="G50" s="698"/>
      <c r="H50" s="697"/>
      <c r="I50" s="698"/>
      <c r="J50" s="698"/>
      <c r="K50" s="698"/>
      <c r="L50" s="698"/>
      <c r="M50" s="698"/>
      <c r="N50" s="698"/>
      <c r="O50" s="698"/>
      <c r="P50" s="698"/>
      <c r="Q50" s="699"/>
      <c r="R50" s="697"/>
      <c r="S50" s="698"/>
      <c r="T50" s="698"/>
      <c r="U50" s="699"/>
      <c r="V50" s="697"/>
      <c r="W50" s="698"/>
      <c r="X50" s="699"/>
      <c r="Y50" s="697"/>
      <c r="Z50" s="698"/>
      <c r="AA50" s="699"/>
      <c r="AB50" s="697"/>
      <c r="AC50" s="698"/>
      <c r="AD50" s="699"/>
      <c r="AE50" s="700">
        <f>SUM(AE46:AE49)</f>
        <v>603</v>
      </c>
      <c r="AF50" s="701"/>
      <c r="AG50" s="702"/>
      <c r="AH50" s="14"/>
      <c r="AL50" s="291"/>
    </row>
    <row r="51" spans="1:38" ht="16.5" customHeight="1" thickTop="1">
      <c r="A51" s="474" t="s">
        <v>429</v>
      </c>
      <c r="B51" s="787"/>
      <c r="C51" s="475"/>
      <c r="D51" s="474"/>
      <c r="E51" s="787"/>
      <c r="F51" s="787"/>
      <c r="G51" s="475"/>
      <c r="H51" s="474"/>
      <c r="I51" s="787"/>
      <c r="J51" s="787"/>
      <c r="K51" s="787"/>
      <c r="L51" s="787"/>
      <c r="M51" s="787"/>
      <c r="N51" s="787"/>
      <c r="O51" s="787"/>
      <c r="P51" s="787"/>
      <c r="Q51" s="475"/>
      <c r="R51" s="474"/>
      <c r="S51" s="787"/>
      <c r="T51" s="787"/>
      <c r="U51" s="475"/>
      <c r="V51" s="795">
        <v>40240</v>
      </c>
      <c r="W51" s="796"/>
      <c r="X51" s="797"/>
      <c r="Y51" s="795">
        <v>41284</v>
      </c>
      <c r="Z51" s="796"/>
      <c r="AA51" s="797"/>
      <c r="AB51" s="789" t="s">
        <v>435</v>
      </c>
      <c r="AC51" s="790"/>
      <c r="AD51" s="791"/>
      <c r="AE51" s="792">
        <f>Y51-V51+1</f>
        <v>1045</v>
      </c>
      <c r="AF51" s="793"/>
      <c r="AG51" s="794"/>
      <c r="AH51" s="14"/>
      <c r="AL51" s="291"/>
    </row>
    <row r="52" spans="1:38" ht="16.5" customHeight="1">
      <c r="A52" s="459"/>
      <c r="B52" s="663"/>
      <c r="C52" s="460"/>
      <c r="D52" s="459"/>
      <c r="E52" s="663"/>
      <c r="F52" s="663"/>
      <c r="G52" s="460"/>
      <c r="H52" s="474"/>
      <c r="I52" s="787"/>
      <c r="J52" s="787"/>
      <c r="K52" s="787"/>
      <c r="L52" s="787"/>
      <c r="M52" s="787"/>
      <c r="N52" s="787"/>
      <c r="O52" s="787"/>
      <c r="P52" s="787"/>
      <c r="Q52" s="475"/>
      <c r="R52" s="469"/>
      <c r="S52" s="788"/>
      <c r="T52" s="788"/>
      <c r="U52" s="470"/>
      <c r="V52" s="781">
        <v>42400</v>
      </c>
      <c r="W52" s="782"/>
      <c r="X52" s="783"/>
      <c r="Y52" s="781">
        <v>42635</v>
      </c>
      <c r="Z52" s="782"/>
      <c r="AA52" s="783"/>
      <c r="AB52" s="781" t="s">
        <v>436</v>
      </c>
      <c r="AC52" s="782"/>
      <c r="AD52" s="783"/>
      <c r="AE52" s="784">
        <f>IF(V52&gt;Y51,Y52-V52+1,Y52-Y51)</f>
        <v>236</v>
      </c>
      <c r="AF52" s="785"/>
      <c r="AG52" s="786"/>
      <c r="AH52" s="14"/>
      <c r="AL52" s="291"/>
    </row>
    <row r="53" spans="1:38" ht="16.5" customHeight="1">
      <c r="A53" s="459"/>
      <c r="B53" s="663"/>
      <c r="C53" s="460"/>
      <c r="D53" s="459"/>
      <c r="E53" s="663"/>
      <c r="F53" s="663"/>
      <c r="G53" s="460"/>
      <c r="H53" s="474"/>
      <c r="I53" s="787"/>
      <c r="J53" s="787"/>
      <c r="K53" s="787"/>
      <c r="L53" s="787"/>
      <c r="M53" s="787"/>
      <c r="N53" s="787"/>
      <c r="O53" s="787"/>
      <c r="P53" s="787"/>
      <c r="Q53" s="475"/>
      <c r="R53" s="469"/>
      <c r="S53" s="788"/>
      <c r="T53" s="788"/>
      <c r="U53" s="470"/>
      <c r="V53" s="781">
        <v>41310</v>
      </c>
      <c r="W53" s="782"/>
      <c r="X53" s="783"/>
      <c r="Y53" s="781">
        <v>41850</v>
      </c>
      <c r="Z53" s="782"/>
      <c r="AA53" s="783"/>
      <c r="AB53" s="781"/>
      <c r="AC53" s="782"/>
      <c r="AD53" s="783"/>
      <c r="AE53" s="784" t="s">
        <v>439</v>
      </c>
      <c r="AF53" s="785"/>
      <c r="AG53" s="786"/>
      <c r="AH53" s="14"/>
      <c r="AL53" s="291"/>
    </row>
    <row r="54" spans="1:38" ht="16.5" customHeight="1">
      <c r="A54" s="459"/>
      <c r="B54" s="663"/>
      <c r="C54" s="460"/>
      <c r="D54" s="459"/>
      <c r="E54" s="663"/>
      <c r="F54" s="663"/>
      <c r="G54" s="460"/>
      <c r="H54" s="474"/>
      <c r="I54" s="787"/>
      <c r="J54" s="787"/>
      <c r="K54" s="787"/>
      <c r="L54" s="787"/>
      <c r="M54" s="787"/>
      <c r="N54" s="787"/>
      <c r="O54" s="787"/>
      <c r="P54" s="787"/>
      <c r="Q54" s="475"/>
      <c r="R54" s="469"/>
      <c r="S54" s="788"/>
      <c r="T54" s="788"/>
      <c r="U54" s="470"/>
      <c r="V54" s="781"/>
      <c r="W54" s="782"/>
      <c r="X54" s="783"/>
      <c r="Y54" s="781"/>
      <c r="Z54" s="782"/>
      <c r="AA54" s="783"/>
      <c r="AB54" s="781"/>
      <c r="AC54" s="782"/>
      <c r="AD54" s="783"/>
      <c r="AE54" s="784"/>
      <c r="AF54" s="785"/>
      <c r="AG54" s="786"/>
      <c r="AH54" s="14"/>
      <c r="AL54" s="291"/>
    </row>
    <row r="55" spans="1:38" ht="16.5" customHeight="1">
      <c r="A55" s="697" t="s">
        <v>230</v>
      </c>
      <c r="B55" s="698"/>
      <c r="C55" s="699"/>
      <c r="D55" s="697" t="s">
        <v>437</v>
      </c>
      <c r="E55" s="698"/>
      <c r="F55" s="698"/>
      <c r="G55" s="698"/>
      <c r="H55" s="697"/>
      <c r="I55" s="698"/>
      <c r="J55" s="698"/>
      <c r="K55" s="698"/>
      <c r="L55" s="698"/>
      <c r="M55" s="698"/>
      <c r="N55" s="698"/>
      <c r="O55" s="698"/>
      <c r="P55" s="698"/>
      <c r="Q55" s="699"/>
      <c r="R55" s="697"/>
      <c r="S55" s="698"/>
      <c r="T55" s="698"/>
      <c r="U55" s="699"/>
      <c r="V55" s="697"/>
      <c r="W55" s="698"/>
      <c r="X55" s="699"/>
      <c r="Y55" s="697"/>
      <c r="Z55" s="698"/>
      <c r="AA55" s="699"/>
      <c r="AB55" s="697"/>
      <c r="AC55" s="698"/>
      <c r="AD55" s="699"/>
      <c r="AE55" s="700">
        <f>SUM(AE51:AE54)</f>
        <v>1281</v>
      </c>
      <c r="AF55" s="701"/>
      <c r="AG55" s="702"/>
      <c r="AH55" s="14"/>
      <c r="AL55" s="291"/>
    </row>
    <row r="56" spans="1:38" ht="16.5" customHeight="1">
      <c r="A56" s="284"/>
      <c r="B56" s="284"/>
      <c r="C56" s="284"/>
      <c r="D56" s="284"/>
      <c r="E56" s="284"/>
      <c r="F56" s="284"/>
      <c r="G56" s="284"/>
      <c r="H56" s="294"/>
      <c r="I56" s="294"/>
      <c r="J56" s="294"/>
      <c r="K56" s="294"/>
      <c r="L56" s="294"/>
      <c r="M56" s="294"/>
      <c r="N56" s="294"/>
      <c r="O56" s="294"/>
      <c r="P56" s="294"/>
      <c r="Q56" s="294"/>
      <c r="R56" s="294"/>
      <c r="S56" s="294"/>
      <c r="T56" s="294"/>
      <c r="U56" s="294"/>
      <c r="V56" s="324"/>
      <c r="W56" s="324"/>
      <c r="X56" s="324"/>
      <c r="Y56" s="324"/>
      <c r="Z56" s="324"/>
      <c r="AA56" s="324"/>
      <c r="AB56" s="324"/>
      <c r="AC56" s="324"/>
      <c r="AD56" s="324"/>
      <c r="AE56" s="325"/>
      <c r="AF56" s="325"/>
      <c r="AG56" s="325"/>
      <c r="AH56" s="14"/>
      <c r="AL56" s="291"/>
    </row>
    <row r="57" spans="1:38" ht="16.5" customHeight="1">
      <c r="A57" s="142" t="s">
        <v>440</v>
      </c>
      <c r="AL57" s="291"/>
    </row>
    <row r="58" spans="1:38" ht="16.5" customHeight="1">
      <c r="A58" s="746" t="s">
        <v>441</v>
      </c>
      <c r="B58" s="746"/>
      <c r="C58" s="746"/>
      <c r="D58" s="747" t="s">
        <v>442</v>
      </c>
      <c r="E58" s="748"/>
      <c r="F58" s="749"/>
      <c r="G58" s="756" t="s">
        <v>443</v>
      </c>
      <c r="H58" s="757"/>
      <c r="I58" s="757"/>
      <c r="J58" s="757"/>
      <c r="K58" s="757"/>
      <c r="L58" s="757"/>
      <c r="M58" s="757"/>
      <c r="N58" s="757"/>
      <c r="O58" s="757"/>
      <c r="P58" s="757"/>
      <c r="Q58" s="757"/>
      <c r="R58" s="757"/>
      <c r="S58" s="757"/>
      <c r="T58" s="757"/>
      <c r="U58" s="758"/>
      <c r="V58" s="756" t="s">
        <v>444</v>
      </c>
      <c r="W58" s="757"/>
      <c r="X58" s="757"/>
      <c r="Y58" s="757"/>
      <c r="Z58" s="757"/>
      <c r="AA58" s="757"/>
      <c r="AB58" s="757"/>
      <c r="AC58" s="757"/>
      <c r="AD58" s="757"/>
      <c r="AE58" s="757"/>
      <c r="AF58" s="757"/>
      <c r="AG58" s="758"/>
    </row>
    <row r="59" spans="1:38" ht="16.5" customHeight="1">
      <c r="A59" s="746"/>
      <c r="B59" s="746"/>
      <c r="C59" s="746"/>
      <c r="D59" s="750"/>
      <c r="E59" s="751"/>
      <c r="F59" s="752"/>
      <c r="G59" s="759"/>
      <c r="H59" s="760"/>
      <c r="I59" s="760"/>
      <c r="J59" s="760"/>
      <c r="K59" s="760"/>
      <c r="L59" s="760"/>
      <c r="M59" s="760"/>
      <c r="N59" s="760"/>
      <c r="O59" s="760"/>
      <c r="P59" s="760"/>
      <c r="Q59" s="760"/>
      <c r="R59" s="760"/>
      <c r="S59" s="760"/>
      <c r="T59" s="760"/>
      <c r="U59" s="761"/>
      <c r="V59" s="759"/>
      <c r="W59" s="760"/>
      <c r="X59" s="760"/>
      <c r="Y59" s="760"/>
      <c r="Z59" s="760"/>
      <c r="AA59" s="760"/>
      <c r="AB59" s="760"/>
      <c r="AC59" s="760"/>
      <c r="AD59" s="760"/>
      <c r="AE59" s="760"/>
      <c r="AF59" s="760"/>
      <c r="AG59" s="761"/>
    </row>
    <row r="60" spans="1:38" ht="16.5" customHeight="1">
      <c r="A60" s="746"/>
      <c r="B60" s="746"/>
      <c r="C60" s="746"/>
      <c r="D60" s="750"/>
      <c r="E60" s="751"/>
      <c r="F60" s="752"/>
      <c r="G60" s="774" t="s">
        <v>445</v>
      </c>
      <c r="H60" s="774"/>
      <c r="I60" s="774"/>
      <c r="J60" s="762" t="s">
        <v>446</v>
      </c>
      <c r="K60" s="763"/>
      <c r="L60" s="763"/>
      <c r="M60" s="764"/>
      <c r="N60" s="740" t="s">
        <v>447</v>
      </c>
      <c r="O60" s="741"/>
      <c r="P60" s="741"/>
      <c r="Q60" s="742"/>
      <c r="R60" s="740" t="s">
        <v>448</v>
      </c>
      <c r="S60" s="741"/>
      <c r="T60" s="741"/>
      <c r="U60" s="742"/>
      <c r="V60" s="762" t="s">
        <v>449</v>
      </c>
      <c r="W60" s="763"/>
      <c r="X60" s="763"/>
      <c r="Y60" s="764"/>
      <c r="Z60" s="762" t="s">
        <v>450</v>
      </c>
      <c r="AA60" s="763"/>
      <c r="AB60" s="763"/>
      <c r="AC60" s="764"/>
      <c r="AD60" s="740" t="s">
        <v>451</v>
      </c>
      <c r="AE60" s="741"/>
      <c r="AF60" s="741"/>
      <c r="AG60" s="742"/>
    </row>
    <row r="61" spans="1:38" ht="16.5" customHeight="1">
      <c r="A61" s="746"/>
      <c r="B61" s="746"/>
      <c r="C61" s="746"/>
      <c r="D61" s="750"/>
      <c r="E61" s="751"/>
      <c r="F61" s="752"/>
      <c r="G61" s="774"/>
      <c r="H61" s="774"/>
      <c r="I61" s="774"/>
      <c r="J61" s="768"/>
      <c r="K61" s="769"/>
      <c r="L61" s="769"/>
      <c r="M61" s="770"/>
      <c r="N61" s="743"/>
      <c r="O61" s="744"/>
      <c r="P61" s="744"/>
      <c r="Q61" s="745"/>
      <c r="R61" s="743"/>
      <c r="S61" s="744"/>
      <c r="T61" s="744"/>
      <c r="U61" s="745"/>
      <c r="V61" s="765"/>
      <c r="W61" s="766"/>
      <c r="X61" s="766"/>
      <c r="Y61" s="767"/>
      <c r="Z61" s="765"/>
      <c r="AA61" s="766"/>
      <c r="AB61" s="766"/>
      <c r="AC61" s="767"/>
      <c r="AD61" s="771"/>
      <c r="AE61" s="772"/>
      <c r="AF61" s="772"/>
      <c r="AG61" s="773"/>
    </row>
    <row r="62" spans="1:38" ht="16.5" customHeight="1">
      <c r="A62" s="746"/>
      <c r="B62" s="746"/>
      <c r="C62" s="746"/>
      <c r="D62" s="750"/>
      <c r="E62" s="751"/>
      <c r="F62" s="752"/>
      <c r="G62" s="774" t="s">
        <v>452</v>
      </c>
      <c r="H62" s="774"/>
      <c r="I62" s="774"/>
      <c r="J62" s="740" t="s">
        <v>453</v>
      </c>
      <c r="K62" s="741"/>
      <c r="L62" s="741"/>
      <c r="M62" s="742"/>
      <c r="N62" s="762" t="s">
        <v>454</v>
      </c>
      <c r="O62" s="763"/>
      <c r="P62" s="763"/>
      <c r="Q62" s="764"/>
      <c r="R62" s="740" t="s">
        <v>455</v>
      </c>
      <c r="S62" s="741"/>
      <c r="T62" s="741"/>
      <c r="U62" s="742"/>
      <c r="V62" s="765"/>
      <c r="W62" s="766"/>
      <c r="X62" s="766"/>
      <c r="Y62" s="767"/>
      <c r="Z62" s="765"/>
      <c r="AA62" s="766"/>
      <c r="AB62" s="766"/>
      <c r="AC62" s="767"/>
      <c r="AD62" s="771"/>
      <c r="AE62" s="772"/>
      <c r="AF62" s="772"/>
      <c r="AG62" s="773"/>
    </row>
    <row r="63" spans="1:38" ht="16.5" customHeight="1">
      <c r="A63" s="746"/>
      <c r="B63" s="746"/>
      <c r="C63" s="746"/>
      <c r="D63" s="750"/>
      <c r="E63" s="751"/>
      <c r="F63" s="752"/>
      <c r="G63" s="774"/>
      <c r="H63" s="774"/>
      <c r="I63" s="774"/>
      <c r="J63" s="743"/>
      <c r="K63" s="744"/>
      <c r="L63" s="744"/>
      <c r="M63" s="745"/>
      <c r="N63" s="768"/>
      <c r="O63" s="769"/>
      <c r="P63" s="769"/>
      <c r="Q63" s="770"/>
      <c r="R63" s="743"/>
      <c r="S63" s="744"/>
      <c r="T63" s="744"/>
      <c r="U63" s="745"/>
      <c r="V63" s="765"/>
      <c r="W63" s="766"/>
      <c r="X63" s="766"/>
      <c r="Y63" s="767"/>
      <c r="Z63" s="765"/>
      <c r="AA63" s="766"/>
      <c r="AB63" s="766"/>
      <c r="AC63" s="767"/>
      <c r="AD63" s="771"/>
      <c r="AE63" s="772"/>
      <c r="AF63" s="772"/>
      <c r="AG63" s="773"/>
    </row>
    <row r="64" spans="1:38" ht="16.5" customHeight="1">
      <c r="A64" s="746"/>
      <c r="B64" s="746"/>
      <c r="C64" s="746"/>
      <c r="D64" s="750"/>
      <c r="E64" s="751"/>
      <c r="F64" s="752"/>
      <c r="G64" s="774" t="s">
        <v>456</v>
      </c>
      <c r="H64" s="774"/>
      <c r="I64" s="774"/>
      <c r="J64" s="740" t="s">
        <v>457</v>
      </c>
      <c r="K64" s="741"/>
      <c r="L64" s="741"/>
      <c r="M64" s="742"/>
      <c r="N64" s="775" t="s">
        <v>458</v>
      </c>
      <c r="O64" s="776"/>
      <c r="P64" s="776"/>
      <c r="Q64" s="777"/>
      <c r="R64" s="740" t="s">
        <v>448</v>
      </c>
      <c r="S64" s="741"/>
      <c r="T64" s="741"/>
      <c r="U64" s="742"/>
      <c r="V64" s="765"/>
      <c r="W64" s="766"/>
      <c r="X64" s="766"/>
      <c r="Y64" s="767"/>
      <c r="Z64" s="765"/>
      <c r="AA64" s="766"/>
      <c r="AB64" s="766"/>
      <c r="AC64" s="767"/>
      <c r="AD64" s="771"/>
      <c r="AE64" s="772"/>
      <c r="AF64" s="772"/>
      <c r="AG64" s="773"/>
    </row>
    <row r="65" spans="1:33" ht="16.5" customHeight="1">
      <c r="A65" s="746"/>
      <c r="B65" s="746"/>
      <c r="C65" s="746"/>
      <c r="D65" s="753"/>
      <c r="E65" s="754"/>
      <c r="F65" s="755"/>
      <c r="G65" s="774"/>
      <c r="H65" s="774"/>
      <c r="I65" s="774"/>
      <c r="J65" s="743"/>
      <c r="K65" s="744"/>
      <c r="L65" s="744"/>
      <c r="M65" s="745"/>
      <c r="N65" s="778"/>
      <c r="O65" s="779"/>
      <c r="P65" s="779"/>
      <c r="Q65" s="780"/>
      <c r="R65" s="743"/>
      <c r="S65" s="744"/>
      <c r="T65" s="744"/>
      <c r="U65" s="745"/>
      <c r="V65" s="768"/>
      <c r="W65" s="769"/>
      <c r="X65" s="769"/>
      <c r="Y65" s="770"/>
      <c r="Z65" s="768"/>
      <c r="AA65" s="769"/>
      <c r="AB65" s="769"/>
      <c r="AC65" s="770"/>
      <c r="AD65" s="743"/>
      <c r="AE65" s="744"/>
      <c r="AF65" s="744"/>
      <c r="AG65" s="745"/>
    </row>
    <row r="66" spans="1:33" ht="16.5" customHeight="1">
      <c r="A66" s="675" t="str">
        <f>A7</f>
        <v>가가가</v>
      </c>
      <c r="B66" s="675"/>
      <c r="C66" s="675"/>
      <c r="D66" s="731">
        <f>AE24</f>
        <v>2187</v>
      </c>
      <c r="E66" s="732"/>
      <c r="F66" s="733"/>
      <c r="G66" s="735"/>
      <c r="H66" s="735"/>
      <c r="I66" s="735"/>
      <c r="J66" s="696">
        <f>AE41</f>
        <v>0</v>
      </c>
      <c r="K66" s="690"/>
      <c r="L66" s="690"/>
      <c r="M66" s="691"/>
      <c r="N66" s="696">
        <f>AE42+AE43</f>
        <v>31</v>
      </c>
      <c r="O66" s="690"/>
      <c r="P66" s="690"/>
      <c r="Q66" s="691"/>
      <c r="R66" s="696">
        <f>AE44</f>
        <v>1523</v>
      </c>
      <c r="S66" s="690"/>
      <c r="T66" s="690"/>
      <c r="U66" s="691"/>
      <c r="V66" s="689"/>
      <c r="W66" s="690"/>
      <c r="X66" s="690"/>
      <c r="Y66" s="691"/>
      <c r="Z66" s="696"/>
      <c r="AA66" s="690"/>
      <c r="AB66" s="690"/>
      <c r="AC66" s="691"/>
      <c r="AD66" s="696"/>
      <c r="AE66" s="690"/>
      <c r="AF66" s="690"/>
      <c r="AG66" s="691"/>
    </row>
    <row r="67" spans="1:33" ht="16.5" customHeight="1">
      <c r="A67" s="675"/>
      <c r="B67" s="675"/>
      <c r="C67" s="675"/>
      <c r="D67" s="737"/>
      <c r="E67" s="738"/>
      <c r="F67" s="739"/>
      <c r="G67" s="735"/>
      <c r="H67" s="735"/>
      <c r="I67" s="735"/>
      <c r="J67" s="463"/>
      <c r="K67" s="695"/>
      <c r="L67" s="695"/>
      <c r="M67" s="464"/>
      <c r="N67" s="463"/>
      <c r="O67" s="695"/>
      <c r="P67" s="695"/>
      <c r="Q67" s="464"/>
      <c r="R67" s="463"/>
      <c r="S67" s="695"/>
      <c r="T67" s="695"/>
      <c r="U67" s="464"/>
      <c r="V67" s="463"/>
      <c r="W67" s="695"/>
      <c r="X67" s="695"/>
      <c r="Y67" s="464"/>
      <c r="Z67" s="463"/>
      <c r="AA67" s="695"/>
      <c r="AB67" s="695"/>
      <c r="AC67" s="464"/>
      <c r="AD67" s="463"/>
      <c r="AE67" s="695"/>
      <c r="AF67" s="695"/>
      <c r="AG67" s="464"/>
    </row>
    <row r="68" spans="1:33" ht="16.5" customHeight="1">
      <c r="A68" s="675" t="s">
        <v>427</v>
      </c>
      <c r="B68" s="675"/>
      <c r="C68" s="675"/>
      <c r="D68" s="731">
        <f>AE30</f>
        <v>1500</v>
      </c>
      <c r="E68" s="732"/>
      <c r="F68" s="733"/>
      <c r="G68" s="735"/>
      <c r="H68" s="735"/>
      <c r="I68" s="735"/>
      <c r="J68" s="696">
        <f>AE46</f>
        <v>299</v>
      </c>
      <c r="K68" s="690"/>
      <c r="L68" s="690"/>
      <c r="M68" s="691"/>
      <c r="N68" s="696">
        <f>AE47</f>
        <v>304</v>
      </c>
      <c r="O68" s="690"/>
      <c r="P68" s="690"/>
      <c r="Q68" s="691"/>
      <c r="R68" s="689"/>
      <c r="S68" s="690"/>
      <c r="T68" s="690"/>
      <c r="U68" s="691"/>
      <c r="V68" s="689"/>
      <c r="W68" s="690"/>
      <c r="X68" s="690"/>
      <c r="Y68" s="691"/>
      <c r="Z68" s="689"/>
      <c r="AA68" s="690"/>
      <c r="AB68" s="690"/>
      <c r="AC68" s="691"/>
      <c r="AD68" s="689"/>
      <c r="AE68" s="690"/>
      <c r="AF68" s="690"/>
      <c r="AG68" s="691"/>
    </row>
    <row r="69" spans="1:33" ht="16.5" customHeight="1">
      <c r="A69" s="675"/>
      <c r="B69" s="675"/>
      <c r="C69" s="675"/>
      <c r="D69" s="737"/>
      <c r="E69" s="738"/>
      <c r="F69" s="739"/>
      <c r="G69" s="735"/>
      <c r="H69" s="735"/>
      <c r="I69" s="735"/>
      <c r="J69" s="463"/>
      <c r="K69" s="695"/>
      <c r="L69" s="695"/>
      <c r="M69" s="464"/>
      <c r="N69" s="463"/>
      <c r="O69" s="695"/>
      <c r="P69" s="695"/>
      <c r="Q69" s="464"/>
      <c r="R69" s="463"/>
      <c r="S69" s="695"/>
      <c r="T69" s="695"/>
      <c r="U69" s="464"/>
      <c r="V69" s="463"/>
      <c r="W69" s="695"/>
      <c r="X69" s="695"/>
      <c r="Y69" s="464"/>
      <c r="Z69" s="463"/>
      <c r="AA69" s="695"/>
      <c r="AB69" s="695"/>
      <c r="AC69" s="464"/>
      <c r="AD69" s="463"/>
      <c r="AE69" s="695"/>
      <c r="AF69" s="695"/>
      <c r="AG69" s="464"/>
    </row>
    <row r="70" spans="1:33" ht="16.5" customHeight="1">
      <c r="A70" s="675" t="s">
        <v>429</v>
      </c>
      <c r="B70" s="675"/>
      <c r="C70" s="675"/>
      <c r="D70" s="731">
        <f>AE36</f>
        <v>1420</v>
      </c>
      <c r="E70" s="732"/>
      <c r="F70" s="733"/>
      <c r="G70" s="735"/>
      <c r="H70" s="735"/>
      <c r="I70" s="735"/>
      <c r="J70" s="689"/>
      <c r="K70" s="690"/>
      <c r="L70" s="690"/>
      <c r="M70" s="691"/>
      <c r="N70" s="696">
        <f>AE51</f>
        <v>1045</v>
      </c>
      <c r="O70" s="690"/>
      <c r="P70" s="690"/>
      <c r="Q70" s="691"/>
      <c r="R70" s="696">
        <f>AE52</f>
        <v>236</v>
      </c>
      <c r="S70" s="690"/>
      <c r="T70" s="690"/>
      <c r="U70" s="691"/>
      <c r="V70" s="689"/>
      <c r="W70" s="690"/>
      <c r="X70" s="690"/>
      <c r="Y70" s="691"/>
      <c r="Z70" s="689"/>
      <c r="AA70" s="690"/>
      <c r="AB70" s="690"/>
      <c r="AC70" s="691"/>
      <c r="AD70" s="689"/>
      <c r="AE70" s="690"/>
      <c r="AF70" s="690"/>
      <c r="AG70" s="691"/>
    </row>
    <row r="71" spans="1:33" ht="16.5" customHeight="1">
      <c r="A71" s="730"/>
      <c r="B71" s="730"/>
      <c r="C71" s="730"/>
      <c r="D71" s="734"/>
      <c r="E71" s="705"/>
      <c r="F71" s="706"/>
      <c r="G71" s="736"/>
      <c r="H71" s="736"/>
      <c r="I71" s="736"/>
      <c r="J71" s="692"/>
      <c r="K71" s="693"/>
      <c r="L71" s="693"/>
      <c r="M71" s="694"/>
      <c r="N71" s="692"/>
      <c r="O71" s="693"/>
      <c r="P71" s="693"/>
      <c r="Q71" s="694"/>
      <c r="R71" s="692"/>
      <c r="S71" s="693"/>
      <c r="T71" s="693"/>
      <c r="U71" s="694"/>
      <c r="V71" s="692"/>
      <c r="W71" s="693"/>
      <c r="X71" s="693"/>
      <c r="Y71" s="694"/>
      <c r="Z71" s="692"/>
      <c r="AA71" s="693"/>
      <c r="AB71" s="693"/>
      <c r="AC71" s="694"/>
      <c r="AD71" s="692"/>
      <c r="AE71" s="693"/>
      <c r="AF71" s="693"/>
      <c r="AG71" s="694"/>
    </row>
    <row r="72" spans="1:33" ht="16.5" customHeight="1" thickBot="1">
      <c r="A72" s="326"/>
      <c r="B72" s="326"/>
      <c r="C72" s="326"/>
      <c r="D72" s="326"/>
      <c r="E72" s="326"/>
      <c r="F72" s="326"/>
      <c r="G72" s="327"/>
      <c r="H72" s="327"/>
      <c r="I72" s="327"/>
      <c r="J72" s="327"/>
      <c r="K72" s="327"/>
      <c r="L72" s="327"/>
      <c r="M72" s="327"/>
      <c r="N72" s="327"/>
      <c r="O72" s="327"/>
      <c r="P72" s="327"/>
      <c r="Q72" s="327"/>
      <c r="R72" s="327"/>
      <c r="S72" s="327"/>
      <c r="T72" s="327"/>
      <c r="U72" s="327"/>
      <c r="V72" s="327"/>
      <c r="W72" s="327"/>
      <c r="X72" s="327"/>
      <c r="Y72" s="327"/>
      <c r="Z72" s="327"/>
      <c r="AA72" s="327"/>
      <c r="AB72" s="327"/>
      <c r="AC72" s="327"/>
      <c r="AD72" s="327"/>
      <c r="AE72" s="327"/>
      <c r="AF72" s="327"/>
      <c r="AG72" s="327"/>
    </row>
    <row r="73" spans="1:33" ht="16.5" customHeight="1" thickTop="1">
      <c r="A73" s="703" t="s">
        <v>459</v>
      </c>
      <c r="B73" s="703"/>
      <c r="C73" s="703"/>
      <c r="D73" s="703"/>
      <c r="E73" s="703"/>
      <c r="F73" s="704"/>
      <c r="G73" s="709" t="s">
        <v>460</v>
      </c>
      <c r="H73" s="710"/>
      <c r="I73" s="710"/>
      <c r="J73" s="710"/>
      <c r="K73" s="710"/>
      <c r="L73" s="710"/>
      <c r="M73" s="711"/>
      <c r="N73" s="715" t="s">
        <v>465</v>
      </c>
      <c r="O73" s="716"/>
      <c r="P73" s="716"/>
      <c r="Q73" s="716"/>
      <c r="R73" s="716"/>
      <c r="S73" s="716"/>
      <c r="T73" s="717"/>
      <c r="U73" s="328"/>
      <c r="V73" s="328"/>
      <c r="W73" s="328"/>
      <c r="X73" s="328"/>
      <c r="Y73" s="328"/>
      <c r="Z73" s="328"/>
      <c r="AA73" s="328"/>
      <c r="AB73" s="328"/>
      <c r="AC73" s="328"/>
      <c r="AD73" s="328"/>
      <c r="AE73" s="328"/>
      <c r="AF73" s="328"/>
      <c r="AG73" s="328"/>
    </row>
    <row r="74" spans="1:33" ht="16.5" customHeight="1">
      <c r="A74" s="705"/>
      <c r="B74" s="705"/>
      <c r="C74" s="705"/>
      <c r="D74" s="705"/>
      <c r="E74" s="705"/>
      <c r="F74" s="706"/>
      <c r="G74" s="712"/>
      <c r="H74" s="713"/>
      <c r="I74" s="713"/>
      <c r="J74" s="713"/>
      <c r="K74" s="713"/>
      <c r="L74" s="713"/>
      <c r="M74" s="714"/>
      <c r="N74" s="718"/>
      <c r="O74" s="719"/>
      <c r="P74" s="719"/>
      <c r="Q74" s="719"/>
      <c r="R74" s="719"/>
      <c r="S74" s="719"/>
      <c r="T74" s="720"/>
      <c r="U74" s="328"/>
      <c r="V74" s="328"/>
      <c r="W74" s="328"/>
      <c r="X74" s="328"/>
      <c r="Y74" s="328"/>
      <c r="Z74" s="328"/>
      <c r="AA74" s="328"/>
      <c r="AB74" s="328"/>
      <c r="AC74" s="328"/>
      <c r="AD74" s="328"/>
      <c r="AE74" s="328"/>
      <c r="AF74" s="328"/>
      <c r="AG74" s="328"/>
    </row>
    <row r="75" spans="1:33" ht="16.5" customHeight="1">
      <c r="A75" s="705"/>
      <c r="B75" s="705"/>
      <c r="C75" s="705"/>
      <c r="D75" s="705"/>
      <c r="E75" s="705"/>
      <c r="F75" s="706"/>
      <c r="G75" s="712">
        <f>((J66+N66+(R66*1/2))+(J68+N68+(R68*1/2))+J70+N70+(R70*1/2))/(D66+D68+D70)</f>
        <v>0.50097904836498919</v>
      </c>
      <c r="H75" s="713"/>
      <c r="I75" s="713"/>
      <c r="J75" s="713"/>
      <c r="K75" s="713"/>
      <c r="L75" s="713"/>
      <c r="M75" s="714"/>
      <c r="N75" s="724">
        <f>IF(G75&gt;0.3,1,IF(G75&gt;0.2,0.5,0))</f>
        <v>1</v>
      </c>
      <c r="O75" s="725"/>
      <c r="P75" s="725"/>
      <c r="Q75" s="725"/>
      <c r="R75" s="725"/>
      <c r="S75" s="725"/>
      <c r="T75" s="726"/>
    </row>
    <row r="76" spans="1:33" ht="16.5" customHeight="1" thickBot="1">
      <c r="A76" s="707"/>
      <c r="B76" s="707"/>
      <c r="C76" s="707"/>
      <c r="D76" s="707"/>
      <c r="E76" s="707"/>
      <c r="F76" s="708"/>
      <c r="G76" s="721"/>
      <c r="H76" s="722"/>
      <c r="I76" s="722"/>
      <c r="J76" s="722"/>
      <c r="K76" s="722"/>
      <c r="L76" s="722"/>
      <c r="M76" s="723"/>
      <c r="N76" s="727"/>
      <c r="O76" s="728"/>
      <c r="P76" s="728"/>
      <c r="Q76" s="728"/>
      <c r="R76" s="728"/>
      <c r="S76" s="728"/>
      <c r="T76" s="729"/>
    </row>
    <row r="77" spans="1:33" ht="15" thickTop="1">
      <c r="A77" s="315"/>
      <c r="B77" s="315"/>
      <c r="C77" s="315"/>
      <c r="D77" s="315"/>
      <c r="E77" s="315"/>
      <c r="F77" s="315"/>
      <c r="G77" s="315"/>
    </row>
    <row r="78" spans="1:33" ht="14.25">
      <c r="A78" s="315"/>
      <c r="B78" s="315"/>
      <c r="C78" s="315"/>
      <c r="D78" s="315"/>
      <c r="E78" s="315"/>
      <c r="F78" s="315"/>
      <c r="G78" s="315"/>
    </row>
  </sheetData>
  <mergeCells count="408">
    <mergeCell ref="A1:AG1"/>
    <mergeCell ref="A2:AG2"/>
    <mergeCell ref="A3:AG3"/>
    <mergeCell ref="A6:C6"/>
    <mergeCell ref="D6:G6"/>
    <mergeCell ref="H6:Q6"/>
    <mergeCell ref="R6:U6"/>
    <mergeCell ref="V6:AA6"/>
    <mergeCell ref="AB6:AD6"/>
    <mergeCell ref="AE6:AG6"/>
    <mergeCell ref="A7:C7"/>
    <mergeCell ref="D7:G7"/>
    <mergeCell ref="H7:Q7"/>
    <mergeCell ref="R7:U7"/>
    <mergeCell ref="V7:X7"/>
    <mergeCell ref="Y7:AA7"/>
    <mergeCell ref="AB7:AD7"/>
    <mergeCell ref="AE7:AG7"/>
    <mergeCell ref="A8:C8"/>
    <mergeCell ref="D8:G8"/>
    <mergeCell ref="H8:Q8"/>
    <mergeCell ref="R8:U8"/>
    <mergeCell ref="V8:X8"/>
    <mergeCell ref="Y8:AA8"/>
    <mergeCell ref="AB8:AD8"/>
    <mergeCell ref="AE8:AG8"/>
    <mergeCell ref="A9:C9"/>
    <mergeCell ref="D9:G9"/>
    <mergeCell ref="H9:Q9"/>
    <mergeCell ref="R9:U9"/>
    <mergeCell ref="V9:X9"/>
    <mergeCell ref="Y9:AA9"/>
    <mergeCell ref="AB9:AD9"/>
    <mergeCell ref="AE9:AG9"/>
    <mergeCell ref="A10:C10"/>
    <mergeCell ref="D10:G10"/>
    <mergeCell ref="H10:Q10"/>
    <mergeCell ref="R10:U10"/>
    <mergeCell ref="V10:X10"/>
    <mergeCell ref="Y10:AA10"/>
    <mergeCell ref="AB10:AD10"/>
    <mergeCell ref="AE10:AG10"/>
    <mergeCell ref="AE12:AG12"/>
    <mergeCell ref="A11:C11"/>
    <mergeCell ref="D11:G11"/>
    <mergeCell ref="H11:Q11"/>
    <mergeCell ref="R11:U11"/>
    <mergeCell ref="V11:X11"/>
    <mergeCell ref="Y11:AA11"/>
    <mergeCell ref="Y13:AA13"/>
    <mergeCell ref="AB11:AD11"/>
    <mergeCell ref="AE11:AG11"/>
    <mergeCell ref="A12:C12"/>
    <mergeCell ref="D12:G12"/>
    <mergeCell ref="H12:Q12"/>
    <mergeCell ref="R12:U12"/>
    <mergeCell ref="V12:X12"/>
    <mergeCell ref="Y12:AA12"/>
    <mergeCell ref="AB12:AD12"/>
    <mergeCell ref="AE13:AG13"/>
    <mergeCell ref="A14:C14"/>
    <mergeCell ref="D14:G14"/>
    <mergeCell ref="H14:Q14"/>
    <mergeCell ref="R14:U14"/>
    <mergeCell ref="V14:X14"/>
    <mergeCell ref="Y14:AA14"/>
    <mergeCell ref="AB14:AD14"/>
    <mergeCell ref="AE14:AG14"/>
    <mergeCell ref="A13:C13"/>
    <mergeCell ref="D18:G18"/>
    <mergeCell ref="H18:Q18"/>
    <mergeCell ref="R18:U18"/>
    <mergeCell ref="V18:AA18"/>
    <mergeCell ref="AB18:AD18"/>
    <mergeCell ref="AB13:AD13"/>
    <mergeCell ref="D13:G13"/>
    <mergeCell ref="H13:Q13"/>
    <mergeCell ref="R13:U13"/>
    <mergeCell ref="V13:X13"/>
    <mergeCell ref="AE18:AG18"/>
    <mergeCell ref="A19:C19"/>
    <mergeCell ref="D19:G19"/>
    <mergeCell ref="H19:Q19"/>
    <mergeCell ref="R19:U19"/>
    <mergeCell ref="V19:X19"/>
    <mergeCell ref="Y19:AA19"/>
    <mergeCell ref="AB19:AD19"/>
    <mergeCell ref="AE19:AG19"/>
    <mergeCell ref="A18:C18"/>
    <mergeCell ref="A20:C20"/>
    <mergeCell ref="D20:G20"/>
    <mergeCell ref="H20:Q20"/>
    <mergeCell ref="R20:U20"/>
    <mergeCell ref="V20:X20"/>
    <mergeCell ref="Y20:AA20"/>
    <mergeCell ref="AB20:AD20"/>
    <mergeCell ref="AE20:AG20"/>
    <mergeCell ref="A21:C21"/>
    <mergeCell ref="D21:G21"/>
    <mergeCell ref="H21:Q21"/>
    <mergeCell ref="R21:U21"/>
    <mergeCell ref="V21:X21"/>
    <mergeCell ref="Y21:AA21"/>
    <mergeCell ref="AB21:AD21"/>
    <mergeCell ref="AE21:AG21"/>
    <mergeCell ref="A22:C22"/>
    <mergeCell ref="D22:G22"/>
    <mergeCell ref="H22:Q22"/>
    <mergeCell ref="R22:U22"/>
    <mergeCell ref="V22:X22"/>
    <mergeCell ref="Y22:AA22"/>
    <mergeCell ref="AB22:AD22"/>
    <mergeCell ref="AE22:AG22"/>
    <mergeCell ref="A23:C23"/>
    <mergeCell ref="D23:G23"/>
    <mergeCell ref="H23:Q23"/>
    <mergeCell ref="R23:U23"/>
    <mergeCell ref="V23:X23"/>
    <mergeCell ref="Y23:AA23"/>
    <mergeCell ref="AB23:AD23"/>
    <mergeCell ref="AE23:AG23"/>
    <mergeCell ref="A24:C24"/>
    <mergeCell ref="D24:G24"/>
    <mergeCell ref="H24:Q24"/>
    <mergeCell ref="R24:U24"/>
    <mergeCell ref="V24:X24"/>
    <mergeCell ref="Y24:AA24"/>
    <mergeCell ref="AB24:AD24"/>
    <mergeCell ref="AE24:AG24"/>
    <mergeCell ref="A25:C25"/>
    <mergeCell ref="D25:G25"/>
    <mergeCell ref="H25:Q25"/>
    <mergeCell ref="R25:U25"/>
    <mergeCell ref="V25:X25"/>
    <mergeCell ref="Y25:AA25"/>
    <mergeCell ref="AB25:AD25"/>
    <mergeCell ref="AE25:AG25"/>
    <mergeCell ref="A26:C26"/>
    <mergeCell ref="D26:G26"/>
    <mergeCell ref="H26:Q26"/>
    <mergeCell ref="R26:U26"/>
    <mergeCell ref="V26:X26"/>
    <mergeCell ref="Y26:AA26"/>
    <mergeCell ref="AB26:AD26"/>
    <mergeCell ref="AE26:AG26"/>
    <mergeCell ref="A27:C27"/>
    <mergeCell ref="D27:G27"/>
    <mergeCell ref="H27:Q27"/>
    <mergeCell ref="R27:U27"/>
    <mergeCell ref="V27:X27"/>
    <mergeCell ref="Y27:AA27"/>
    <mergeCell ref="AB27:AD27"/>
    <mergeCell ref="AE27:AG27"/>
    <mergeCell ref="A28:C28"/>
    <mergeCell ref="D28:G28"/>
    <mergeCell ref="H28:Q28"/>
    <mergeCell ref="R28:U28"/>
    <mergeCell ref="V28:X28"/>
    <mergeCell ref="Y28:AA28"/>
    <mergeCell ref="AB28:AD28"/>
    <mergeCell ref="AE28:AG28"/>
    <mergeCell ref="A29:C29"/>
    <mergeCell ref="D29:G29"/>
    <mergeCell ref="H29:Q29"/>
    <mergeCell ref="R29:U29"/>
    <mergeCell ref="V29:X29"/>
    <mergeCell ref="Y29:AA29"/>
    <mergeCell ref="AB29:AD29"/>
    <mergeCell ref="AE29:AG29"/>
    <mergeCell ref="A30:C30"/>
    <mergeCell ref="D30:G30"/>
    <mergeCell ref="H30:Q30"/>
    <mergeCell ref="R30:U30"/>
    <mergeCell ref="V30:X30"/>
    <mergeCell ref="Y30:AA30"/>
    <mergeCell ref="AB30:AD30"/>
    <mergeCell ref="AE30:AG30"/>
    <mergeCell ref="A31:C31"/>
    <mergeCell ref="D31:G31"/>
    <mergeCell ref="H31:Q31"/>
    <mergeCell ref="R31:U31"/>
    <mergeCell ref="V31:X31"/>
    <mergeCell ref="Y31:AA31"/>
    <mergeCell ref="AB31:AD31"/>
    <mergeCell ref="AE31:AG31"/>
    <mergeCell ref="AE33:AG33"/>
    <mergeCell ref="A32:C32"/>
    <mergeCell ref="D32:G32"/>
    <mergeCell ref="H32:Q32"/>
    <mergeCell ref="R32:U32"/>
    <mergeCell ref="V32:X32"/>
    <mergeCell ref="Y32:AA32"/>
    <mergeCell ref="Y34:AA34"/>
    <mergeCell ref="AB32:AD32"/>
    <mergeCell ref="AE32:AG32"/>
    <mergeCell ref="A33:C33"/>
    <mergeCell ref="D33:G33"/>
    <mergeCell ref="H33:Q33"/>
    <mergeCell ref="R33:U33"/>
    <mergeCell ref="V33:X33"/>
    <mergeCell ref="Y33:AA33"/>
    <mergeCell ref="AB33:AD33"/>
    <mergeCell ref="AE34:AG34"/>
    <mergeCell ref="A35:C35"/>
    <mergeCell ref="D35:G35"/>
    <mergeCell ref="H35:Q35"/>
    <mergeCell ref="R35:U35"/>
    <mergeCell ref="V35:X35"/>
    <mergeCell ref="Y35:AA35"/>
    <mergeCell ref="AB35:AD35"/>
    <mergeCell ref="AE35:AG35"/>
    <mergeCell ref="A34:C34"/>
    <mergeCell ref="D36:G36"/>
    <mergeCell ref="H36:Q36"/>
    <mergeCell ref="R36:U36"/>
    <mergeCell ref="V36:X36"/>
    <mergeCell ref="Y36:AA36"/>
    <mergeCell ref="AB34:AD34"/>
    <mergeCell ref="D34:G34"/>
    <mergeCell ref="H34:Q34"/>
    <mergeCell ref="R34:U34"/>
    <mergeCell ref="V34:X34"/>
    <mergeCell ref="AB36:AD36"/>
    <mergeCell ref="AE36:AG36"/>
    <mergeCell ref="A40:C40"/>
    <mergeCell ref="D40:G40"/>
    <mergeCell ref="H40:Q40"/>
    <mergeCell ref="R40:U40"/>
    <mergeCell ref="V40:AA40"/>
    <mergeCell ref="AB40:AD40"/>
    <mergeCell ref="AE40:AG40"/>
    <mergeCell ref="A36:C36"/>
    <mergeCell ref="A41:C41"/>
    <mergeCell ref="D41:G41"/>
    <mergeCell ref="H41:Q41"/>
    <mergeCell ref="R41:U41"/>
    <mergeCell ref="V41:X41"/>
    <mergeCell ref="Y41:AA41"/>
    <mergeCell ref="AB41:AD41"/>
    <mergeCell ref="AE41:AG41"/>
    <mergeCell ref="A42:C42"/>
    <mergeCell ref="D42:G42"/>
    <mergeCell ref="H42:Q42"/>
    <mergeCell ref="R42:U42"/>
    <mergeCell ref="V42:X42"/>
    <mergeCell ref="Y42:AA42"/>
    <mergeCell ref="AB42:AD42"/>
    <mergeCell ref="AE42:AG42"/>
    <mergeCell ref="A43:C43"/>
    <mergeCell ref="D43:G43"/>
    <mergeCell ref="H43:Q43"/>
    <mergeCell ref="R43:U43"/>
    <mergeCell ref="V43:X43"/>
    <mergeCell ref="Y43:AA43"/>
    <mergeCell ref="AB43:AD43"/>
    <mergeCell ref="AE43:AG43"/>
    <mergeCell ref="A44:C44"/>
    <mergeCell ref="D44:G44"/>
    <mergeCell ref="H44:Q44"/>
    <mergeCell ref="R44:U44"/>
    <mergeCell ref="V44:X44"/>
    <mergeCell ref="Y44:AA44"/>
    <mergeCell ref="AB44:AD44"/>
    <mergeCell ref="AE44:AG44"/>
    <mergeCell ref="A45:C45"/>
    <mergeCell ref="D45:G45"/>
    <mergeCell ref="H45:Q45"/>
    <mergeCell ref="R45:U45"/>
    <mergeCell ref="V45:X45"/>
    <mergeCell ref="Y45:AA45"/>
    <mergeCell ref="AB45:AD45"/>
    <mergeCell ref="AE45:AG45"/>
    <mergeCell ref="A46:C46"/>
    <mergeCell ref="D46:G46"/>
    <mergeCell ref="H46:Q46"/>
    <mergeCell ref="R46:U46"/>
    <mergeCell ref="V46:X46"/>
    <mergeCell ref="Y46:AA46"/>
    <mergeCell ref="AB46:AD46"/>
    <mergeCell ref="AE46:AG46"/>
    <mergeCell ref="A47:C47"/>
    <mergeCell ref="D47:G47"/>
    <mergeCell ref="H47:Q47"/>
    <mergeCell ref="R47:U47"/>
    <mergeCell ref="V47:X47"/>
    <mergeCell ref="Y47:AA47"/>
    <mergeCell ref="AB47:AD47"/>
    <mergeCell ref="AE47:AG47"/>
    <mergeCell ref="A48:C48"/>
    <mergeCell ref="D48:G48"/>
    <mergeCell ref="H48:Q48"/>
    <mergeCell ref="R48:U48"/>
    <mergeCell ref="V48:X48"/>
    <mergeCell ref="Y48:AA48"/>
    <mergeCell ref="AB48:AD48"/>
    <mergeCell ref="AE48:AG48"/>
    <mergeCell ref="A49:C49"/>
    <mergeCell ref="D49:G49"/>
    <mergeCell ref="H49:Q49"/>
    <mergeCell ref="R49:U49"/>
    <mergeCell ref="V49:X49"/>
    <mergeCell ref="Y49:AA49"/>
    <mergeCell ref="AB49:AD49"/>
    <mergeCell ref="AE49:AG49"/>
    <mergeCell ref="A50:C50"/>
    <mergeCell ref="D50:G50"/>
    <mergeCell ref="H50:Q50"/>
    <mergeCell ref="R50:U50"/>
    <mergeCell ref="V50:X50"/>
    <mergeCell ref="Y50:AA50"/>
    <mergeCell ref="AB50:AD50"/>
    <mergeCell ref="AE50:AG50"/>
    <mergeCell ref="A51:C51"/>
    <mergeCell ref="D51:G51"/>
    <mergeCell ref="H51:Q51"/>
    <mergeCell ref="R51:U51"/>
    <mergeCell ref="V51:X51"/>
    <mergeCell ref="Y51:AA51"/>
    <mergeCell ref="AB51:AD51"/>
    <mergeCell ref="AE51:AG51"/>
    <mergeCell ref="A52:C52"/>
    <mergeCell ref="D52:G52"/>
    <mergeCell ref="H52:Q52"/>
    <mergeCell ref="R52:U52"/>
    <mergeCell ref="V52:X52"/>
    <mergeCell ref="Y52:AA52"/>
    <mergeCell ref="AB52:AD52"/>
    <mergeCell ref="AE52:AG52"/>
    <mergeCell ref="AE54:AG54"/>
    <mergeCell ref="A53:C53"/>
    <mergeCell ref="D53:G53"/>
    <mergeCell ref="H53:Q53"/>
    <mergeCell ref="R53:U53"/>
    <mergeCell ref="V53:X53"/>
    <mergeCell ref="Y53:AA53"/>
    <mergeCell ref="Y55:AA55"/>
    <mergeCell ref="AB53:AD53"/>
    <mergeCell ref="AE53:AG53"/>
    <mergeCell ref="A54:C54"/>
    <mergeCell ref="D54:G54"/>
    <mergeCell ref="H54:Q54"/>
    <mergeCell ref="R54:U54"/>
    <mergeCell ref="V54:X54"/>
    <mergeCell ref="Y54:AA54"/>
    <mergeCell ref="AB54:AD54"/>
    <mergeCell ref="V58:AG59"/>
    <mergeCell ref="G60:I61"/>
    <mergeCell ref="J60:M61"/>
    <mergeCell ref="N60:Q61"/>
    <mergeCell ref="R60:U61"/>
    <mergeCell ref="A55:C55"/>
    <mergeCell ref="D55:G55"/>
    <mergeCell ref="H55:Q55"/>
    <mergeCell ref="R55:U55"/>
    <mergeCell ref="V55:X55"/>
    <mergeCell ref="V60:Y65"/>
    <mergeCell ref="Z60:AC65"/>
    <mergeCell ref="AD60:AG65"/>
    <mergeCell ref="G62:I63"/>
    <mergeCell ref="J62:M63"/>
    <mergeCell ref="N62:Q63"/>
    <mergeCell ref="R62:U63"/>
    <mergeCell ref="G64:I65"/>
    <mergeCell ref="J64:M65"/>
    <mergeCell ref="N64:Q65"/>
    <mergeCell ref="R64:U65"/>
    <mergeCell ref="A66:C67"/>
    <mergeCell ref="D66:F67"/>
    <mergeCell ref="G66:I67"/>
    <mergeCell ref="J66:M67"/>
    <mergeCell ref="N66:Q67"/>
    <mergeCell ref="R66:U67"/>
    <mergeCell ref="A58:C65"/>
    <mergeCell ref="D58:F65"/>
    <mergeCell ref="G58:U59"/>
    <mergeCell ref="A68:C69"/>
    <mergeCell ref="D68:F69"/>
    <mergeCell ref="G68:I69"/>
    <mergeCell ref="J68:M69"/>
    <mergeCell ref="N68:Q69"/>
    <mergeCell ref="R68:U69"/>
    <mergeCell ref="N70:Q71"/>
    <mergeCell ref="R70:U71"/>
    <mergeCell ref="V70:Y71"/>
    <mergeCell ref="Z70:AC71"/>
    <mergeCell ref="V66:Y67"/>
    <mergeCell ref="Z66:AC67"/>
    <mergeCell ref="V68:Y69"/>
    <mergeCell ref="A73:F76"/>
    <mergeCell ref="G73:M74"/>
    <mergeCell ref="N73:T74"/>
    <mergeCell ref="G75:M76"/>
    <mergeCell ref="N75:T76"/>
    <mergeCell ref="Z68:AC69"/>
    <mergeCell ref="A70:C71"/>
    <mergeCell ref="D70:F71"/>
    <mergeCell ref="G70:I71"/>
    <mergeCell ref="J70:M71"/>
    <mergeCell ref="AI11:AK11"/>
    <mergeCell ref="AI12:AK12"/>
    <mergeCell ref="AL12:AS14"/>
    <mergeCell ref="AI13:AK13"/>
    <mergeCell ref="AI14:AK14"/>
    <mergeCell ref="AD70:AG71"/>
    <mergeCell ref="AD68:AG69"/>
    <mergeCell ref="AD66:AG67"/>
    <mergeCell ref="AB55:AD55"/>
    <mergeCell ref="AE55:AG55"/>
  </mergeCells>
  <phoneticPr fontId="11" type="noConversion"/>
  <pageMargins left="0.7" right="0.7" top="0.75" bottom="0.75" header="0.3" footer="0.3"/>
  <pageSetup paperSize="9" scale="59" orientation="portrait" r:id="rId1"/>
  <rowBreaks count="3" manualBreakCount="3">
    <brk id="15" max="32" man="1"/>
    <brk id="37" max="32" man="1"/>
    <brk id="56" max="3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28</vt:i4>
      </vt:variant>
      <vt:variant>
        <vt:lpstr>이름 지정된 범위</vt:lpstr>
      </vt:variant>
      <vt:variant>
        <vt:i4>3</vt:i4>
      </vt:variant>
    </vt:vector>
  </HeadingPairs>
  <TitlesOfParts>
    <vt:vector size="31" baseType="lpstr">
      <vt:lpstr>제출방법</vt:lpstr>
      <vt:lpstr>1.사업수행능력평가신청서</vt:lpstr>
      <vt:lpstr>2.자기평가기술서(1000억원이상)</vt:lpstr>
      <vt:lpstr>2.자기평가기술서(500억원이상-1000억원미만))</vt:lpstr>
      <vt:lpstr>2.자기평가기술서(300억원미만-100억원이상)</vt:lpstr>
      <vt:lpstr>2.자기평가기술서(300억원이상-500억원미만)</vt:lpstr>
      <vt:lpstr>2.자기평가기술서(100억원미만)</vt:lpstr>
      <vt:lpstr>3. 공동수급체결 협정현황</vt:lpstr>
      <vt:lpstr>4. 참여기술자 자격사항</vt:lpstr>
      <vt:lpstr>5. 참여기술자 경력사항</vt:lpstr>
      <vt:lpstr>5-1. 참여기술자 해당(직무)분야경력</vt:lpstr>
      <vt:lpstr>6. 유사용역수행실적</vt:lpstr>
      <vt:lpstr>7. 입찰참가제한 및 업무정지</vt:lpstr>
      <vt:lpstr>8. 부실벌점</vt:lpstr>
      <vt:lpstr>9. 재정상태,투자실적</vt:lpstr>
      <vt:lpstr>10. 건설기술개발활용실적</vt:lpstr>
      <vt:lpstr>10-1. 건설기술개발활용실적</vt:lpstr>
      <vt:lpstr>10-1. 건설기술개발활용실적(공동수급)</vt:lpstr>
      <vt:lpstr>11. 교육훈련</vt:lpstr>
      <vt:lpstr>12. 교체빈도</vt:lpstr>
      <vt:lpstr>13.건설기술인 신규고용률</vt:lpstr>
      <vt:lpstr>14.공사비절감기여 기술자</vt:lpstr>
      <vt:lpstr>15.부패행위 관련자</vt:lpstr>
      <vt:lpstr>16. 업무중첩도</vt:lpstr>
      <vt:lpstr>17. 서약서</vt:lpstr>
      <vt:lpstr>18. 확인서</vt:lpstr>
      <vt:lpstr>19. 참여기술자 동의서</vt:lpstr>
      <vt:lpstr>20.적격심사 기술자경력(지방계약법)</vt:lpstr>
      <vt:lpstr>'20.적격심사 기술자경력(지방계약법)'!Print_Area</vt:lpstr>
      <vt:lpstr>'5-1. 참여기술자 해당(직무)분야경력'!Print_Area</vt:lpstr>
      <vt:lpstr>'9. 재정상태,투자실적'!Print_Area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2014-08-25T00:53:28Z</cp:lastPrinted>
  <dcterms:created xsi:type="dcterms:W3CDTF">2001-06-19T02:52:52Z</dcterms:created>
  <dcterms:modified xsi:type="dcterms:W3CDTF">2026-08-19T07:22:35Z</dcterms:modified>
</cp:coreProperties>
</file>