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○2026\1. 수도권동부본부\39. 경원선 한남~옥수 6.400km 외 1개소 작업자 이동통로 확보공사(박동휘, 임종근)V3\2. 시행결의\"/>
    </mc:Choice>
  </mc:AlternateContent>
  <bookViews>
    <workbookView xWindow="0" yWindow="0" windowWidth="28800" windowHeight="11775"/>
  </bookViews>
  <sheets>
    <sheet name="원가계산서" sheetId="1" r:id="rId1"/>
    <sheet name="내역서총괄표" sheetId="2" r:id="rId2"/>
    <sheet name="내역서" sheetId="3" r:id="rId3"/>
  </sheets>
  <externalReferences>
    <externalReference r:id="rId4"/>
    <externalReference r:id="rId5"/>
    <externalReference r:id="rId6"/>
    <externalReference r:id="rId7"/>
  </externalReferences>
  <definedNames>
    <definedName name="_xlnm.Print_Area" localSheetId="2">내역서!$A$1:$AL$388</definedName>
    <definedName name="_xlnm.Print_Area" localSheetId="1">내역서총괄표!$B$1:$K$39</definedName>
    <definedName name="_xlnm.Print_Area" localSheetId="0">원가계산서!$B$1:$H$41</definedName>
    <definedName name="_xlnm.Print_Titles" localSheetId="2">내역서!$1:$3</definedName>
    <definedName name="_xlnm.Print_Titles" localSheetId="1">내역서총괄표!$1:$3</definedName>
    <definedName name="_xlnm.Print_Titles" localSheetId="0">원가계산서!$1:$3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87" i="3" l="1"/>
  <c r="E387" i="3"/>
  <c r="BJ386" i="3"/>
  <c r="K386" i="3"/>
  <c r="L386" i="3" s="1"/>
  <c r="I386" i="3"/>
  <c r="J386" i="3" s="1"/>
  <c r="J383" i="3" s="1"/>
  <c r="H386" i="3"/>
  <c r="G386" i="3"/>
  <c r="E386" i="3" s="1"/>
  <c r="BJ385" i="3"/>
  <c r="K385" i="3"/>
  <c r="L385" i="3" s="1"/>
  <c r="J385" i="3"/>
  <c r="J384" i="3" s="1"/>
  <c r="I385" i="3"/>
  <c r="H385" i="3"/>
  <c r="H383" i="3" s="1"/>
  <c r="G385" i="3"/>
  <c r="E384" i="3"/>
  <c r="F382" i="3"/>
  <c r="E382" i="3"/>
  <c r="L381" i="3"/>
  <c r="J381" i="3"/>
  <c r="F381" i="3" s="1"/>
  <c r="H381" i="3"/>
  <c r="F380" i="3"/>
  <c r="E380" i="3"/>
  <c r="BJ379" i="3"/>
  <c r="L379" i="3"/>
  <c r="K379" i="3"/>
  <c r="J379" i="3"/>
  <c r="I379" i="3"/>
  <c r="G379" i="3"/>
  <c r="H379" i="3" s="1"/>
  <c r="F379" i="3" s="1"/>
  <c r="BJ378" i="3"/>
  <c r="L378" i="3"/>
  <c r="L377" i="3" s="1"/>
  <c r="K378" i="3"/>
  <c r="I378" i="3"/>
  <c r="J378" i="3" s="1"/>
  <c r="J377" i="3" s="1"/>
  <c r="G378" i="3"/>
  <c r="H378" i="3" s="1"/>
  <c r="F376" i="3"/>
  <c r="E376" i="3"/>
  <c r="BJ375" i="3"/>
  <c r="L375" i="3"/>
  <c r="K375" i="3"/>
  <c r="J375" i="3"/>
  <c r="I375" i="3"/>
  <c r="G375" i="3"/>
  <c r="H375" i="3" s="1"/>
  <c r="F375" i="3" s="1"/>
  <c r="BJ374" i="3"/>
  <c r="L374" i="3"/>
  <c r="L372" i="3" s="1"/>
  <c r="K374" i="3"/>
  <c r="I374" i="3"/>
  <c r="J374" i="3" s="1"/>
  <c r="G374" i="3"/>
  <c r="H374" i="3" s="1"/>
  <c r="BJ373" i="3"/>
  <c r="L373" i="3"/>
  <c r="K373" i="3"/>
  <c r="I373" i="3"/>
  <c r="J373" i="3" s="1"/>
  <c r="G373" i="3"/>
  <c r="H373" i="3" s="1"/>
  <c r="E372" i="3"/>
  <c r="BJ371" i="3"/>
  <c r="K371" i="3"/>
  <c r="E371" i="3" s="1"/>
  <c r="BJ370" i="3"/>
  <c r="K370" i="3"/>
  <c r="L370" i="3" s="1"/>
  <c r="I370" i="3"/>
  <c r="J370" i="3" s="1"/>
  <c r="H370" i="3"/>
  <c r="G370" i="3"/>
  <c r="E370" i="3"/>
  <c r="BJ369" i="3"/>
  <c r="K369" i="3"/>
  <c r="L369" i="3" s="1"/>
  <c r="J369" i="3"/>
  <c r="I369" i="3"/>
  <c r="H369" i="3"/>
  <c r="F369" i="3" s="1"/>
  <c r="G369" i="3"/>
  <c r="E369" i="3"/>
  <c r="BJ368" i="3"/>
  <c r="L368" i="3"/>
  <c r="K368" i="3"/>
  <c r="J368" i="3"/>
  <c r="I368" i="3"/>
  <c r="G368" i="3"/>
  <c r="H368" i="3" s="1"/>
  <c r="F368" i="3" s="1"/>
  <c r="BJ367" i="3"/>
  <c r="K367" i="3"/>
  <c r="L367" i="3" s="1"/>
  <c r="I367" i="3"/>
  <c r="J367" i="3" s="1"/>
  <c r="G367" i="3"/>
  <c r="E367" i="3" s="1"/>
  <c r="BJ366" i="3"/>
  <c r="K366" i="3"/>
  <c r="L366" i="3" s="1"/>
  <c r="J366" i="3"/>
  <c r="I366" i="3"/>
  <c r="H366" i="3"/>
  <c r="G366" i="3"/>
  <c r="E366" i="3"/>
  <c r="E365" i="3"/>
  <c r="F363" i="3"/>
  <c r="E363" i="3"/>
  <c r="L362" i="3"/>
  <c r="J362" i="3"/>
  <c r="F362" i="3" s="1"/>
  <c r="H362" i="3"/>
  <c r="F361" i="3"/>
  <c r="E361" i="3"/>
  <c r="BJ360" i="3"/>
  <c r="L360" i="3"/>
  <c r="L359" i="3" s="1"/>
  <c r="K360" i="3"/>
  <c r="J360" i="3"/>
  <c r="J359" i="3" s="1"/>
  <c r="I360" i="3"/>
  <c r="H360" i="3"/>
  <c r="H359" i="3" s="1"/>
  <c r="G360" i="3"/>
  <c r="E360" i="3" s="1"/>
  <c r="F358" i="3"/>
  <c r="E358" i="3"/>
  <c r="BJ357" i="3"/>
  <c r="K357" i="3"/>
  <c r="L357" i="3" s="1"/>
  <c r="I357" i="3"/>
  <c r="J357" i="3" s="1"/>
  <c r="G357" i="3"/>
  <c r="H357" i="3" s="1"/>
  <c r="F357" i="3" s="1"/>
  <c r="BJ356" i="3"/>
  <c r="L356" i="3"/>
  <c r="L355" i="3" s="1"/>
  <c r="K356" i="3"/>
  <c r="J356" i="3"/>
  <c r="I356" i="3"/>
  <c r="H356" i="3"/>
  <c r="H355" i="3" s="1"/>
  <c r="G356" i="3"/>
  <c r="E356" i="3" s="1"/>
  <c r="E355" i="3"/>
  <c r="BJ354" i="3"/>
  <c r="L354" i="3"/>
  <c r="L353" i="3" s="1"/>
  <c r="K354" i="3"/>
  <c r="J354" i="3"/>
  <c r="J353" i="3" s="1"/>
  <c r="I354" i="3"/>
  <c r="H354" i="3"/>
  <c r="F354" i="3" s="1"/>
  <c r="G354" i="3"/>
  <c r="E354" i="3"/>
  <c r="E353" i="3"/>
  <c r="BJ352" i="3"/>
  <c r="L352" i="3"/>
  <c r="K352" i="3"/>
  <c r="J352" i="3"/>
  <c r="I352" i="3"/>
  <c r="G352" i="3"/>
  <c r="H352" i="3" s="1"/>
  <c r="F352" i="3" s="1"/>
  <c r="BJ351" i="3"/>
  <c r="K351" i="3"/>
  <c r="L351" i="3" s="1"/>
  <c r="I351" i="3"/>
  <c r="J351" i="3" s="1"/>
  <c r="G351" i="3"/>
  <c r="E351" i="3" s="1"/>
  <c r="BJ350" i="3"/>
  <c r="K350" i="3"/>
  <c r="L350" i="3" s="1"/>
  <c r="J350" i="3"/>
  <c r="I350" i="3"/>
  <c r="H350" i="3"/>
  <c r="F350" i="3" s="1"/>
  <c r="G350" i="3"/>
  <c r="E350" i="3"/>
  <c r="BJ349" i="3"/>
  <c r="K349" i="3"/>
  <c r="L349" i="3" s="1"/>
  <c r="J349" i="3"/>
  <c r="I349" i="3"/>
  <c r="G349" i="3"/>
  <c r="H349" i="3" s="1"/>
  <c r="E349" i="3"/>
  <c r="E348" i="3"/>
  <c r="F346" i="3"/>
  <c r="E346" i="3"/>
  <c r="BJ345" i="3"/>
  <c r="K345" i="3"/>
  <c r="L345" i="3" s="1"/>
  <c r="I345" i="3"/>
  <c r="J345" i="3" s="1"/>
  <c r="G345" i="3"/>
  <c r="H345" i="3" s="1"/>
  <c r="F345" i="3" s="1"/>
  <c r="BJ344" i="3"/>
  <c r="L344" i="3"/>
  <c r="K344" i="3"/>
  <c r="J344" i="3"/>
  <c r="I344" i="3"/>
  <c r="H344" i="3"/>
  <c r="F344" i="3" s="1"/>
  <c r="G344" i="3"/>
  <c r="E344" i="3" s="1"/>
  <c r="BJ343" i="3"/>
  <c r="H343" i="3"/>
  <c r="F343" i="3" s="1"/>
  <c r="G343" i="3"/>
  <c r="E343" i="3"/>
  <c r="BJ342" i="3"/>
  <c r="L342" i="3"/>
  <c r="K342" i="3"/>
  <c r="J342" i="3"/>
  <c r="I342" i="3"/>
  <c r="H342" i="3"/>
  <c r="F342" i="3" s="1"/>
  <c r="G342" i="3"/>
  <c r="E342" i="3"/>
  <c r="BJ341" i="3"/>
  <c r="K341" i="3"/>
  <c r="L341" i="3" s="1"/>
  <c r="I341" i="3"/>
  <c r="J341" i="3" s="1"/>
  <c r="G341" i="3"/>
  <c r="H341" i="3" s="1"/>
  <c r="F341" i="3" s="1"/>
  <c r="BJ340" i="3"/>
  <c r="K340" i="3"/>
  <c r="L340" i="3" s="1"/>
  <c r="I340" i="3"/>
  <c r="J340" i="3" s="1"/>
  <c r="H340" i="3"/>
  <c r="G340" i="3"/>
  <c r="BJ339" i="3"/>
  <c r="K339" i="3"/>
  <c r="E339" i="3" s="1"/>
  <c r="I339" i="3"/>
  <c r="J339" i="3" s="1"/>
  <c r="H339" i="3"/>
  <c r="G339" i="3"/>
  <c r="E338" i="3"/>
  <c r="BJ337" i="3"/>
  <c r="G337" i="3"/>
  <c r="H337" i="3" s="1"/>
  <c r="BJ336" i="3"/>
  <c r="H336" i="3"/>
  <c r="G336" i="3"/>
  <c r="F336" i="3"/>
  <c r="E336" i="3"/>
  <c r="L335" i="3"/>
  <c r="J335" i="3"/>
  <c r="E335" i="3"/>
  <c r="BJ334" i="3"/>
  <c r="G334" i="3"/>
  <c r="H334" i="3" s="1"/>
  <c r="F334" i="3" s="1"/>
  <c r="BJ333" i="3"/>
  <c r="G333" i="3"/>
  <c r="H333" i="3" s="1"/>
  <c r="F333" i="3" s="1"/>
  <c r="BJ332" i="3"/>
  <c r="G332" i="3"/>
  <c r="H332" i="3" s="1"/>
  <c r="F332" i="3" s="1"/>
  <c r="BJ331" i="3"/>
  <c r="G331" i="3"/>
  <c r="H331" i="3" s="1"/>
  <c r="F331" i="3" s="1"/>
  <c r="BJ330" i="3"/>
  <c r="H330" i="3"/>
  <c r="F330" i="3" s="1"/>
  <c r="G330" i="3"/>
  <c r="E330" i="3"/>
  <c r="BJ329" i="3"/>
  <c r="G329" i="3"/>
  <c r="H329" i="3" s="1"/>
  <c r="F329" i="3" s="1"/>
  <c r="E329" i="3"/>
  <c r="BJ328" i="3"/>
  <c r="H328" i="3"/>
  <c r="F328" i="3" s="1"/>
  <c r="G328" i="3"/>
  <c r="E328" i="3" s="1"/>
  <c r="BJ327" i="3"/>
  <c r="H327" i="3"/>
  <c r="F327" i="3" s="1"/>
  <c r="G327" i="3"/>
  <c r="E327" i="3"/>
  <c r="BJ326" i="3"/>
  <c r="H326" i="3"/>
  <c r="G326" i="3"/>
  <c r="E326" i="3"/>
  <c r="L325" i="3"/>
  <c r="J325" i="3"/>
  <c r="E325" i="3"/>
  <c r="BJ324" i="3"/>
  <c r="L324" i="3"/>
  <c r="K324" i="3"/>
  <c r="J324" i="3"/>
  <c r="I324" i="3"/>
  <c r="H324" i="3"/>
  <c r="F324" i="3" s="1"/>
  <c r="G324" i="3"/>
  <c r="E324" i="3" s="1"/>
  <c r="BJ323" i="3"/>
  <c r="L323" i="3"/>
  <c r="K323" i="3"/>
  <c r="I323" i="3"/>
  <c r="J323" i="3" s="1"/>
  <c r="G323" i="3"/>
  <c r="H323" i="3" s="1"/>
  <c r="F323" i="3" s="1"/>
  <c r="BJ322" i="3"/>
  <c r="L322" i="3"/>
  <c r="K322" i="3"/>
  <c r="I322" i="3"/>
  <c r="J322" i="3" s="1"/>
  <c r="G322" i="3"/>
  <c r="H322" i="3" s="1"/>
  <c r="BJ321" i="3"/>
  <c r="K321" i="3"/>
  <c r="L321" i="3" s="1"/>
  <c r="I321" i="3"/>
  <c r="J321" i="3" s="1"/>
  <c r="G321" i="3"/>
  <c r="H321" i="3" s="1"/>
  <c r="F321" i="3" s="1"/>
  <c r="BJ320" i="3"/>
  <c r="L320" i="3"/>
  <c r="K320" i="3"/>
  <c r="J320" i="3"/>
  <c r="I320" i="3"/>
  <c r="H320" i="3"/>
  <c r="F320" i="3" s="1"/>
  <c r="G320" i="3"/>
  <c r="E320" i="3" s="1"/>
  <c r="BJ319" i="3"/>
  <c r="L319" i="3"/>
  <c r="L317" i="3" s="1"/>
  <c r="K319" i="3"/>
  <c r="I319" i="3"/>
  <c r="J319" i="3" s="1"/>
  <c r="G319" i="3"/>
  <c r="H319" i="3" s="1"/>
  <c r="E318" i="3"/>
  <c r="E317" i="3"/>
  <c r="BJ316" i="3"/>
  <c r="H316" i="3"/>
  <c r="F316" i="3" s="1"/>
  <c r="G316" i="3"/>
  <c r="E316" i="3" s="1"/>
  <c r="BJ315" i="3"/>
  <c r="H315" i="3"/>
  <c r="F315" i="3" s="1"/>
  <c r="G315" i="3"/>
  <c r="E315" i="3"/>
  <c r="BJ314" i="3"/>
  <c r="L314" i="3"/>
  <c r="L313" i="3" s="1"/>
  <c r="K314" i="3"/>
  <c r="J314" i="3"/>
  <c r="J313" i="3" s="1"/>
  <c r="I314" i="3"/>
  <c r="H314" i="3"/>
  <c r="F314" i="3" s="1"/>
  <c r="G314" i="3"/>
  <c r="E314" i="3"/>
  <c r="E313" i="3"/>
  <c r="BJ312" i="3"/>
  <c r="H312" i="3"/>
  <c r="F312" i="3" s="1"/>
  <c r="G312" i="3"/>
  <c r="E312" i="3" s="1"/>
  <c r="BJ311" i="3"/>
  <c r="L311" i="3"/>
  <c r="K311" i="3"/>
  <c r="I311" i="3"/>
  <c r="J311" i="3" s="1"/>
  <c r="G311" i="3"/>
  <c r="H311" i="3" s="1"/>
  <c r="F311" i="3" s="1"/>
  <c r="BJ310" i="3"/>
  <c r="H310" i="3"/>
  <c r="F310" i="3" s="1"/>
  <c r="G310" i="3"/>
  <c r="E310" i="3"/>
  <c r="BJ309" i="3"/>
  <c r="K309" i="3"/>
  <c r="L309" i="3" s="1"/>
  <c r="I309" i="3"/>
  <c r="J309" i="3" s="1"/>
  <c r="G309" i="3"/>
  <c r="H309" i="3" s="1"/>
  <c r="BJ308" i="3"/>
  <c r="K308" i="3"/>
  <c r="L308" i="3" s="1"/>
  <c r="I308" i="3"/>
  <c r="J308" i="3" s="1"/>
  <c r="H308" i="3"/>
  <c r="G308" i="3"/>
  <c r="BJ307" i="3"/>
  <c r="K307" i="3"/>
  <c r="E307" i="3" s="1"/>
  <c r="I307" i="3"/>
  <c r="J307" i="3" s="1"/>
  <c r="H307" i="3"/>
  <c r="G307" i="3"/>
  <c r="BJ306" i="3"/>
  <c r="H306" i="3"/>
  <c r="F306" i="3" s="1"/>
  <c r="G306" i="3"/>
  <c r="E306" i="3"/>
  <c r="BJ305" i="3"/>
  <c r="K305" i="3"/>
  <c r="L305" i="3" s="1"/>
  <c r="J305" i="3"/>
  <c r="I305" i="3"/>
  <c r="G305" i="3"/>
  <c r="H305" i="3" s="1"/>
  <c r="E305" i="3"/>
  <c r="E304" i="3"/>
  <c r="BJ303" i="3"/>
  <c r="H303" i="3"/>
  <c r="F303" i="3" s="1"/>
  <c r="G303" i="3"/>
  <c r="E303" i="3"/>
  <c r="BJ302" i="3"/>
  <c r="H302" i="3"/>
  <c r="F302" i="3" s="1"/>
  <c r="G302" i="3"/>
  <c r="E302" i="3"/>
  <c r="BJ301" i="3"/>
  <c r="G301" i="3"/>
  <c r="H301" i="3" s="1"/>
  <c r="F301" i="3" s="1"/>
  <c r="BJ300" i="3"/>
  <c r="H300" i="3"/>
  <c r="G300" i="3"/>
  <c r="F300" i="3"/>
  <c r="E300" i="3"/>
  <c r="BJ299" i="3"/>
  <c r="G299" i="3"/>
  <c r="E299" i="3" s="1"/>
  <c r="BJ298" i="3"/>
  <c r="K298" i="3"/>
  <c r="L298" i="3" s="1"/>
  <c r="J298" i="3"/>
  <c r="I298" i="3"/>
  <c r="H298" i="3"/>
  <c r="G298" i="3"/>
  <c r="E298" i="3" s="1"/>
  <c r="BJ297" i="3"/>
  <c r="K297" i="3"/>
  <c r="L297" i="3" s="1"/>
  <c r="J297" i="3"/>
  <c r="I297" i="3"/>
  <c r="G297" i="3"/>
  <c r="H297" i="3" s="1"/>
  <c r="F297" i="3" s="1"/>
  <c r="E297" i="3"/>
  <c r="BJ296" i="3"/>
  <c r="H296" i="3"/>
  <c r="F296" i="3" s="1"/>
  <c r="G296" i="3"/>
  <c r="E296" i="3" s="1"/>
  <c r="BJ295" i="3"/>
  <c r="H295" i="3"/>
  <c r="F295" i="3" s="1"/>
  <c r="G295" i="3"/>
  <c r="E295" i="3"/>
  <c r="BJ294" i="3"/>
  <c r="L294" i="3"/>
  <c r="K294" i="3"/>
  <c r="J294" i="3"/>
  <c r="I294" i="3"/>
  <c r="H294" i="3"/>
  <c r="G294" i="3"/>
  <c r="E294" i="3"/>
  <c r="BJ293" i="3"/>
  <c r="K293" i="3"/>
  <c r="L293" i="3" s="1"/>
  <c r="I293" i="3"/>
  <c r="J293" i="3" s="1"/>
  <c r="G293" i="3"/>
  <c r="E292" i="3"/>
  <c r="Z291" i="3"/>
  <c r="E291" i="3"/>
  <c r="F289" i="3"/>
  <c r="E289" i="3"/>
  <c r="BJ288" i="3"/>
  <c r="L288" i="3"/>
  <c r="K288" i="3"/>
  <c r="I288" i="3"/>
  <c r="J288" i="3" s="1"/>
  <c r="J287" i="3" s="1"/>
  <c r="G288" i="3"/>
  <c r="H288" i="3" s="1"/>
  <c r="L287" i="3"/>
  <c r="H287" i="3"/>
  <c r="F287" i="3" s="1"/>
  <c r="E287" i="3"/>
  <c r="BJ286" i="3"/>
  <c r="G286" i="3"/>
  <c r="H286" i="3" s="1"/>
  <c r="F286" i="3" s="1"/>
  <c r="BJ285" i="3"/>
  <c r="K285" i="3"/>
  <c r="L285" i="3" s="1"/>
  <c r="I285" i="3"/>
  <c r="J285" i="3" s="1"/>
  <c r="AA234" i="3" s="1"/>
  <c r="G285" i="3"/>
  <c r="BJ284" i="3"/>
  <c r="K284" i="3"/>
  <c r="L284" i="3" s="1"/>
  <c r="J284" i="3"/>
  <c r="I284" i="3"/>
  <c r="H284" i="3"/>
  <c r="F284" i="3" s="1"/>
  <c r="G284" i="3"/>
  <c r="E284" i="3" s="1"/>
  <c r="BJ283" i="3"/>
  <c r="K283" i="3"/>
  <c r="L283" i="3" s="1"/>
  <c r="J283" i="3"/>
  <c r="I283" i="3"/>
  <c r="G283" i="3"/>
  <c r="H283" i="3" s="1"/>
  <c r="F283" i="3" s="1"/>
  <c r="E283" i="3"/>
  <c r="BJ282" i="3"/>
  <c r="L282" i="3"/>
  <c r="K282" i="3"/>
  <c r="J282" i="3"/>
  <c r="J281" i="3" s="1"/>
  <c r="I282" i="3"/>
  <c r="G282" i="3"/>
  <c r="H282" i="3" s="1"/>
  <c r="E281" i="3"/>
  <c r="BJ280" i="3"/>
  <c r="H280" i="3"/>
  <c r="F280" i="3" s="1"/>
  <c r="G280" i="3"/>
  <c r="E280" i="3"/>
  <c r="BJ279" i="3"/>
  <c r="G279" i="3"/>
  <c r="H279" i="3" s="1"/>
  <c r="E279" i="3"/>
  <c r="L278" i="3"/>
  <c r="J278" i="3"/>
  <c r="E278" i="3"/>
  <c r="BJ277" i="3"/>
  <c r="H277" i="3"/>
  <c r="F277" i="3" s="1"/>
  <c r="G277" i="3"/>
  <c r="E277" i="3"/>
  <c r="BJ276" i="3"/>
  <c r="H276" i="3"/>
  <c r="F276" i="3" s="1"/>
  <c r="G276" i="3"/>
  <c r="E276" i="3" s="1"/>
  <c r="BJ275" i="3"/>
  <c r="G275" i="3"/>
  <c r="H275" i="3" s="1"/>
  <c r="F275" i="3" s="1"/>
  <c r="BJ274" i="3"/>
  <c r="H274" i="3"/>
  <c r="G274" i="3"/>
  <c r="F274" i="3"/>
  <c r="E274" i="3"/>
  <c r="BJ273" i="3"/>
  <c r="G273" i="3"/>
  <c r="E273" i="3" s="1"/>
  <c r="BJ272" i="3"/>
  <c r="G272" i="3"/>
  <c r="H272" i="3" s="1"/>
  <c r="F272" i="3" s="1"/>
  <c r="BJ271" i="3"/>
  <c r="G271" i="3"/>
  <c r="BJ270" i="3"/>
  <c r="G270" i="3"/>
  <c r="H270" i="3" s="1"/>
  <c r="F270" i="3" s="1"/>
  <c r="BJ269" i="3"/>
  <c r="G269" i="3"/>
  <c r="H269" i="3" s="1"/>
  <c r="L268" i="3"/>
  <c r="J268" i="3"/>
  <c r="E268" i="3"/>
  <c r="BJ267" i="3"/>
  <c r="K267" i="3"/>
  <c r="L267" i="3" s="1"/>
  <c r="I267" i="3"/>
  <c r="J267" i="3" s="1"/>
  <c r="G267" i="3"/>
  <c r="BJ266" i="3"/>
  <c r="K266" i="3"/>
  <c r="L266" i="3" s="1"/>
  <c r="I266" i="3"/>
  <c r="J266" i="3" s="1"/>
  <c r="H266" i="3"/>
  <c r="G266" i="3"/>
  <c r="F266" i="3"/>
  <c r="BJ265" i="3"/>
  <c r="K265" i="3"/>
  <c r="E265" i="3" s="1"/>
  <c r="I265" i="3"/>
  <c r="J265" i="3" s="1"/>
  <c r="H265" i="3"/>
  <c r="G265" i="3"/>
  <c r="BJ264" i="3"/>
  <c r="L264" i="3"/>
  <c r="K264" i="3"/>
  <c r="J264" i="3"/>
  <c r="I264" i="3"/>
  <c r="H264" i="3"/>
  <c r="G264" i="3"/>
  <c r="E264" i="3"/>
  <c r="BJ263" i="3"/>
  <c r="K263" i="3"/>
  <c r="L263" i="3" s="1"/>
  <c r="I263" i="3"/>
  <c r="J263" i="3" s="1"/>
  <c r="G263" i="3"/>
  <c r="BJ262" i="3"/>
  <c r="K262" i="3"/>
  <c r="L262" i="3" s="1"/>
  <c r="I262" i="3"/>
  <c r="J262" i="3" s="1"/>
  <c r="H262" i="3"/>
  <c r="G262" i="3"/>
  <c r="E261" i="3"/>
  <c r="E260" i="3"/>
  <c r="BJ259" i="3"/>
  <c r="G259" i="3"/>
  <c r="BJ258" i="3"/>
  <c r="G258" i="3"/>
  <c r="H258" i="3" s="1"/>
  <c r="F258" i="3" s="1"/>
  <c r="BJ257" i="3"/>
  <c r="K257" i="3"/>
  <c r="L257" i="3" s="1"/>
  <c r="L256" i="3" s="1"/>
  <c r="I257" i="3"/>
  <c r="J257" i="3" s="1"/>
  <c r="J256" i="3" s="1"/>
  <c r="G257" i="3"/>
  <c r="E257" i="3" s="1"/>
  <c r="E256" i="3"/>
  <c r="BJ255" i="3"/>
  <c r="G255" i="3"/>
  <c r="BJ254" i="3"/>
  <c r="K254" i="3"/>
  <c r="L254" i="3" s="1"/>
  <c r="I254" i="3"/>
  <c r="J254" i="3" s="1"/>
  <c r="H254" i="3"/>
  <c r="G254" i="3"/>
  <c r="F254" i="3"/>
  <c r="BJ253" i="3"/>
  <c r="G253" i="3"/>
  <c r="E253" i="3" s="1"/>
  <c r="BJ252" i="3"/>
  <c r="K252" i="3"/>
  <c r="L252" i="3" s="1"/>
  <c r="J252" i="3"/>
  <c r="I252" i="3"/>
  <c r="H252" i="3"/>
  <c r="G252" i="3"/>
  <c r="E252" i="3" s="1"/>
  <c r="F252" i="3"/>
  <c r="BJ251" i="3"/>
  <c r="K251" i="3"/>
  <c r="L251" i="3" s="1"/>
  <c r="J251" i="3"/>
  <c r="I251" i="3"/>
  <c r="G251" i="3"/>
  <c r="H251" i="3" s="1"/>
  <c r="F251" i="3" s="1"/>
  <c r="E251" i="3"/>
  <c r="BJ250" i="3"/>
  <c r="L250" i="3"/>
  <c r="K250" i="3"/>
  <c r="J250" i="3"/>
  <c r="I250" i="3"/>
  <c r="G250" i="3"/>
  <c r="H250" i="3" s="1"/>
  <c r="F250" i="3" s="1"/>
  <c r="BJ249" i="3"/>
  <c r="G249" i="3"/>
  <c r="H249" i="3" s="1"/>
  <c r="F249" i="3" s="1"/>
  <c r="E249" i="3"/>
  <c r="BJ248" i="3"/>
  <c r="L248" i="3"/>
  <c r="K248" i="3"/>
  <c r="I248" i="3"/>
  <c r="J248" i="3" s="1"/>
  <c r="G248" i="3"/>
  <c r="H248" i="3" s="1"/>
  <c r="F248" i="3" s="1"/>
  <c r="L247" i="3"/>
  <c r="E247" i="3"/>
  <c r="BJ246" i="3"/>
  <c r="G246" i="3"/>
  <c r="H246" i="3" s="1"/>
  <c r="F246" i="3" s="1"/>
  <c r="BJ245" i="3"/>
  <c r="G245" i="3"/>
  <c r="BJ244" i="3"/>
  <c r="H244" i="3"/>
  <c r="F244" i="3" s="1"/>
  <c r="G244" i="3"/>
  <c r="E244" i="3"/>
  <c r="BJ243" i="3"/>
  <c r="G243" i="3"/>
  <c r="H243" i="3" s="1"/>
  <c r="F243" i="3" s="1"/>
  <c r="E243" i="3"/>
  <c r="BJ242" i="3"/>
  <c r="H242" i="3"/>
  <c r="F242" i="3" s="1"/>
  <c r="G242" i="3"/>
  <c r="E242" i="3"/>
  <c r="BJ241" i="3"/>
  <c r="L241" i="3"/>
  <c r="K241" i="3"/>
  <c r="I241" i="3"/>
  <c r="J241" i="3" s="1"/>
  <c r="G241" i="3"/>
  <c r="H241" i="3" s="1"/>
  <c r="F241" i="3" s="1"/>
  <c r="E241" i="3"/>
  <c r="BJ240" i="3"/>
  <c r="L240" i="3"/>
  <c r="K240" i="3"/>
  <c r="I240" i="3"/>
  <c r="J240" i="3" s="1"/>
  <c r="F240" i="3" s="1"/>
  <c r="H240" i="3"/>
  <c r="G240" i="3"/>
  <c r="E240" i="3" s="1"/>
  <c r="BJ239" i="3"/>
  <c r="G239" i="3"/>
  <c r="BJ238" i="3"/>
  <c r="G238" i="3"/>
  <c r="H238" i="3" s="1"/>
  <c r="F238" i="3" s="1"/>
  <c r="BJ237" i="3"/>
  <c r="K237" i="3"/>
  <c r="L237" i="3" s="1"/>
  <c r="I237" i="3"/>
  <c r="J237" i="3" s="1"/>
  <c r="G237" i="3"/>
  <c r="BJ236" i="3"/>
  <c r="L236" i="3"/>
  <c r="K236" i="3"/>
  <c r="J236" i="3"/>
  <c r="J235" i="3" s="1"/>
  <c r="I236" i="3"/>
  <c r="H236" i="3"/>
  <c r="G236" i="3"/>
  <c r="F236" i="3"/>
  <c r="E236" i="3"/>
  <c r="E235" i="3"/>
  <c r="E234" i="3"/>
  <c r="F232" i="3"/>
  <c r="E232" i="3"/>
  <c r="BJ231" i="3"/>
  <c r="BJ230" i="3"/>
  <c r="BJ228" i="3"/>
  <c r="K228" i="3"/>
  <c r="L228" i="3" s="1"/>
  <c r="L227" i="3" s="1"/>
  <c r="I228" i="3"/>
  <c r="E228" i="3" s="1"/>
  <c r="H228" i="3"/>
  <c r="H227" i="3" s="1"/>
  <c r="G228" i="3"/>
  <c r="E227" i="3"/>
  <c r="BJ226" i="3"/>
  <c r="K226" i="3"/>
  <c r="L226" i="3" s="1"/>
  <c r="J226" i="3"/>
  <c r="I226" i="3"/>
  <c r="H226" i="3"/>
  <c r="G226" i="3"/>
  <c r="E226" i="3"/>
  <c r="BJ225" i="3"/>
  <c r="L225" i="3"/>
  <c r="K225" i="3"/>
  <c r="J225" i="3"/>
  <c r="J224" i="3" s="1"/>
  <c r="I225" i="3"/>
  <c r="H225" i="3"/>
  <c r="G225" i="3"/>
  <c r="E225" i="3"/>
  <c r="E224" i="3"/>
  <c r="F222" i="3"/>
  <c r="E222" i="3"/>
  <c r="BJ221" i="3"/>
  <c r="L221" i="3"/>
  <c r="K221" i="3"/>
  <c r="J221" i="3"/>
  <c r="I221" i="3"/>
  <c r="H221" i="3"/>
  <c r="G221" i="3"/>
  <c r="E221" i="3" s="1"/>
  <c r="F221" i="3"/>
  <c r="BJ220" i="3"/>
  <c r="H220" i="3"/>
  <c r="G220" i="3"/>
  <c r="F220" i="3"/>
  <c r="E220" i="3"/>
  <c r="BJ219" i="3"/>
  <c r="L219" i="3"/>
  <c r="K219" i="3"/>
  <c r="J219" i="3"/>
  <c r="I219" i="3"/>
  <c r="H219" i="3"/>
  <c r="F219" i="3" s="1"/>
  <c r="G219" i="3"/>
  <c r="E219" i="3"/>
  <c r="BJ218" i="3"/>
  <c r="L218" i="3"/>
  <c r="K218" i="3"/>
  <c r="I218" i="3"/>
  <c r="J218" i="3" s="1"/>
  <c r="G218" i="3"/>
  <c r="H218" i="3" s="1"/>
  <c r="BJ217" i="3"/>
  <c r="L217" i="3"/>
  <c r="K217" i="3"/>
  <c r="I217" i="3"/>
  <c r="J217" i="3" s="1"/>
  <c r="F217" i="3" s="1"/>
  <c r="H217" i="3"/>
  <c r="G217" i="3"/>
  <c r="BJ216" i="3"/>
  <c r="K216" i="3"/>
  <c r="L216" i="3" s="1"/>
  <c r="L215" i="3" s="1"/>
  <c r="I216" i="3"/>
  <c r="E216" i="3" s="1"/>
  <c r="H216" i="3"/>
  <c r="G216" i="3"/>
  <c r="E215" i="3"/>
  <c r="BJ214" i="3"/>
  <c r="G214" i="3"/>
  <c r="E214" i="3" s="1"/>
  <c r="BJ213" i="3"/>
  <c r="H213" i="3"/>
  <c r="G213" i="3"/>
  <c r="F213" i="3"/>
  <c r="E213" i="3"/>
  <c r="L212" i="3"/>
  <c r="J212" i="3"/>
  <c r="E212" i="3"/>
  <c r="BJ211" i="3"/>
  <c r="G211" i="3"/>
  <c r="H211" i="3" s="1"/>
  <c r="F211" i="3" s="1"/>
  <c r="BJ210" i="3"/>
  <c r="G210" i="3"/>
  <c r="BJ209" i="3"/>
  <c r="H209" i="3"/>
  <c r="F209" i="3" s="1"/>
  <c r="G209" i="3"/>
  <c r="E209" i="3"/>
  <c r="BJ208" i="3"/>
  <c r="G208" i="3"/>
  <c r="H208" i="3" s="1"/>
  <c r="F208" i="3" s="1"/>
  <c r="E208" i="3"/>
  <c r="BJ207" i="3"/>
  <c r="H207" i="3"/>
  <c r="G207" i="3"/>
  <c r="E207" i="3"/>
  <c r="L206" i="3"/>
  <c r="J206" i="3"/>
  <c r="E206" i="3"/>
  <c r="BJ205" i="3"/>
  <c r="L205" i="3"/>
  <c r="K205" i="3"/>
  <c r="J205" i="3"/>
  <c r="I205" i="3"/>
  <c r="H205" i="3"/>
  <c r="G205" i="3"/>
  <c r="E205" i="3"/>
  <c r="BJ204" i="3"/>
  <c r="K204" i="3"/>
  <c r="L204" i="3" s="1"/>
  <c r="I204" i="3"/>
  <c r="J204" i="3" s="1"/>
  <c r="G204" i="3"/>
  <c r="BJ203" i="3"/>
  <c r="K203" i="3"/>
  <c r="L203" i="3" s="1"/>
  <c r="F203" i="3" s="1"/>
  <c r="J203" i="3"/>
  <c r="I203" i="3"/>
  <c r="H203" i="3"/>
  <c r="G203" i="3"/>
  <c r="BJ202" i="3"/>
  <c r="K202" i="3"/>
  <c r="E202" i="3" s="1"/>
  <c r="J202" i="3"/>
  <c r="I202" i="3"/>
  <c r="H202" i="3"/>
  <c r="G202" i="3"/>
  <c r="BJ201" i="3"/>
  <c r="L201" i="3"/>
  <c r="K201" i="3"/>
  <c r="J201" i="3"/>
  <c r="I201" i="3"/>
  <c r="H201" i="3"/>
  <c r="G201" i="3"/>
  <c r="E201" i="3"/>
  <c r="E200" i="3"/>
  <c r="E199" i="3"/>
  <c r="BJ198" i="3"/>
  <c r="H198" i="3"/>
  <c r="F198" i="3" s="1"/>
  <c r="G198" i="3"/>
  <c r="E198" i="3"/>
  <c r="BJ197" i="3"/>
  <c r="H197" i="3"/>
  <c r="F197" i="3" s="1"/>
  <c r="G197" i="3"/>
  <c r="E197" i="3" s="1"/>
  <c r="BJ196" i="3"/>
  <c r="H196" i="3"/>
  <c r="G196" i="3"/>
  <c r="F196" i="3"/>
  <c r="E196" i="3"/>
  <c r="BJ195" i="3"/>
  <c r="H195" i="3"/>
  <c r="G195" i="3"/>
  <c r="E195" i="3" s="1"/>
  <c r="F195" i="3"/>
  <c r="BJ194" i="3"/>
  <c r="G194" i="3"/>
  <c r="E194" i="3" s="1"/>
  <c r="BJ193" i="3"/>
  <c r="H193" i="3"/>
  <c r="G193" i="3"/>
  <c r="F193" i="3"/>
  <c r="E193" i="3"/>
  <c r="BJ192" i="3"/>
  <c r="G192" i="3"/>
  <c r="BJ191" i="3"/>
  <c r="G191" i="3"/>
  <c r="H191" i="3" s="1"/>
  <c r="F191" i="3" s="1"/>
  <c r="BJ190" i="3"/>
  <c r="G190" i="3"/>
  <c r="H190" i="3" s="1"/>
  <c r="L189" i="3"/>
  <c r="J189" i="3"/>
  <c r="E189" i="3"/>
  <c r="BJ188" i="3"/>
  <c r="K188" i="3"/>
  <c r="L188" i="3" s="1"/>
  <c r="I188" i="3"/>
  <c r="J188" i="3" s="1"/>
  <c r="G188" i="3"/>
  <c r="BJ187" i="3"/>
  <c r="K187" i="3"/>
  <c r="L187" i="3" s="1"/>
  <c r="J187" i="3"/>
  <c r="I187" i="3"/>
  <c r="H187" i="3"/>
  <c r="G187" i="3"/>
  <c r="E187" i="3" s="1"/>
  <c r="F187" i="3"/>
  <c r="BJ186" i="3"/>
  <c r="K186" i="3"/>
  <c r="E186" i="3" s="1"/>
  <c r="J186" i="3"/>
  <c r="I186" i="3"/>
  <c r="H186" i="3"/>
  <c r="G186" i="3"/>
  <c r="BJ185" i="3"/>
  <c r="L185" i="3"/>
  <c r="K185" i="3"/>
  <c r="J185" i="3"/>
  <c r="I185" i="3"/>
  <c r="H185" i="3"/>
  <c r="F185" i="3" s="1"/>
  <c r="G185" i="3"/>
  <c r="E185" i="3"/>
  <c r="BJ184" i="3"/>
  <c r="K184" i="3"/>
  <c r="L184" i="3" s="1"/>
  <c r="I184" i="3"/>
  <c r="J184" i="3" s="1"/>
  <c r="J181" i="3" s="1"/>
  <c r="G184" i="3"/>
  <c r="BJ183" i="3"/>
  <c r="K183" i="3"/>
  <c r="L183" i="3" s="1"/>
  <c r="J183" i="3"/>
  <c r="J182" i="3" s="1"/>
  <c r="I183" i="3"/>
  <c r="H183" i="3"/>
  <c r="G183" i="3"/>
  <c r="E183" i="3" s="1"/>
  <c r="E182" i="3"/>
  <c r="E181" i="3"/>
  <c r="BJ180" i="3"/>
  <c r="G180" i="3"/>
  <c r="BJ179" i="3"/>
  <c r="G179" i="3"/>
  <c r="H179" i="3" s="1"/>
  <c r="F179" i="3" s="1"/>
  <c r="BJ178" i="3"/>
  <c r="K178" i="3"/>
  <c r="L178" i="3" s="1"/>
  <c r="L177" i="3" s="1"/>
  <c r="I178" i="3"/>
  <c r="J178" i="3" s="1"/>
  <c r="J177" i="3" s="1"/>
  <c r="G178" i="3"/>
  <c r="E178" i="3" s="1"/>
  <c r="E177" i="3"/>
  <c r="BJ176" i="3"/>
  <c r="G176" i="3"/>
  <c r="BJ175" i="3"/>
  <c r="K175" i="3"/>
  <c r="L175" i="3" s="1"/>
  <c r="F175" i="3" s="1"/>
  <c r="J175" i="3"/>
  <c r="I175" i="3"/>
  <c r="H175" i="3"/>
  <c r="G175" i="3"/>
  <c r="BJ174" i="3"/>
  <c r="G174" i="3"/>
  <c r="E174" i="3" s="1"/>
  <c r="BJ173" i="3"/>
  <c r="L173" i="3"/>
  <c r="K173" i="3"/>
  <c r="J173" i="3"/>
  <c r="I173" i="3"/>
  <c r="H173" i="3"/>
  <c r="F173" i="3" s="1"/>
  <c r="G173" i="3"/>
  <c r="E173" i="3"/>
  <c r="BJ172" i="3"/>
  <c r="L172" i="3"/>
  <c r="K172" i="3"/>
  <c r="J172" i="3"/>
  <c r="I172" i="3"/>
  <c r="G172" i="3"/>
  <c r="H172" i="3" s="1"/>
  <c r="F172" i="3" s="1"/>
  <c r="E172" i="3"/>
  <c r="BJ171" i="3"/>
  <c r="L171" i="3"/>
  <c r="L155" i="3" s="1"/>
  <c r="K171" i="3"/>
  <c r="I171" i="3"/>
  <c r="J171" i="3" s="1"/>
  <c r="G171" i="3"/>
  <c r="H171" i="3" s="1"/>
  <c r="BJ170" i="3"/>
  <c r="G170" i="3"/>
  <c r="H170" i="3" s="1"/>
  <c r="F170" i="3" s="1"/>
  <c r="E170" i="3"/>
  <c r="BJ169" i="3"/>
  <c r="K169" i="3"/>
  <c r="L169" i="3" s="1"/>
  <c r="I169" i="3"/>
  <c r="J169" i="3" s="1"/>
  <c r="H169" i="3"/>
  <c r="G169" i="3"/>
  <c r="L168" i="3"/>
  <c r="E168" i="3"/>
  <c r="BJ167" i="3"/>
  <c r="G167" i="3"/>
  <c r="H167" i="3" s="1"/>
  <c r="F167" i="3" s="1"/>
  <c r="BJ166" i="3"/>
  <c r="G166" i="3"/>
  <c r="BJ165" i="3"/>
  <c r="G165" i="3"/>
  <c r="H165" i="3" s="1"/>
  <c r="F165" i="3" s="1"/>
  <c r="E165" i="3"/>
  <c r="BJ164" i="3"/>
  <c r="G164" i="3"/>
  <c r="H164" i="3" s="1"/>
  <c r="F164" i="3" s="1"/>
  <c r="E164" i="3"/>
  <c r="BJ163" i="3"/>
  <c r="H163" i="3"/>
  <c r="F163" i="3" s="1"/>
  <c r="G163" i="3"/>
  <c r="E163" i="3"/>
  <c r="BJ162" i="3"/>
  <c r="L162" i="3"/>
  <c r="K162" i="3"/>
  <c r="I162" i="3"/>
  <c r="J162" i="3" s="1"/>
  <c r="G162" i="3"/>
  <c r="H162" i="3" s="1"/>
  <c r="F162" i="3" s="1"/>
  <c r="E162" i="3"/>
  <c r="BJ161" i="3"/>
  <c r="K161" i="3"/>
  <c r="L161" i="3" s="1"/>
  <c r="I161" i="3"/>
  <c r="H161" i="3"/>
  <c r="G161" i="3"/>
  <c r="BJ160" i="3"/>
  <c r="G160" i="3"/>
  <c r="BJ159" i="3"/>
  <c r="G159" i="3"/>
  <c r="BJ158" i="3"/>
  <c r="K158" i="3"/>
  <c r="L158" i="3" s="1"/>
  <c r="I158" i="3"/>
  <c r="J158" i="3" s="1"/>
  <c r="G158" i="3"/>
  <c r="E158" i="3" s="1"/>
  <c r="BJ157" i="3"/>
  <c r="L157" i="3"/>
  <c r="K157" i="3"/>
  <c r="J157" i="3"/>
  <c r="I157" i="3"/>
  <c r="H157" i="3"/>
  <c r="G157" i="3"/>
  <c r="F157" i="3"/>
  <c r="E157" i="3"/>
  <c r="E156" i="3"/>
  <c r="E155" i="3"/>
  <c r="F153" i="3"/>
  <c r="E153" i="3"/>
  <c r="BJ152" i="3"/>
  <c r="K152" i="3"/>
  <c r="L152" i="3" s="1"/>
  <c r="L151" i="3" s="1"/>
  <c r="J152" i="3"/>
  <c r="I152" i="3"/>
  <c r="H152" i="3"/>
  <c r="G152" i="3"/>
  <c r="E152" i="3"/>
  <c r="J151" i="3"/>
  <c r="E151" i="3"/>
  <c r="BJ150" i="3"/>
  <c r="H150" i="3"/>
  <c r="G150" i="3"/>
  <c r="F150" i="3"/>
  <c r="E150" i="3"/>
  <c r="BJ149" i="3"/>
  <c r="L149" i="3"/>
  <c r="K149" i="3"/>
  <c r="J149" i="3"/>
  <c r="I149" i="3"/>
  <c r="H149" i="3"/>
  <c r="G149" i="3"/>
  <c r="E149" i="3"/>
  <c r="BJ148" i="3"/>
  <c r="L148" i="3"/>
  <c r="K148" i="3"/>
  <c r="I148" i="3"/>
  <c r="J148" i="3" s="1"/>
  <c r="G148" i="3"/>
  <c r="H148" i="3" s="1"/>
  <c r="E148" i="3"/>
  <c r="BJ147" i="3"/>
  <c r="K147" i="3"/>
  <c r="L147" i="3" s="1"/>
  <c r="I147" i="3"/>
  <c r="J147" i="3" s="1"/>
  <c r="F147" i="3" s="1"/>
  <c r="H147" i="3"/>
  <c r="G147" i="3"/>
  <c r="BJ146" i="3"/>
  <c r="K146" i="3"/>
  <c r="L146" i="3" s="1"/>
  <c r="L145" i="3" s="1"/>
  <c r="I146" i="3"/>
  <c r="J146" i="3" s="1"/>
  <c r="H146" i="3"/>
  <c r="H145" i="3" s="1"/>
  <c r="G146" i="3"/>
  <c r="E145" i="3"/>
  <c r="BJ144" i="3"/>
  <c r="G144" i="3"/>
  <c r="BJ143" i="3"/>
  <c r="H143" i="3"/>
  <c r="G143" i="3"/>
  <c r="E143" i="3" s="1"/>
  <c r="L142" i="3"/>
  <c r="J142" i="3"/>
  <c r="E142" i="3"/>
  <c r="BJ141" i="3"/>
  <c r="G141" i="3"/>
  <c r="BJ140" i="3"/>
  <c r="G140" i="3"/>
  <c r="H140" i="3" s="1"/>
  <c r="F140" i="3" s="1"/>
  <c r="E140" i="3"/>
  <c r="BJ139" i="3"/>
  <c r="G139" i="3"/>
  <c r="H139" i="3" s="1"/>
  <c r="F139" i="3" s="1"/>
  <c r="BJ138" i="3"/>
  <c r="G138" i="3"/>
  <c r="BJ137" i="3"/>
  <c r="G137" i="3"/>
  <c r="H137" i="3" s="1"/>
  <c r="F137" i="3" s="1"/>
  <c r="E137" i="3"/>
  <c r="BJ136" i="3"/>
  <c r="G136" i="3"/>
  <c r="H136" i="3" s="1"/>
  <c r="F136" i="3" s="1"/>
  <c r="BJ135" i="3"/>
  <c r="H135" i="3"/>
  <c r="G135" i="3"/>
  <c r="E135" i="3"/>
  <c r="BJ134" i="3"/>
  <c r="G134" i="3"/>
  <c r="BJ133" i="3"/>
  <c r="H133" i="3"/>
  <c r="G133" i="3"/>
  <c r="E133" i="3" s="1"/>
  <c r="F133" i="3"/>
  <c r="L132" i="3"/>
  <c r="J132" i="3"/>
  <c r="E132" i="3"/>
  <c r="BJ131" i="3"/>
  <c r="K131" i="3"/>
  <c r="L131" i="3" s="1"/>
  <c r="I131" i="3"/>
  <c r="E131" i="3" s="1"/>
  <c r="H131" i="3"/>
  <c r="G131" i="3"/>
  <c r="BJ130" i="3"/>
  <c r="K130" i="3"/>
  <c r="L130" i="3" s="1"/>
  <c r="J130" i="3"/>
  <c r="I130" i="3"/>
  <c r="H130" i="3"/>
  <c r="G130" i="3"/>
  <c r="E130" i="3"/>
  <c r="BJ129" i="3"/>
  <c r="K129" i="3"/>
  <c r="L129" i="3" s="1"/>
  <c r="I129" i="3"/>
  <c r="J129" i="3" s="1"/>
  <c r="H129" i="3"/>
  <c r="F129" i="3" s="1"/>
  <c r="G129" i="3"/>
  <c r="E129" i="3" s="1"/>
  <c r="BJ128" i="3"/>
  <c r="K128" i="3"/>
  <c r="L128" i="3" s="1"/>
  <c r="I128" i="3"/>
  <c r="J128" i="3" s="1"/>
  <c r="G128" i="3"/>
  <c r="H128" i="3" s="1"/>
  <c r="BJ127" i="3"/>
  <c r="K127" i="3"/>
  <c r="L127" i="3" s="1"/>
  <c r="J127" i="3"/>
  <c r="I127" i="3"/>
  <c r="E127" i="3" s="1"/>
  <c r="H127" i="3"/>
  <c r="G127" i="3"/>
  <c r="BJ126" i="3"/>
  <c r="K126" i="3"/>
  <c r="L126" i="3" s="1"/>
  <c r="L125" i="3" s="1"/>
  <c r="J126" i="3"/>
  <c r="I126" i="3"/>
  <c r="H126" i="3"/>
  <c r="G126" i="3"/>
  <c r="E125" i="3"/>
  <c r="E124" i="3"/>
  <c r="BJ123" i="3"/>
  <c r="H123" i="3"/>
  <c r="F123" i="3" s="1"/>
  <c r="G123" i="3"/>
  <c r="E123" i="3"/>
  <c r="BJ122" i="3"/>
  <c r="G122" i="3"/>
  <c r="BJ121" i="3"/>
  <c r="L121" i="3"/>
  <c r="K121" i="3"/>
  <c r="J121" i="3"/>
  <c r="J120" i="3" s="1"/>
  <c r="I121" i="3"/>
  <c r="G121" i="3"/>
  <c r="H121" i="3" s="1"/>
  <c r="E121" i="3"/>
  <c r="L120" i="3"/>
  <c r="E120" i="3"/>
  <c r="BJ119" i="3"/>
  <c r="H119" i="3"/>
  <c r="F119" i="3" s="1"/>
  <c r="G119" i="3"/>
  <c r="E119" i="3"/>
  <c r="BJ118" i="3"/>
  <c r="K118" i="3"/>
  <c r="L118" i="3" s="1"/>
  <c r="J118" i="3"/>
  <c r="I118" i="3"/>
  <c r="H118" i="3"/>
  <c r="F118" i="3" s="1"/>
  <c r="G118" i="3"/>
  <c r="E118" i="3"/>
  <c r="BJ117" i="3"/>
  <c r="G117" i="3"/>
  <c r="H117" i="3" s="1"/>
  <c r="F117" i="3" s="1"/>
  <c r="E117" i="3"/>
  <c r="BJ116" i="3"/>
  <c r="L116" i="3"/>
  <c r="K116" i="3"/>
  <c r="J116" i="3"/>
  <c r="I116" i="3"/>
  <c r="G116" i="3"/>
  <c r="BJ115" i="3"/>
  <c r="K115" i="3"/>
  <c r="L115" i="3" s="1"/>
  <c r="J115" i="3"/>
  <c r="I115" i="3"/>
  <c r="G115" i="3"/>
  <c r="E115" i="3" s="1"/>
  <c r="BJ114" i="3"/>
  <c r="K114" i="3"/>
  <c r="L114" i="3" s="1"/>
  <c r="I114" i="3"/>
  <c r="J114" i="3" s="1"/>
  <c r="G114" i="3"/>
  <c r="BJ113" i="3"/>
  <c r="H113" i="3"/>
  <c r="G113" i="3"/>
  <c r="E113" i="3" s="1"/>
  <c r="F113" i="3"/>
  <c r="BJ112" i="3"/>
  <c r="K112" i="3"/>
  <c r="L112" i="3" s="1"/>
  <c r="L111" i="3" s="1"/>
  <c r="I112" i="3"/>
  <c r="H112" i="3"/>
  <c r="G112" i="3"/>
  <c r="E111" i="3"/>
  <c r="BJ110" i="3"/>
  <c r="G110" i="3"/>
  <c r="BJ109" i="3"/>
  <c r="H109" i="3"/>
  <c r="G109" i="3"/>
  <c r="E109" i="3" s="1"/>
  <c r="F109" i="3"/>
  <c r="BJ108" i="3"/>
  <c r="G108" i="3"/>
  <c r="H108" i="3" s="1"/>
  <c r="F108" i="3" s="1"/>
  <c r="E108" i="3"/>
  <c r="BJ107" i="3"/>
  <c r="G107" i="3"/>
  <c r="E107" i="3" s="1"/>
  <c r="BJ106" i="3"/>
  <c r="G106" i="3"/>
  <c r="H106" i="3" s="1"/>
  <c r="F106" i="3" s="1"/>
  <c r="E106" i="3"/>
  <c r="BJ105" i="3"/>
  <c r="L105" i="3"/>
  <c r="K105" i="3"/>
  <c r="I105" i="3"/>
  <c r="J105" i="3" s="1"/>
  <c r="H105" i="3"/>
  <c r="G105" i="3"/>
  <c r="E105" i="3" s="1"/>
  <c r="F105" i="3"/>
  <c r="BJ104" i="3"/>
  <c r="K104" i="3"/>
  <c r="L104" i="3" s="1"/>
  <c r="I104" i="3"/>
  <c r="H104" i="3"/>
  <c r="G104" i="3"/>
  <c r="BJ103" i="3"/>
  <c r="H103" i="3"/>
  <c r="F103" i="3" s="1"/>
  <c r="G103" i="3"/>
  <c r="E103" i="3"/>
  <c r="BJ102" i="3"/>
  <c r="G102" i="3"/>
  <c r="BJ101" i="3"/>
  <c r="L101" i="3"/>
  <c r="K101" i="3"/>
  <c r="J101" i="3"/>
  <c r="F101" i="3" s="1"/>
  <c r="I101" i="3"/>
  <c r="H101" i="3"/>
  <c r="G101" i="3"/>
  <c r="E101" i="3"/>
  <c r="BJ100" i="3"/>
  <c r="L100" i="3"/>
  <c r="K100" i="3"/>
  <c r="J100" i="3"/>
  <c r="I100" i="3"/>
  <c r="G100" i="3"/>
  <c r="E99" i="3"/>
  <c r="E98" i="3"/>
  <c r="F96" i="3"/>
  <c r="E96" i="3"/>
  <c r="BJ95" i="3"/>
  <c r="H95" i="3"/>
  <c r="G95" i="3"/>
  <c r="F95" i="3"/>
  <c r="E95" i="3"/>
  <c r="BJ94" i="3"/>
  <c r="H94" i="3"/>
  <c r="H93" i="3" s="1"/>
  <c r="F93" i="3" s="1"/>
  <c r="G94" i="3"/>
  <c r="E94" i="3"/>
  <c r="L93" i="3"/>
  <c r="J93" i="3"/>
  <c r="E93" i="3"/>
  <c r="BJ92" i="3"/>
  <c r="G92" i="3"/>
  <c r="BJ91" i="3"/>
  <c r="H91" i="3"/>
  <c r="G91" i="3"/>
  <c r="E91" i="3" s="1"/>
  <c r="F91" i="3"/>
  <c r="BJ90" i="3"/>
  <c r="G90" i="3"/>
  <c r="H90" i="3" s="1"/>
  <c r="F90" i="3" s="1"/>
  <c r="E90" i="3"/>
  <c r="BJ89" i="3"/>
  <c r="G89" i="3"/>
  <c r="E89" i="3" s="1"/>
  <c r="BJ88" i="3"/>
  <c r="G88" i="3"/>
  <c r="H88" i="3" s="1"/>
  <c r="F88" i="3" s="1"/>
  <c r="E88" i="3"/>
  <c r="BJ87" i="3"/>
  <c r="H87" i="3"/>
  <c r="F87" i="3" s="1"/>
  <c r="G87" i="3"/>
  <c r="E87" i="3" s="1"/>
  <c r="BJ86" i="3"/>
  <c r="G86" i="3"/>
  <c r="L85" i="3"/>
  <c r="J85" i="3"/>
  <c r="E85" i="3"/>
  <c r="BJ84" i="3"/>
  <c r="L84" i="3"/>
  <c r="K84" i="3"/>
  <c r="I84" i="3"/>
  <c r="G84" i="3"/>
  <c r="H84" i="3" s="1"/>
  <c r="BJ83" i="3"/>
  <c r="L83" i="3"/>
  <c r="F83" i="3" s="1"/>
  <c r="K83" i="3"/>
  <c r="I83" i="3"/>
  <c r="J83" i="3" s="1"/>
  <c r="H83" i="3"/>
  <c r="G83" i="3"/>
  <c r="E83" i="3" s="1"/>
  <c r="BJ82" i="3"/>
  <c r="K82" i="3"/>
  <c r="L82" i="3" s="1"/>
  <c r="I82" i="3"/>
  <c r="H82" i="3"/>
  <c r="G82" i="3"/>
  <c r="BJ81" i="3"/>
  <c r="L81" i="3"/>
  <c r="K81" i="3"/>
  <c r="J81" i="3"/>
  <c r="I81" i="3"/>
  <c r="G81" i="3"/>
  <c r="H81" i="3" s="1"/>
  <c r="F81" i="3" s="1"/>
  <c r="E81" i="3"/>
  <c r="BJ80" i="3"/>
  <c r="L80" i="3"/>
  <c r="K80" i="3"/>
  <c r="I80" i="3"/>
  <c r="G80" i="3"/>
  <c r="H80" i="3" s="1"/>
  <c r="BJ79" i="3"/>
  <c r="L79" i="3"/>
  <c r="F79" i="3" s="1"/>
  <c r="K79" i="3"/>
  <c r="I79" i="3"/>
  <c r="J79" i="3" s="1"/>
  <c r="H79" i="3"/>
  <c r="G79" i="3"/>
  <c r="E79" i="3" s="1"/>
  <c r="E78" i="3"/>
  <c r="E77" i="3"/>
  <c r="BJ76" i="3"/>
  <c r="G76" i="3"/>
  <c r="H76" i="3" s="1"/>
  <c r="F76" i="3" s="1"/>
  <c r="E76" i="3"/>
  <c r="BJ75" i="3"/>
  <c r="H75" i="3"/>
  <c r="F75" i="3" s="1"/>
  <c r="G75" i="3"/>
  <c r="E75" i="3" s="1"/>
  <c r="BJ74" i="3"/>
  <c r="G74" i="3"/>
  <c r="BJ73" i="3"/>
  <c r="G73" i="3"/>
  <c r="H73" i="3" s="1"/>
  <c r="F73" i="3"/>
  <c r="E73" i="3"/>
  <c r="BJ72" i="3"/>
  <c r="H72" i="3"/>
  <c r="F72" i="3" s="1"/>
  <c r="G72" i="3"/>
  <c r="E72" i="3"/>
  <c r="BJ71" i="3"/>
  <c r="H71" i="3"/>
  <c r="G71" i="3"/>
  <c r="F71" i="3"/>
  <c r="E71" i="3"/>
  <c r="L70" i="3"/>
  <c r="J70" i="3"/>
  <c r="E70" i="3"/>
  <c r="BJ69" i="3"/>
  <c r="L69" i="3"/>
  <c r="K69" i="3"/>
  <c r="J69" i="3"/>
  <c r="I69" i="3"/>
  <c r="G69" i="3"/>
  <c r="H69" i="3" s="1"/>
  <c r="F69" i="3" s="1"/>
  <c r="E69" i="3"/>
  <c r="BJ68" i="3"/>
  <c r="L68" i="3"/>
  <c r="K68" i="3"/>
  <c r="I68" i="3"/>
  <c r="G68" i="3"/>
  <c r="H68" i="3" s="1"/>
  <c r="BJ67" i="3"/>
  <c r="L67" i="3"/>
  <c r="K67" i="3"/>
  <c r="I67" i="3"/>
  <c r="J67" i="3" s="1"/>
  <c r="H67" i="3"/>
  <c r="G67" i="3"/>
  <c r="F67" i="3"/>
  <c r="BJ66" i="3"/>
  <c r="K66" i="3"/>
  <c r="L66" i="3" s="1"/>
  <c r="I66" i="3"/>
  <c r="H66" i="3"/>
  <c r="G66" i="3"/>
  <c r="BJ65" i="3"/>
  <c r="L65" i="3"/>
  <c r="K65" i="3"/>
  <c r="J65" i="3"/>
  <c r="I65" i="3"/>
  <c r="G65" i="3"/>
  <c r="H65" i="3" s="1"/>
  <c r="F65" i="3" s="1"/>
  <c r="E65" i="3"/>
  <c r="BJ64" i="3"/>
  <c r="L64" i="3"/>
  <c r="K64" i="3"/>
  <c r="I64" i="3"/>
  <c r="J64" i="3" s="1"/>
  <c r="G64" i="3"/>
  <c r="H64" i="3" s="1"/>
  <c r="E63" i="3"/>
  <c r="BJ62" i="3"/>
  <c r="K62" i="3"/>
  <c r="L62" i="3" s="1"/>
  <c r="I62" i="3"/>
  <c r="J62" i="3" s="1"/>
  <c r="G62" i="3"/>
  <c r="H62" i="3" s="1"/>
  <c r="E62" i="3"/>
  <c r="BJ61" i="3"/>
  <c r="K61" i="3"/>
  <c r="L61" i="3" s="1"/>
  <c r="J61" i="3"/>
  <c r="I61" i="3"/>
  <c r="E61" i="3" s="1"/>
  <c r="H61" i="3"/>
  <c r="G61" i="3"/>
  <c r="BJ60" i="3"/>
  <c r="K60" i="3"/>
  <c r="L60" i="3" s="1"/>
  <c r="J60" i="3"/>
  <c r="I60" i="3"/>
  <c r="H60" i="3"/>
  <c r="F60" i="3" s="1"/>
  <c r="G60" i="3"/>
  <c r="E60" i="3"/>
  <c r="BJ59" i="3"/>
  <c r="L59" i="3"/>
  <c r="K59" i="3"/>
  <c r="I59" i="3"/>
  <c r="J59" i="3" s="1"/>
  <c r="H59" i="3"/>
  <c r="F59" i="3" s="1"/>
  <c r="G59" i="3"/>
  <c r="E59" i="3"/>
  <c r="BJ58" i="3"/>
  <c r="K58" i="3"/>
  <c r="L58" i="3" s="1"/>
  <c r="L57" i="3" s="1"/>
  <c r="I58" i="3"/>
  <c r="J58" i="3" s="1"/>
  <c r="G58" i="3"/>
  <c r="H58" i="3" s="1"/>
  <c r="H57" i="3"/>
  <c r="E57" i="3"/>
  <c r="L56" i="3"/>
  <c r="E56" i="3"/>
  <c r="BJ55" i="3"/>
  <c r="L55" i="3"/>
  <c r="F55" i="3" s="1"/>
  <c r="K55" i="3"/>
  <c r="I55" i="3"/>
  <c r="J55" i="3" s="1"/>
  <c r="H55" i="3"/>
  <c r="G55" i="3"/>
  <c r="E55" i="3" s="1"/>
  <c r="BJ54" i="3"/>
  <c r="K54" i="3"/>
  <c r="L54" i="3" s="1"/>
  <c r="I54" i="3"/>
  <c r="H54" i="3"/>
  <c r="G54" i="3"/>
  <c r="BJ53" i="3"/>
  <c r="L53" i="3"/>
  <c r="K53" i="3"/>
  <c r="J53" i="3"/>
  <c r="I53" i="3"/>
  <c r="G53" i="3"/>
  <c r="H53" i="3" s="1"/>
  <c r="F53" i="3" s="1"/>
  <c r="E53" i="3"/>
  <c r="E52" i="3"/>
  <c r="F50" i="3"/>
  <c r="E50" i="3"/>
  <c r="BJ49" i="3"/>
  <c r="BJ48" i="3"/>
  <c r="BJ47" i="3"/>
  <c r="BJ46" i="3"/>
  <c r="F44" i="3"/>
  <c r="E44" i="3"/>
  <c r="BJ43" i="3"/>
  <c r="L43" i="3"/>
  <c r="K43" i="3"/>
  <c r="I43" i="3"/>
  <c r="J43" i="3" s="1"/>
  <c r="H43" i="3"/>
  <c r="G43" i="3"/>
  <c r="E43" i="3"/>
  <c r="BJ42" i="3"/>
  <c r="BJ41" i="3"/>
  <c r="BJ40" i="3"/>
  <c r="F38" i="3"/>
  <c r="E38" i="3"/>
  <c r="E37" i="3"/>
  <c r="E36" i="3"/>
  <c r="E35" i="3"/>
  <c r="E34" i="3"/>
  <c r="BJ33" i="3"/>
  <c r="I33" i="3"/>
  <c r="J33" i="3" s="1"/>
  <c r="H33" i="3"/>
  <c r="G33" i="3"/>
  <c r="L32" i="3"/>
  <c r="K32" i="3"/>
  <c r="F32" i="3"/>
  <c r="K31" i="3"/>
  <c r="L31" i="3" s="1"/>
  <c r="F31" i="3" s="1"/>
  <c r="K30" i="3"/>
  <c r="L30" i="3" s="1"/>
  <c r="F33" i="1" s="1"/>
  <c r="G32" i="2" s="1"/>
  <c r="E29" i="3"/>
  <c r="E28" i="3"/>
  <c r="BJ27" i="3"/>
  <c r="K27" i="3"/>
  <c r="L27" i="3" s="1"/>
  <c r="J27" i="3"/>
  <c r="I27" i="3"/>
  <c r="BJ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BJ10" i="3"/>
  <c r="K10" i="3"/>
  <c r="L10" i="3" s="1"/>
  <c r="J8" i="2" s="1"/>
  <c r="J10" i="3"/>
  <c r="I10" i="3"/>
  <c r="H10" i="3"/>
  <c r="G10" i="3"/>
  <c r="BJ9" i="3"/>
  <c r="BJ8" i="3"/>
  <c r="BJ7" i="3"/>
  <c r="E6" i="3"/>
  <c r="E5" i="3"/>
  <c r="I10" i="2"/>
  <c r="H10" i="2"/>
  <c r="J9" i="2"/>
  <c r="H9" i="2"/>
  <c r="I8" i="2"/>
  <c r="F37" i="1"/>
  <c r="G35" i="2" s="1"/>
  <c r="F35" i="1"/>
  <c r="G34" i="2" s="1"/>
  <c r="I32" i="1"/>
  <c r="L27" i="1"/>
  <c r="J80" i="3" l="1"/>
  <c r="J78" i="3" s="1"/>
  <c r="E80" i="3"/>
  <c r="L63" i="3"/>
  <c r="J68" i="3"/>
  <c r="E68" i="3"/>
  <c r="J82" i="3"/>
  <c r="E82" i="3"/>
  <c r="H92" i="3"/>
  <c r="F92" i="3" s="1"/>
  <c r="E92" i="3"/>
  <c r="H255" i="3"/>
  <c r="F255" i="3" s="1"/>
  <c r="E255" i="3"/>
  <c r="E58" i="3"/>
  <c r="J66" i="3"/>
  <c r="F66" i="3" s="1"/>
  <c r="E66" i="3"/>
  <c r="L98" i="3"/>
  <c r="F127" i="3"/>
  <c r="H52" i="3"/>
  <c r="F58" i="3"/>
  <c r="F121" i="3"/>
  <c r="L235" i="3"/>
  <c r="L234" i="3"/>
  <c r="E10" i="3"/>
  <c r="J56" i="3"/>
  <c r="J57" i="3"/>
  <c r="F57" i="3" s="1"/>
  <c r="F62" i="3"/>
  <c r="H116" i="3"/>
  <c r="F116" i="3" s="1"/>
  <c r="E116" i="3"/>
  <c r="L124" i="3"/>
  <c r="F135" i="3"/>
  <c r="H166" i="3"/>
  <c r="F166" i="3" s="1"/>
  <c r="E166" i="3"/>
  <c r="F262" i="3"/>
  <c r="F34" i="1"/>
  <c r="G33" i="2" s="1"/>
  <c r="F10" i="3"/>
  <c r="H8" i="2"/>
  <c r="G8" i="2" s="1"/>
  <c r="E67" i="3"/>
  <c r="H110" i="3"/>
  <c r="F110" i="3" s="1"/>
  <c r="E110" i="3"/>
  <c r="E126" i="3"/>
  <c r="H210" i="3"/>
  <c r="F210" i="3" s="1"/>
  <c r="E210" i="3"/>
  <c r="H74" i="3"/>
  <c r="F74" i="3" s="1"/>
  <c r="E74" i="3"/>
  <c r="H160" i="3"/>
  <c r="F160" i="3" s="1"/>
  <c r="E160" i="3"/>
  <c r="L51" i="3"/>
  <c r="K46" i="3" s="1"/>
  <c r="L46" i="3" s="1"/>
  <c r="L52" i="3"/>
  <c r="H114" i="3"/>
  <c r="F114" i="3" s="1"/>
  <c r="E114" i="3"/>
  <c r="E128" i="3"/>
  <c r="F130" i="3"/>
  <c r="H180" i="3"/>
  <c r="F180" i="3" s="1"/>
  <c r="E180" i="3"/>
  <c r="H184" i="3"/>
  <c r="E184" i="3"/>
  <c r="L78" i="3"/>
  <c r="L77" i="3"/>
  <c r="H86" i="3"/>
  <c r="E86" i="3"/>
  <c r="J104" i="3"/>
  <c r="J98" i="3" s="1"/>
  <c r="E104" i="3"/>
  <c r="F126" i="3"/>
  <c r="F128" i="3"/>
  <c r="J145" i="3"/>
  <c r="F145" i="3" s="1"/>
  <c r="F146" i="3"/>
  <c r="AA98" i="3"/>
  <c r="H245" i="3"/>
  <c r="F245" i="3" s="1"/>
  <c r="E245" i="3"/>
  <c r="H122" i="3"/>
  <c r="F122" i="3" s="1"/>
  <c r="E122" i="3"/>
  <c r="F30" i="3"/>
  <c r="F61" i="3"/>
  <c r="F64" i="3"/>
  <c r="H63" i="3"/>
  <c r="F80" i="3"/>
  <c r="H78" i="3"/>
  <c r="H100" i="3"/>
  <c r="E100" i="3"/>
  <c r="J125" i="3"/>
  <c r="H215" i="3"/>
  <c r="H138" i="3"/>
  <c r="F138" i="3" s="1"/>
  <c r="E138" i="3"/>
  <c r="F43" i="3"/>
  <c r="J54" i="3"/>
  <c r="E54" i="3"/>
  <c r="F68" i="3"/>
  <c r="F82" i="3"/>
  <c r="J84" i="3"/>
  <c r="J77" i="3" s="1"/>
  <c r="E84" i="3"/>
  <c r="J99" i="3"/>
  <c r="H102" i="3"/>
  <c r="F102" i="3" s="1"/>
  <c r="E102" i="3"/>
  <c r="J112" i="3"/>
  <c r="J111" i="3" s="1"/>
  <c r="E112" i="3"/>
  <c r="H134" i="3"/>
  <c r="E134" i="3"/>
  <c r="F143" i="3"/>
  <c r="J131" i="3"/>
  <c r="J124" i="3" s="1"/>
  <c r="E136" i="3"/>
  <c r="E139" i="3"/>
  <c r="E146" i="3"/>
  <c r="E190" i="3"/>
  <c r="F201" i="3"/>
  <c r="H206" i="3"/>
  <c r="F206" i="3" s="1"/>
  <c r="F207" i="3"/>
  <c r="H263" i="3"/>
  <c r="E263" i="3"/>
  <c r="F279" i="3"/>
  <c r="H278" i="3"/>
  <c r="F278" i="3" s="1"/>
  <c r="AB234" i="3"/>
  <c r="L281" i="3"/>
  <c r="F288" i="3"/>
  <c r="H293" i="3"/>
  <c r="E293" i="3"/>
  <c r="J355" i="3"/>
  <c r="F94" i="3"/>
  <c r="F152" i="3"/>
  <c r="H151" i="3"/>
  <c r="F151" i="3" s="1"/>
  <c r="F171" i="3"/>
  <c r="F190" i="3"/>
  <c r="F205" i="3"/>
  <c r="H259" i="3"/>
  <c r="F259" i="3" s="1"/>
  <c r="E259" i="3"/>
  <c r="J292" i="3"/>
  <c r="AA290" i="3"/>
  <c r="J304" i="3"/>
  <c r="F349" i="3"/>
  <c r="H89" i="3"/>
  <c r="F89" i="3" s="1"/>
  <c r="AB98" i="3"/>
  <c r="H107" i="3"/>
  <c r="F107" i="3" s="1"/>
  <c r="H115" i="3"/>
  <c r="F115" i="3" s="1"/>
  <c r="F148" i="3"/>
  <c r="J161" i="3"/>
  <c r="E161" i="3"/>
  <c r="J200" i="3"/>
  <c r="E218" i="3"/>
  <c r="E237" i="3"/>
  <c r="L292" i="3"/>
  <c r="F298" i="3"/>
  <c r="F305" i="3"/>
  <c r="H304" i="3"/>
  <c r="J347" i="3"/>
  <c r="J348" i="3"/>
  <c r="F218" i="3"/>
  <c r="L224" i="3"/>
  <c r="L223" i="3"/>
  <c r="K49" i="3" s="1"/>
  <c r="L49" i="3" s="1"/>
  <c r="E285" i="3"/>
  <c r="F340" i="3"/>
  <c r="F370" i="3"/>
  <c r="F374" i="3"/>
  <c r="L383" i="3"/>
  <c r="K33" i="3" s="1"/>
  <c r="L384" i="3"/>
  <c r="L347" i="3"/>
  <c r="L348" i="3"/>
  <c r="F378" i="3"/>
  <c r="H377" i="3"/>
  <c r="AA97" i="3"/>
  <c r="J97" i="3" s="1"/>
  <c r="I47" i="3" s="1"/>
  <c r="J47" i="3" s="1"/>
  <c r="H188" i="3"/>
  <c r="F188" i="3" s="1"/>
  <c r="E188" i="3"/>
  <c r="H192" i="3"/>
  <c r="E192" i="3"/>
  <c r="L304" i="3"/>
  <c r="F337" i="3"/>
  <c r="H335" i="3"/>
  <c r="F335" i="3" s="1"/>
  <c r="J365" i="3"/>
  <c r="E64" i="3"/>
  <c r="AB97" i="3"/>
  <c r="L97" i="3" s="1"/>
  <c r="K47" i="3" s="1"/>
  <c r="L47" i="3" s="1"/>
  <c r="L156" i="3"/>
  <c r="J247" i="3"/>
  <c r="F264" i="3"/>
  <c r="E269" i="3"/>
  <c r="F294" i="3"/>
  <c r="F308" i="3"/>
  <c r="L364" i="3"/>
  <c r="K26" i="3" s="1"/>
  <c r="L26" i="3" s="1"/>
  <c r="F386" i="3"/>
  <c r="L99" i="3"/>
  <c r="H125" i="3"/>
  <c r="F125" i="3" s="1"/>
  <c r="E144" i="3"/>
  <c r="H144" i="3"/>
  <c r="F144" i="3" s="1"/>
  <c r="F169" i="3"/>
  <c r="J168" i="3"/>
  <c r="H176" i="3"/>
  <c r="F176" i="3" s="1"/>
  <c r="E176" i="3"/>
  <c r="F202" i="3"/>
  <c r="H204" i="3"/>
  <c r="F204" i="3" s="1"/>
  <c r="E204" i="3"/>
  <c r="F226" i="3"/>
  <c r="F269" i="3"/>
  <c r="H318" i="3"/>
  <c r="H317" i="3"/>
  <c r="F319" i="3"/>
  <c r="H141" i="3"/>
  <c r="F141" i="3" s="1"/>
  <c r="E141" i="3"/>
  <c r="E147" i="3"/>
  <c r="H159" i="3"/>
  <c r="F159" i="3" s="1"/>
  <c r="E159" i="3"/>
  <c r="L182" i="3"/>
  <c r="J199" i="3"/>
  <c r="H239" i="3"/>
  <c r="F239" i="3" s="1"/>
  <c r="E239" i="3"/>
  <c r="H260" i="3"/>
  <c r="F282" i="3"/>
  <c r="J317" i="3"/>
  <c r="J318" i="3"/>
  <c r="F149" i="3"/>
  <c r="F183" i="3"/>
  <c r="J260" i="3"/>
  <c r="J261" i="3"/>
  <c r="J291" i="3"/>
  <c r="F309" i="3"/>
  <c r="H325" i="3"/>
  <c r="F325" i="3" s="1"/>
  <c r="J364" i="3"/>
  <c r="I26" i="3" s="1"/>
  <c r="J26" i="3" s="1"/>
  <c r="AA291" i="3"/>
  <c r="J338" i="3"/>
  <c r="F355" i="3"/>
  <c r="F373" i="3"/>
  <c r="H372" i="3"/>
  <c r="F372" i="3" s="1"/>
  <c r="AA154" i="3"/>
  <c r="J155" i="3"/>
  <c r="F225" i="3"/>
  <c r="H267" i="3"/>
  <c r="F267" i="3" s="1"/>
  <c r="E267" i="3"/>
  <c r="H271" i="3"/>
  <c r="E271" i="3"/>
  <c r="F322" i="3"/>
  <c r="F359" i="3"/>
  <c r="J372" i="3"/>
  <c r="E309" i="3"/>
  <c r="E333" i="3"/>
  <c r="E341" i="3"/>
  <c r="F356" i="3"/>
  <c r="F360" i="3"/>
  <c r="H158" i="3"/>
  <c r="H174" i="3"/>
  <c r="F174" i="3" s="1"/>
  <c r="H178" i="3"/>
  <c r="L186" i="3"/>
  <c r="L181" i="3" s="1"/>
  <c r="H194" i="3"/>
  <c r="F194" i="3" s="1"/>
  <c r="L202" i="3"/>
  <c r="L200" i="3" s="1"/>
  <c r="H214" i="3"/>
  <c r="J216" i="3"/>
  <c r="H223" i="3"/>
  <c r="J228" i="3"/>
  <c r="H237" i="3"/>
  <c r="H253" i="3"/>
  <c r="F253" i="3" s="1"/>
  <c r="H257" i="3"/>
  <c r="L265" i="3"/>
  <c r="L260" i="3" s="1"/>
  <c r="H273" i="3"/>
  <c r="F273" i="3" s="1"/>
  <c r="H285" i="3"/>
  <c r="F285" i="3" s="1"/>
  <c r="H299" i="3"/>
  <c r="F299" i="3" s="1"/>
  <c r="L307" i="3"/>
  <c r="AB290" i="3" s="1"/>
  <c r="L318" i="3"/>
  <c r="L339" i="3"/>
  <c r="F339" i="3" s="1"/>
  <c r="H351" i="3"/>
  <c r="F351" i="3" s="1"/>
  <c r="H367" i="3"/>
  <c r="F367" i="3" s="1"/>
  <c r="L371" i="3"/>
  <c r="F371" i="3" s="1"/>
  <c r="H384" i="3"/>
  <c r="F384" i="3" s="1"/>
  <c r="E311" i="3"/>
  <c r="E319" i="3"/>
  <c r="E323" i="3"/>
  <c r="F326" i="3"/>
  <c r="E331" i="3"/>
  <c r="F366" i="3"/>
  <c r="E375" i="3"/>
  <c r="E379" i="3"/>
  <c r="E175" i="3"/>
  <c r="E203" i="3"/>
  <c r="J234" i="3"/>
  <c r="E254" i="3"/>
  <c r="E262" i="3"/>
  <c r="E266" i="3"/>
  <c r="E308" i="3"/>
  <c r="H338" i="3"/>
  <c r="E340" i="3"/>
  <c r="E385" i="3"/>
  <c r="E169" i="3"/>
  <c r="E217" i="3"/>
  <c r="E248" i="3"/>
  <c r="E272" i="3"/>
  <c r="E288" i="3"/>
  <c r="E322" i="3"/>
  <c r="E334" i="3"/>
  <c r="E374" i="3"/>
  <c r="E378" i="3"/>
  <c r="F385" i="3"/>
  <c r="H224" i="3"/>
  <c r="F224" i="3" s="1"/>
  <c r="H313" i="3"/>
  <c r="F313" i="3" s="1"/>
  <c r="H353" i="3"/>
  <c r="F353" i="3" s="1"/>
  <c r="E167" i="3"/>
  <c r="E171" i="3"/>
  <c r="E179" i="3"/>
  <c r="E191" i="3"/>
  <c r="E211" i="3"/>
  <c r="E238" i="3"/>
  <c r="E246" i="3"/>
  <c r="E250" i="3"/>
  <c r="E258" i="3"/>
  <c r="E270" i="3"/>
  <c r="E282" i="3"/>
  <c r="E286" i="3"/>
  <c r="E332" i="3"/>
  <c r="E352" i="3"/>
  <c r="E368" i="3"/>
  <c r="E275" i="3"/>
  <c r="E301" i="3"/>
  <c r="E321" i="3"/>
  <c r="E337" i="3"/>
  <c r="E345" i="3"/>
  <c r="E357" i="3"/>
  <c r="E373" i="3"/>
  <c r="AA233" i="3"/>
  <c r="J233" i="3" s="1"/>
  <c r="I230" i="3" s="1"/>
  <c r="J230" i="3" s="1"/>
  <c r="H199" i="3" l="1"/>
  <c r="L365" i="3"/>
  <c r="J290" i="3"/>
  <c r="I231" i="3" s="1"/>
  <c r="J231" i="3" s="1"/>
  <c r="F263" i="3"/>
  <c r="H261" i="3"/>
  <c r="H142" i="3"/>
  <c r="F142" i="3" s="1"/>
  <c r="H56" i="3"/>
  <c r="F56" i="3" s="1"/>
  <c r="L33" i="3"/>
  <c r="F33" i="3" s="1"/>
  <c r="E33" i="3"/>
  <c r="I42" i="3"/>
  <c r="J42" i="3" s="1"/>
  <c r="I9" i="3"/>
  <c r="J9" i="3" s="1"/>
  <c r="I7" i="2" s="1"/>
  <c r="F161" i="3"/>
  <c r="J156" i="3"/>
  <c r="F383" i="3"/>
  <c r="AB233" i="3"/>
  <c r="L233" i="3" s="1"/>
  <c r="K230" i="3" s="1"/>
  <c r="L230" i="3" s="1"/>
  <c r="J51" i="3"/>
  <c r="I46" i="3" s="1"/>
  <c r="J46" i="3" s="1"/>
  <c r="J52" i="3"/>
  <c r="F54" i="3"/>
  <c r="F52" i="3"/>
  <c r="F131" i="3"/>
  <c r="F304" i="3"/>
  <c r="F265" i="3"/>
  <c r="H132" i="3"/>
  <c r="F132" i="3" s="1"/>
  <c r="F134" i="3"/>
  <c r="L261" i="3"/>
  <c r="H51" i="3"/>
  <c r="H364" i="3"/>
  <c r="F178" i="3"/>
  <c r="H177" i="3"/>
  <c r="F177" i="3" s="1"/>
  <c r="Z234" i="3"/>
  <c r="F271" i="3"/>
  <c r="Z155" i="3"/>
  <c r="F192" i="3"/>
  <c r="H124" i="3"/>
  <c r="F124" i="3" s="1"/>
  <c r="F307" i="3"/>
  <c r="L199" i="3"/>
  <c r="F257" i="3"/>
  <c r="H256" i="3"/>
  <c r="F256" i="3" s="1"/>
  <c r="F260" i="3"/>
  <c r="H365" i="3"/>
  <c r="F365" i="3" s="1"/>
  <c r="AB155" i="3"/>
  <c r="Z154" i="3"/>
  <c r="H154" i="3" s="1"/>
  <c r="F158" i="3"/>
  <c r="H155" i="3"/>
  <c r="F155" i="3" s="1"/>
  <c r="F317" i="3"/>
  <c r="L291" i="3"/>
  <c r="H292" i="3"/>
  <c r="F292" i="3" s="1"/>
  <c r="Z290" i="3"/>
  <c r="H290" i="3" s="1"/>
  <c r="F293" i="3"/>
  <c r="H291" i="3"/>
  <c r="F291" i="3" s="1"/>
  <c r="F104" i="3"/>
  <c r="H111" i="3"/>
  <c r="F111" i="3" s="1"/>
  <c r="F237" i="3"/>
  <c r="H234" i="3"/>
  <c r="F234" i="3" s="1"/>
  <c r="F318" i="3"/>
  <c r="F186" i="3"/>
  <c r="AB154" i="3"/>
  <c r="F86" i="3"/>
  <c r="H85" i="3"/>
  <c r="F85" i="3" s="1"/>
  <c r="F84" i="3"/>
  <c r="F228" i="3"/>
  <c r="J227" i="3"/>
  <c r="F227" i="3" s="1"/>
  <c r="H181" i="3"/>
  <c r="F181" i="3" s="1"/>
  <c r="Z233" i="3"/>
  <c r="H233" i="3" s="1"/>
  <c r="H281" i="3"/>
  <c r="F281" i="3" s="1"/>
  <c r="H247" i="3"/>
  <c r="F247" i="3" s="1"/>
  <c r="H189" i="3"/>
  <c r="F189" i="3" s="1"/>
  <c r="H70" i="3"/>
  <c r="F70" i="3" s="1"/>
  <c r="Z98" i="3"/>
  <c r="G49" i="3"/>
  <c r="H235" i="3"/>
  <c r="F235" i="3" s="1"/>
  <c r="F377" i="3"/>
  <c r="G27" i="3"/>
  <c r="H348" i="3"/>
  <c r="F348" i="3" s="1"/>
  <c r="J229" i="3"/>
  <c r="AB291" i="3"/>
  <c r="L290" i="3" s="1"/>
  <c r="K231" i="3" s="1"/>
  <c r="L231" i="3" s="1"/>
  <c r="L338" i="3"/>
  <c r="F338" i="3" s="1"/>
  <c r="F216" i="3"/>
  <c r="J215" i="3"/>
  <c r="F215" i="3" s="1"/>
  <c r="H268" i="3"/>
  <c r="F268" i="3" s="1"/>
  <c r="F100" i="3"/>
  <c r="H98" i="3"/>
  <c r="F98" i="3" s="1"/>
  <c r="H99" i="3"/>
  <c r="F99" i="3" s="1"/>
  <c r="Z97" i="3"/>
  <c r="H97" i="3" s="1"/>
  <c r="H120" i="3"/>
  <c r="F120" i="3" s="1"/>
  <c r="F214" i="3"/>
  <c r="H212" i="3"/>
  <c r="F212" i="3" s="1"/>
  <c r="H347" i="3"/>
  <c r="AA155" i="3"/>
  <c r="J154" i="3" s="1"/>
  <c r="I48" i="3" s="1"/>
  <c r="J48" i="3" s="1"/>
  <c r="H77" i="3"/>
  <c r="F77" i="3" s="1"/>
  <c r="F184" i="3"/>
  <c r="H182" i="3"/>
  <c r="F182" i="3" s="1"/>
  <c r="H200" i="3"/>
  <c r="F200" i="3" s="1"/>
  <c r="H156" i="3"/>
  <c r="F156" i="3" s="1"/>
  <c r="J223" i="3"/>
  <c r="I49" i="3" s="1"/>
  <c r="J49" i="3" s="1"/>
  <c r="K9" i="3"/>
  <c r="L9" i="3" s="1"/>
  <c r="J7" i="2" s="1"/>
  <c r="K42" i="3"/>
  <c r="L42" i="3" s="1"/>
  <c r="H168" i="3"/>
  <c r="F168" i="3" s="1"/>
  <c r="F112" i="3"/>
  <c r="F78" i="3"/>
  <c r="J63" i="3"/>
  <c r="F63" i="3" s="1"/>
  <c r="G48" i="3" l="1"/>
  <c r="G230" i="3"/>
  <c r="F233" i="3"/>
  <c r="G47" i="3"/>
  <c r="F97" i="3"/>
  <c r="E27" i="3"/>
  <c r="H27" i="3"/>
  <c r="F27" i="3" s="1"/>
  <c r="F28" i="1" s="1"/>
  <c r="G28" i="2" s="1"/>
  <c r="F364" i="3"/>
  <c r="G26" i="3"/>
  <c r="J45" i="3"/>
  <c r="F261" i="3"/>
  <c r="F51" i="3"/>
  <c r="G46" i="3"/>
  <c r="L229" i="3"/>
  <c r="I41" i="3"/>
  <c r="J41" i="3" s="1"/>
  <c r="I8" i="3"/>
  <c r="J8" i="3" s="1"/>
  <c r="I6" i="2" s="1"/>
  <c r="E49" i="3"/>
  <c r="H49" i="3"/>
  <c r="F49" i="3" s="1"/>
  <c r="G231" i="3"/>
  <c r="F290" i="3"/>
  <c r="F347" i="3"/>
  <c r="G42" i="3"/>
  <c r="G9" i="3"/>
  <c r="F223" i="3"/>
  <c r="F199" i="3"/>
  <c r="L154" i="3"/>
  <c r="K48" i="3" s="1"/>
  <c r="L48" i="3" s="1"/>
  <c r="L45" i="3" s="1"/>
  <c r="I7" i="3" l="1"/>
  <c r="J7" i="3" s="1"/>
  <c r="I40" i="3"/>
  <c r="J40" i="3" s="1"/>
  <c r="J39" i="3" s="1"/>
  <c r="H47" i="3"/>
  <c r="F47" i="3" s="1"/>
  <c r="E47" i="3"/>
  <c r="H42" i="3"/>
  <c r="F42" i="3" s="1"/>
  <c r="E42" i="3"/>
  <c r="H231" i="3"/>
  <c r="F231" i="3" s="1"/>
  <c r="E231" i="3"/>
  <c r="K8" i="3"/>
  <c r="L8" i="3" s="1"/>
  <c r="J6" i="2" s="1"/>
  <c r="K41" i="3"/>
  <c r="L41" i="3" s="1"/>
  <c r="E230" i="3"/>
  <c r="H230" i="3"/>
  <c r="E9" i="3"/>
  <c r="H9" i="3"/>
  <c r="H26" i="3"/>
  <c r="F26" i="3" s="1"/>
  <c r="F27" i="1" s="1"/>
  <c r="G27" i="2" s="1"/>
  <c r="E26" i="3"/>
  <c r="H46" i="3"/>
  <c r="E46" i="3"/>
  <c r="H48" i="3"/>
  <c r="F48" i="3" s="1"/>
  <c r="E48" i="3"/>
  <c r="K7" i="3"/>
  <c r="L7" i="3" s="1"/>
  <c r="K40" i="3"/>
  <c r="L40" i="3" s="1"/>
  <c r="L39" i="3" s="1"/>
  <c r="F154" i="3"/>
  <c r="F46" i="3" l="1"/>
  <c r="H45" i="3"/>
  <c r="F9" i="3"/>
  <c r="H7" i="2"/>
  <c r="G7" i="2" s="1"/>
  <c r="L6" i="3"/>
  <c r="J11" i="2" s="1"/>
  <c r="F11" i="1" s="1"/>
  <c r="J5" i="2"/>
  <c r="F230" i="3"/>
  <c r="H229" i="3"/>
  <c r="J6" i="3"/>
  <c r="I5" i="2"/>
  <c r="F229" i="3" l="1"/>
  <c r="G41" i="3"/>
  <c r="G8" i="3"/>
  <c r="G13" i="2"/>
  <c r="J11" i="3"/>
  <c r="AB23" i="3" s="1"/>
  <c r="AD23" i="3" s="1"/>
  <c r="I11" i="2"/>
  <c r="L13" i="3"/>
  <c r="F13" i="3" s="1"/>
  <c r="L15" i="3"/>
  <c r="F15" i="3" s="1"/>
  <c r="AB10" i="3"/>
  <c r="AD10" i="3" s="1"/>
  <c r="L17" i="3"/>
  <c r="F17" i="3" s="1"/>
  <c r="AB14" i="3"/>
  <c r="AD14" i="3" s="1"/>
  <c r="L14" i="3"/>
  <c r="AB13" i="3"/>
  <c r="AD13" i="3" s="1"/>
  <c r="L12" i="3"/>
  <c r="AB16" i="3"/>
  <c r="AD16" i="3" s="1"/>
  <c r="G7" i="3"/>
  <c r="F45" i="3"/>
  <c r="G40" i="3"/>
  <c r="F12" i="3" l="1"/>
  <c r="L25" i="3"/>
  <c r="F25" i="3" s="1"/>
  <c r="L24" i="3"/>
  <c r="F24" i="3" s="1"/>
  <c r="AB11" i="3"/>
  <c r="AD11" i="3" s="1"/>
  <c r="E40" i="3"/>
  <c r="H40" i="3"/>
  <c r="F8" i="1"/>
  <c r="H8" i="3"/>
  <c r="E8" i="3"/>
  <c r="L16" i="3"/>
  <c r="F16" i="3" s="1"/>
  <c r="F14" i="3"/>
  <c r="AB15" i="3"/>
  <c r="AD15" i="3" s="1"/>
  <c r="E7" i="3"/>
  <c r="H7" i="3"/>
  <c r="E41" i="3"/>
  <c r="H41" i="3"/>
  <c r="F41" i="3" s="1"/>
  <c r="F11" i="3"/>
  <c r="J4" i="3"/>
  <c r="I4" i="2" s="1"/>
  <c r="J5" i="3"/>
  <c r="AB12" i="3"/>
  <c r="AD12" i="3" s="1"/>
  <c r="AB24" i="3"/>
  <c r="AD24" i="3" s="1"/>
  <c r="F9" i="1" l="1"/>
  <c r="G12" i="2" s="1"/>
  <c r="F17" i="1"/>
  <c r="G19" i="2" s="1"/>
  <c r="F15" i="1"/>
  <c r="G17" i="2" s="1"/>
  <c r="F26" i="1"/>
  <c r="G26" i="2" s="1"/>
  <c r="F10" i="1"/>
  <c r="F14" i="1"/>
  <c r="F25" i="1"/>
  <c r="G25" i="2" s="1"/>
  <c r="H6" i="2"/>
  <c r="G6" i="2" s="1"/>
  <c r="F8" i="3"/>
  <c r="H5" i="3"/>
  <c r="H4" i="3"/>
  <c r="H5" i="2"/>
  <c r="G5" i="2" s="1"/>
  <c r="F7" i="3"/>
  <c r="H6" i="3"/>
  <c r="F40" i="3"/>
  <c r="H39" i="3"/>
  <c r="F39" i="3" s="1"/>
  <c r="AB33" i="3"/>
  <c r="AD33" i="3" s="1"/>
  <c r="J34" i="3"/>
  <c r="J36" i="3" s="1"/>
  <c r="H4" i="2" l="1"/>
  <c r="F16" i="1"/>
  <c r="G18" i="2" s="1"/>
  <c r="G16" i="2"/>
  <c r="F12" i="1"/>
  <c r="F13" i="1"/>
  <c r="G15" i="2" s="1"/>
  <c r="H34" i="3"/>
  <c r="L23" i="3"/>
  <c r="F23" i="3" s="1"/>
  <c r="AB22" i="3"/>
  <c r="AD22" i="3" s="1"/>
  <c r="L22" i="3"/>
  <c r="F22" i="3" s="1"/>
  <c r="AB19" i="3"/>
  <c r="AD19" i="3" s="1"/>
  <c r="AB17" i="3"/>
  <c r="AD17" i="3" s="1"/>
  <c r="F6" i="3"/>
  <c r="AB21" i="3"/>
  <c r="AD21" i="3" s="1"/>
  <c r="L21" i="3"/>
  <c r="F21" i="3" s="1"/>
  <c r="L20" i="3"/>
  <c r="F20" i="3" s="1"/>
  <c r="H11" i="2"/>
  <c r="L18" i="3"/>
  <c r="L19" i="3"/>
  <c r="F19" i="3" s="1"/>
  <c r="AB18" i="3"/>
  <c r="AD18" i="3" s="1"/>
  <c r="AF18" i="3"/>
  <c r="AH18" i="3" s="1"/>
  <c r="AB37" i="3"/>
  <c r="AD37" i="3" s="1"/>
  <c r="J37" i="3"/>
  <c r="F4" i="1" l="1"/>
  <c r="F7" i="1" s="1"/>
  <c r="G11" i="2"/>
  <c r="F18" i="3"/>
  <c r="L5" i="3"/>
  <c r="G14" i="2"/>
  <c r="H36" i="3"/>
  <c r="AB35" i="3"/>
  <c r="AD35" i="3" s="1"/>
  <c r="H37" i="3" l="1"/>
  <c r="AB36" i="3"/>
  <c r="AD36" i="3" s="1"/>
  <c r="AB27" i="3"/>
  <c r="AD27" i="3" s="1"/>
  <c r="F5" i="3"/>
  <c r="L28" i="3"/>
  <c r="F23" i="1"/>
  <c r="G23" i="2" s="1"/>
  <c r="F19" i="1"/>
  <c r="G21" i="2" s="1"/>
  <c r="F24" i="1"/>
  <c r="G24" i="2" s="1"/>
  <c r="F21" i="1"/>
  <c r="G22" i="2" s="1"/>
  <c r="F18" i="1"/>
  <c r="AB28" i="3" l="1"/>
  <c r="AD28" i="3" s="1"/>
  <c r="L29" i="3"/>
  <c r="F29" i="3" s="1"/>
  <c r="AF28" i="3"/>
  <c r="AH28" i="3" s="1"/>
  <c r="F28" i="3"/>
  <c r="G20" i="2"/>
  <c r="F29" i="1"/>
  <c r="F30" i="1" l="1"/>
  <c r="L34" i="3"/>
  <c r="L35" i="3" l="1"/>
  <c r="AB34" i="3"/>
  <c r="AD34" i="3" s="1"/>
  <c r="F34" i="3"/>
  <c r="G29" i="2"/>
  <c r="F31" i="1"/>
  <c r="G30" i="2" l="1"/>
  <c r="F32" i="1"/>
  <c r="F35" i="3"/>
  <c r="L4" i="3"/>
  <c r="L36" i="3"/>
  <c r="J4" i="2" l="1"/>
  <c r="G4" i="2" s="1"/>
  <c r="F4" i="3"/>
  <c r="J32" i="1"/>
  <c r="G31" i="2"/>
  <c r="L37" i="3"/>
  <c r="F37" i="3" s="1"/>
  <c r="AB38" i="3"/>
  <c r="AD38" i="3" s="1"/>
  <c r="F36" i="3"/>
  <c r="F38" i="1"/>
  <c r="L58" i="1" l="1"/>
  <c r="F39" i="1" s="1"/>
  <c r="G37" i="2" s="1"/>
  <c r="G36" i="2"/>
  <c r="F40" i="1" l="1"/>
  <c r="F41" i="1" l="1"/>
  <c r="G39" i="2" s="1"/>
  <c r="G38" i="2"/>
</calcChain>
</file>

<file path=xl/comments1.xml><?xml version="1.0" encoding="utf-8"?>
<comments xmlns="http://schemas.openxmlformats.org/spreadsheetml/2006/main">
  <authors>
    <author/>
  </authors>
  <commentList>
    <comment ref="H97" authorId="0" shapeId="0">
      <text>
        <r>
          <rPr>
            <sz val="8"/>
            <color indexed="8"/>
            <rFont val="Arial"/>
            <family val="2"/>
          </rPr>
          <t>Z열에 수식을 나누어 참조하였습니다.</t>
        </r>
      </text>
    </comment>
    <comment ref="J97" authorId="0" shapeId="0">
      <text>
        <r>
          <rPr>
            <sz val="8"/>
            <color indexed="8"/>
            <rFont val="Arial"/>
            <family val="2"/>
          </rPr>
          <t>AA열에 수식을 나누어 참조하였습니다.</t>
        </r>
      </text>
    </comment>
    <comment ref="L97" authorId="0" shapeId="0">
      <text>
        <r>
          <rPr>
            <sz val="8"/>
            <color indexed="8"/>
            <rFont val="Arial"/>
            <family val="2"/>
          </rPr>
          <t>AB열에 수식을 나누어 참조하였습니다.</t>
        </r>
      </text>
    </comment>
    <comment ref="H154" authorId="0" shapeId="0">
      <text>
        <r>
          <rPr>
            <sz val="8"/>
            <color indexed="8"/>
            <rFont val="Arial"/>
            <family val="2"/>
          </rPr>
          <t>Z열에 수식을 나누어 참조하였습니다.</t>
        </r>
      </text>
    </comment>
    <comment ref="J154" authorId="0" shapeId="0">
      <text>
        <r>
          <rPr>
            <sz val="8"/>
            <color indexed="8"/>
            <rFont val="Arial"/>
            <family val="2"/>
          </rPr>
          <t>AA열에 수식을 나누어 참조하였습니다.</t>
        </r>
      </text>
    </comment>
    <comment ref="L154" authorId="0" shapeId="0">
      <text>
        <r>
          <rPr>
            <sz val="8"/>
            <color indexed="8"/>
            <rFont val="Arial"/>
            <family val="2"/>
          </rPr>
          <t>AB열에 수식을 나누어 참조하였습니다.</t>
        </r>
      </text>
    </comment>
    <comment ref="H233" authorId="0" shapeId="0">
      <text>
        <r>
          <rPr>
            <sz val="8"/>
            <color indexed="8"/>
            <rFont val="Arial"/>
            <family val="2"/>
          </rPr>
          <t>Z열에 수식을 나누어 참조하였습니다.</t>
        </r>
      </text>
    </comment>
    <comment ref="J233" authorId="0" shapeId="0">
      <text>
        <r>
          <rPr>
            <sz val="8"/>
            <color indexed="8"/>
            <rFont val="Arial"/>
            <family val="2"/>
          </rPr>
          <t>AA열에 수식을 나누어 참조하였습니다.</t>
        </r>
      </text>
    </comment>
    <comment ref="L233" authorId="0" shapeId="0">
      <text>
        <r>
          <rPr>
            <sz val="8"/>
            <color indexed="8"/>
            <rFont val="Arial"/>
            <family val="2"/>
          </rPr>
          <t>AB열에 수식을 나누어 참조하였습니다.</t>
        </r>
      </text>
    </comment>
    <comment ref="H290" authorId="0" shapeId="0">
      <text>
        <r>
          <rPr>
            <sz val="8"/>
            <color indexed="8"/>
            <rFont val="Arial"/>
            <family val="2"/>
          </rPr>
          <t>Z열에 수식을 나누어 참조하였습니다.</t>
        </r>
      </text>
    </comment>
    <comment ref="J290" authorId="0" shapeId="0">
      <text>
        <r>
          <rPr>
            <sz val="8"/>
            <color indexed="8"/>
            <rFont val="Arial"/>
            <family val="2"/>
          </rPr>
          <t>AA열에 수식을 나누어 참조하였습니다.</t>
        </r>
      </text>
    </comment>
    <comment ref="L290" authorId="0" shapeId="0">
      <text>
        <r>
          <rPr>
            <sz val="8"/>
            <color indexed="8"/>
            <rFont val="Arial"/>
            <family val="2"/>
          </rPr>
          <t>AB열에 수식을 나누어 참조하였습니다.</t>
        </r>
      </text>
    </comment>
  </commentList>
</comments>
</file>

<file path=xl/sharedStrings.xml><?xml version="1.0" encoding="utf-8"?>
<sst xmlns="http://schemas.openxmlformats.org/spreadsheetml/2006/main" count="4356" uniqueCount="727">
  <si>
    <t>원가계산서</t>
  </si>
  <si>
    <t>비            목</t>
  </si>
  <si>
    <t>구분</t>
  </si>
  <si>
    <t>금    액</t>
  </si>
  <si>
    <t>요율</t>
  </si>
  <si>
    <t>산   출   근   거</t>
  </si>
  <si>
    <t/>
  </si>
  <si>
    <t>재</t>
  </si>
  <si>
    <t>직   접   재   료   비</t>
  </si>
  <si>
    <t>1</t>
  </si>
  <si>
    <t>료</t>
  </si>
  <si>
    <t>간   접   재   료   비</t>
  </si>
  <si>
    <t>2</t>
  </si>
  <si>
    <t>비</t>
  </si>
  <si>
    <t>작업설.부산물등(△)</t>
  </si>
  <si>
    <t>3</t>
  </si>
  <si>
    <t>소                  계</t>
  </si>
  <si>
    <t>A</t>
  </si>
  <si>
    <t>(1 + 2 + 3 )</t>
  </si>
  <si>
    <t xml:space="preserve"> </t>
  </si>
  <si>
    <t>노</t>
  </si>
  <si>
    <t>직   접   노   무   비</t>
  </si>
  <si>
    <t>4</t>
  </si>
  <si>
    <t>순</t>
  </si>
  <si>
    <t>무</t>
  </si>
  <si>
    <t>간   접   노   무   비</t>
  </si>
  <si>
    <t>5</t>
  </si>
  <si>
    <t>4 × 0.189</t>
    <phoneticPr fontId="8" type="noConversion"/>
  </si>
  <si>
    <t>B</t>
  </si>
  <si>
    <t>( 4 + 5 )</t>
  </si>
  <si>
    <t>공</t>
  </si>
  <si>
    <t>산     출     경    비</t>
  </si>
  <si>
    <t>6</t>
  </si>
  <si>
    <t>산   재   보   험   료</t>
  </si>
  <si>
    <t>7</t>
  </si>
  <si>
    <t>3.56%</t>
  </si>
  <si>
    <t>B × 0.0356</t>
  </si>
  <si>
    <t>사</t>
  </si>
  <si>
    <t>고   용   보   험   료</t>
  </si>
  <si>
    <t>8</t>
  </si>
  <si>
    <t>1.01%</t>
  </si>
  <si>
    <t>B × 0.0101</t>
    <phoneticPr fontId="8" type="noConversion"/>
  </si>
  <si>
    <t>경</t>
  </si>
  <si>
    <t>건   강   보   험   료</t>
  </si>
  <si>
    <t>9</t>
  </si>
  <si>
    <t>4 × 0.03595</t>
    <phoneticPr fontId="8" type="noConversion"/>
  </si>
  <si>
    <t>원</t>
  </si>
  <si>
    <t>연   금   보   험   료</t>
  </si>
  <si>
    <t>10</t>
  </si>
  <si>
    <t>4 × 0.0475</t>
    <phoneticPr fontId="10" type="noConversion"/>
  </si>
  <si>
    <t>노인장기요양  보 험 료</t>
  </si>
  <si>
    <t>11</t>
  </si>
  <si>
    <t>9 × 0.1314</t>
    <phoneticPr fontId="8" type="noConversion"/>
  </si>
  <si>
    <t>가</t>
  </si>
  <si>
    <t>퇴 직  공 제  부 금 비</t>
  </si>
  <si>
    <t>12</t>
  </si>
  <si>
    <t>2.3%</t>
  </si>
  <si>
    <t>4 × 0.023</t>
  </si>
  <si>
    <t>건설기계대여금지급보증서발급액</t>
  </si>
  <si>
    <t>13</t>
  </si>
  <si>
    <t>(A + 4 + 6) × 0.004</t>
    <phoneticPr fontId="10" type="noConversion"/>
  </si>
  <si>
    <t>산 업 안 전 보건관리비</t>
  </si>
  <si>
    <t>14</t>
  </si>
  <si>
    <t>(((A + 4) × 0.0253) + 3,300,000)</t>
    <phoneticPr fontId="8" type="noConversion"/>
  </si>
  <si>
    <t>안   전   관   리   비</t>
    <phoneticPr fontId="8" type="noConversion"/>
  </si>
  <si>
    <t>(4 + 5) × 0.002</t>
    <phoneticPr fontId="8" type="noConversion"/>
  </si>
  <si>
    <t>환   경   보   전   비</t>
  </si>
  <si>
    <t>0.8%</t>
  </si>
  <si>
    <t>(A + 4 + 6) ×0.008</t>
  </si>
  <si>
    <t>공 사 이 행 보증수수료</t>
  </si>
  <si>
    <t>[(2+4+6)×0.0108%]×6개월/12</t>
    <phoneticPr fontId="10" type="noConversion"/>
  </si>
  <si>
    <t>건설하도급대금지급보증서발급수</t>
  </si>
  <si>
    <t>(A+4+6)×0.00081</t>
    <phoneticPr fontId="10" type="noConversion"/>
  </si>
  <si>
    <t>기     타     경    비</t>
  </si>
  <si>
    <t>(A + B) × 0.058</t>
    <phoneticPr fontId="8" type="noConversion"/>
  </si>
  <si>
    <t>석면 분담금</t>
    <phoneticPr fontId="8" type="noConversion"/>
  </si>
  <si>
    <t>(4 + 5) × 0.00006</t>
    <phoneticPr fontId="8" type="noConversion"/>
  </si>
  <si>
    <t>임금채권부담금</t>
    <phoneticPr fontId="10" type="noConversion"/>
  </si>
  <si>
    <t>(4 + 5) × 0.0009</t>
    <phoneticPr fontId="8" type="noConversion"/>
  </si>
  <si>
    <t>건설안전관리비</t>
    <phoneticPr fontId="10" type="noConversion"/>
  </si>
  <si>
    <t>품   질   시   험   비</t>
    <phoneticPr fontId="8" type="noConversion"/>
  </si>
  <si>
    <t>C</t>
  </si>
  <si>
    <t>(6:23)</t>
    <phoneticPr fontId="8" type="noConversion"/>
  </si>
  <si>
    <t>순   공  사    원   가</t>
  </si>
  <si>
    <t>D</t>
  </si>
  <si>
    <t>(A + B + C)</t>
  </si>
  <si>
    <t>일   반   관   리   비</t>
  </si>
  <si>
    <t>E</t>
    <phoneticPr fontId="8" type="noConversion"/>
  </si>
  <si>
    <t>D × 0.08</t>
    <phoneticPr fontId="8" type="noConversion"/>
  </si>
  <si>
    <t>이                  윤</t>
  </si>
  <si>
    <t>F</t>
    <phoneticPr fontId="8" type="noConversion"/>
  </si>
  <si>
    <t>(B + C + F)  ×0.15</t>
    <phoneticPr fontId="8" type="noConversion"/>
  </si>
  <si>
    <t>열차접근경보앱용단말기</t>
    <phoneticPr fontId="8" type="noConversion"/>
  </si>
  <si>
    <t>G</t>
    <phoneticPr fontId="8" type="noConversion"/>
  </si>
  <si>
    <t>열차접근경보앱용라이센스</t>
    <phoneticPr fontId="8" type="noConversion"/>
  </si>
  <si>
    <t>H</t>
    <phoneticPr fontId="8" type="noConversion"/>
  </si>
  <si>
    <t>열차접근경보앱연동장치</t>
    <phoneticPr fontId="8" type="noConversion"/>
  </si>
  <si>
    <t>I</t>
    <phoneticPr fontId="8" type="noConversion"/>
  </si>
  <si>
    <t>품   질   시   험   비</t>
    <phoneticPr fontId="8" type="noConversion"/>
  </si>
  <si>
    <t>K</t>
    <phoneticPr fontId="8" type="noConversion"/>
  </si>
  <si>
    <t>폐  기  물  처  리  비</t>
    <phoneticPr fontId="10" type="noConversion"/>
  </si>
  <si>
    <t>J</t>
    <phoneticPr fontId="8" type="noConversion"/>
  </si>
  <si>
    <t>공    급     가     액</t>
    <phoneticPr fontId="8" type="noConversion"/>
  </si>
  <si>
    <t>K</t>
    <phoneticPr fontId="8" type="noConversion"/>
  </si>
  <si>
    <t>(D + E + F + G + H + I + J + K)</t>
    <phoneticPr fontId="8" type="noConversion"/>
  </si>
  <si>
    <t>부   가   가   치   세</t>
  </si>
  <si>
    <t>L</t>
    <phoneticPr fontId="8" type="noConversion"/>
  </si>
  <si>
    <t>K × 영세율</t>
    <phoneticPr fontId="8" type="noConversion"/>
  </si>
  <si>
    <t>도        급        액</t>
  </si>
  <si>
    <t>M</t>
    <phoneticPr fontId="8" type="noConversion"/>
  </si>
  <si>
    <t>(K + L)</t>
    <phoneticPr fontId="8" type="noConversion"/>
  </si>
  <si>
    <t>총     공    사     비</t>
  </si>
  <si>
    <t>P</t>
    <phoneticPr fontId="8" type="noConversion"/>
  </si>
  <si>
    <t>(L + M)</t>
    <phoneticPr fontId="8" type="noConversion"/>
  </si>
  <si>
    <t>내역서총괄표</t>
  </si>
  <si>
    <t>공종</t>
  </si>
  <si>
    <t>품    명</t>
  </si>
  <si>
    <t>규   격</t>
  </si>
  <si>
    <t>수 량</t>
  </si>
  <si>
    <t>단위</t>
  </si>
  <si>
    <t>합    계</t>
  </si>
  <si>
    <t>재료비</t>
  </si>
  <si>
    <t>노무비</t>
  </si>
  <si>
    <t>경    비</t>
  </si>
  <si>
    <t>비    고</t>
  </si>
  <si>
    <t>⊙</t>
  </si>
  <si>
    <t>경원선 한남~옥수 6.400km 외 1개소 작업자 이동통로 확보공사</t>
    <phoneticPr fontId="10" type="noConversion"/>
  </si>
  <si>
    <t>1.</t>
  </si>
  <si>
    <t>한남-옥수</t>
    <phoneticPr fontId="10" type="noConversion"/>
  </si>
  <si>
    <t>2.</t>
  </si>
  <si>
    <t>옥수-응봉</t>
    <phoneticPr fontId="10" type="noConversion"/>
  </si>
  <si>
    <t>3.</t>
  </si>
  <si>
    <t>부대공</t>
  </si>
  <si>
    <t>4.</t>
  </si>
  <si>
    <t>폐기물상차</t>
    <phoneticPr fontId="10" type="noConversion"/>
  </si>
  <si>
    <t>5.</t>
  </si>
  <si>
    <t>자재운반</t>
    <phoneticPr fontId="10" type="noConversion"/>
  </si>
  <si>
    <t>사급자재대</t>
    <phoneticPr fontId="10" type="noConversion"/>
  </si>
  <si>
    <t>순 공 사 비</t>
  </si>
  <si>
    <t>간접노무비</t>
  </si>
  <si>
    <t>%</t>
  </si>
  <si>
    <t>산출경비</t>
  </si>
  <si>
    <t>산재보험료</t>
  </si>
  <si>
    <t>고용보험료</t>
  </si>
  <si>
    <t>건강보험료</t>
  </si>
  <si>
    <t>연금보험료</t>
  </si>
  <si>
    <t>노인장기요양보험료</t>
  </si>
  <si>
    <t>퇴직공제부금비</t>
  </si>
  <si>
    <t>산업안전보건관리비</t>
  </si>
  <si>
    <t>환경보전비</t>
  </si>
  <si>
    <t>기타경비</t>
  </si>
  <si>
    <t>석면 분담금</t>
    <phoneticPr fontId="8" type="noConversion"/>
  </si>
  <si>
    <t>임금채권부담금</t>
    <phoneticPr fontId="10" type="noConversion"/>
  </si>
  <si>
    <t>건설안전관리비</t>
    <phoneticPr fontId="10" type="noConversion"/>
  </si>
  <si>
    <t>품 질 시 험 비</t>
    <phoneticPr fontId="10" type="noConversion"/>
  </si>
  <si>
    <t>순공사원가</t>
  </si>
  <si>
    <t>일반관리비</t>
  </si>
  <si>
    <t>이윤</t>
  </si>
  <si>
    <t>열차접근경보앱</t>
    <phoneticPr fontId="10" type="noConversion"/>
  </si>
  <si>
    <t>식</t>
    <phoneticPr fontId="8" type="noConversion"/>
  </si>
  <si>
    <t>열차접근경보 라이선스</t>
    <phoneticPr fontId="10" type="noConversion"/>
  </si>
  <si>
    <t>열차접근경보앱 연동장치</t>
    <phoneticPr fontId="10" type="noConversion"/>
  </si>
  <si>
    <t>식</t>
    <phoneticPr fontId="8" type="noConversion"/>
  </si>
  <si>
    <t>폐기물처리비</t>
    <phoneticPr fontId="10" type="noConversion"/>
  </si>
  <si>
    <t>총원가</t>
  </si>
  <si>
    <t>부가가치세</t>
  </si>
  <si>
    <t>도급액</t>
  </si>
  <si>
    <t>총공사비</t>
  </si>
  <si>
    <t>내역서</t>
  </si>
  <si>
    <t>공 종 명</t>
  </si>
  <si>
    <t>규 격</t>
  </si>
  <si>
    <t>수량</t>
  </si>
  <si>
    <t>재 료 비</t>
  </si>
  <si>
    <t>노 무 비</t>
  </si>
  <si>
    <t>비 고</t>
  </si>
  <si>
    <t>메모</t>
  </si>
  <si>
    <t>단 가</t>
  </si>
  <si>
    <t>금 액</t>
  </si>
  <si>
    <t>할 증</t>
  </si>
  <si>
    <t>화폐변환</t>
  </si>
  <si>
    <t>OP값</t>
  </si>
  <si>
    <t>EQ</t>
  </si>
  <si>
    <t>LA</t>
  </si>
  <si>
    <t>MA</t>
  </si>
  <si>
    <t>금액계상</t>
  </si>
  <si>
    <t>▣ 수도권동부본부 관내 작업자 이동통로 확보공사</t>
  </si>
  <si>
    <t>A0</t>
  </si>
  <si>
    <t xml:space="preserve"> Ⅰ. 순 공 사 비</t>
  </si>
  <si>
    <t>식</t>
  </si>
  <si>
    <t>.</t>
  </si>
  <si>
    <t xml:space="preserve">  가. 직접공사비</t>
  </si>
  <si>
    <t>20</t>
  </si>
  <si>
    <t>..</t>
  </si>
  <si>
    <t xml:space="preserve">    1. 한남-옥수(상우)</t>
  </si>
  <si>
    <t>30</t>
  </si>
  <si>
    <t>A010010</t>
  </si>
  <si>
    <t>....</t>
  </si>
  <si>
    <t xml:space="preserve">    2. 옥수-응봉(상우)</t>
  </si>
  <si>
    <t>40</t>
  </si>
  <si>
    <t>A010020</t>
  </si>
  <si>
    <t xml:space="preserve">    3. 부대공</t>
  </si>
  <si>
    <t>50</t>
  </si>
  <si>
    <t>A010030</t>
  </si>
  <si>
    <t xml:space="preserve">    4. 폐기물상차</t>
  </si>
  <si>
    <t>60</t>
  </si>
  <si>
    <t>A010040</t>
  </si>
  <si>
    <t xml:space="preserve">LA+ = </t>
  </si>
  <si>
    <t xml:space="preserve">LA = </t>
  </si>
  <si>
    <t xml:space="preserve">  나. 간접노무비</t>
  </si>
  <si>
    <t>직노×18.9%</t>
  </si>
  <si>
    <t>★직공10억∼50억미만-6개월이하</t>
  </si>
  <si>
    <t>70</t>
  </si>
  <si>
    <t>F</t>
  </si>
  <si>
    <t xml:space="preserve">.LA=LA(20)*18.9/100_x000D_
</t>
  </si>
  <si>
    <t xml:space="preserve">EQ+ = </t>
  </si>
  <si>
    <t xml:space="preserve">EQ = </t>
  </si>
  <si>
    <t xml:space="preserve">  다. 산재보험료</t>
  </si>
  <si>
    <t>노무비×3.56%</t>
  </si>
  <si>
    <t>80</t>
  </si>
  <si>
    <t xml:space="preserve">.EQ=LA(20,70)*3.56/100_x000D_
</t>
  </si>
  <si>
    <t xml:space="preserve">  라. 고용보험료</t>
  </si>
  <si>
    <t>노무비×1.01%</t>
  </si>
  <si>
    <t>★7등급미만</t>
  </si>
  <si>
    <t>90</t>
  </si>
  <si>
    <t xml:space="preserve">.EQ=LA(20,70)*1.01/100_x000D_
</t>
  </si>
  <si>
    <t xml:space="preserve">  마. 건강보험료</t>
  </si>
  <si>
    <t>직노×3.595%</t>
  </si>
  <si>
    <t>◎2026.04.13</t>
  </si>
  <si>
    <t>100</t>
  </si>
  <si>
    <t xml:space="preserve">.EQ=LA(20)*3.595/100_x000D_
</t>
  </si>
  <si>
    <t xml:space="preserve">  바. 연금보험료</t>
  </si>
  <si>
    <t>직노×4.75%</t>
  </si>
  <si>
    <t>110</t>
  </si>
  <si>
    <t xml:space="preserve">.EQ=LA(20)*4.75/100_x000D_
</t>
  </si>
  <si>
    <t xml:space="preserve">  사. 노인장기요양보험료</t>
  </si>
  <si>
    <t>건보×13.14%</t>
  </si>
  <si>
    <t>120</t>
  </si>
  <si>
    <t xml:space="preserve">.EQ=EQ(100)*13.14/100_x000D_
</t>
  </si>
  <si>
    <t xml:space="preserve">  아. 퇴직공제부금비</t>
  </si>
  <si>
    <t>직노×2.3%</t>
  </si>
  <si>
    <t>130</t>
  </si>
  <si>
    <t xml:space="preserve">.EQ=LA(20)*2.3/100_x000D_
</t>
  </si>
  <si>
    <t xml:space="preserve">  자. 건설기계대여대금지급보증서발급금액</t>
  </si>
  <si>
    <t>직접공사비×0.40%</t>
  </si>
  <si>
    <t>★종합건설업(토목)</t>
  </si>
  <si>
    <t>140</t>
  </si>
  <si>
    <t xml:space="preserve">.EQ=TOT(20)*0.40/100_x000D_
</t>
  </si>
  <si>
    <t xml:space="preserve">18_1_1+ = </t>
  </si>
  <si>
    <t xml:space="preserve">18_1_1 = </t>
  </si>
  <si>
    <t xml:space="preserve">  차. 산업안전보건관리비</t>
  </si>
  <si>
    <t>(재+직노)×2.53%+3,300천원</t>
  </si>
  <si>
    <t>★추정금액(주공종,토목)5억∼50억미만</t>
  </si>
  <si>
    <t>150</t>
  </si>
  <si>
    <t xml:space="preserve">EQ=(LA(20)+MA(20))*2.53/100+3300000={?,'9.99R'}_x000D_
</t>
  </si>
  <si>
    <t xml:space="preserve">  카. 기타  경비</t>
  </si>
  <si>
    <t>(재+노)×5.8%</t>
  </si>
  <si>
    <t>160</t>
  </si>
  <si>
    <t xml:space="preserve">.EQ=(MA(20)+LA(20,70))*5.8/100_x000D_
</t>
  </si>
  <si>
    <t xml:space="preserve">  타. 공사이행보증수수료</t>
  </si>
  <si>
    <t>[직공×0.0108%]×6개월/12</t>
  </si>
  <si>
    <t>★70억미만</t>
  </si>
  <si>
    <t>170</t>
  </si>
  <si>
    <t xml:space="preserve">■계약처수정사항_250930_x000D_
 _ 발주 후 계약변경(후속공기 및 종합시운전까지 반영), 공정게획참조(1,7,9공구_65개월)_x000D_
_x000D_
.EQ=(TOT(20)*0.0108/100)*6/12*0'(해당사항없음)'_x000D_
</t>
  </si>
  <si>
    <t xml:space="preserve">  파. 건설하도급대금지급보증서발급수수료</t>
  </si>
  <si>
    <t>직접공사비×0.081%</t>
  </si>
  <si>
    <t>★50억미만</t>
  </si>
  <si>
    <t>180</t>
  </si>
  <si>
    <t xml:space="preserve">.EQ=TOT(20)*0.081/100_x000D_
</t>
  </si>
  <si>
    <t xml:space="preserve">  하. 환경보전비</t>
  </si>
  <si>
    <t>직접공사비×0.8%</t>
  </si>
  <si>
    <t>★그밖의 토목공사</t>
  </si>
  <si>
    <t>190</t>
  </si>
  <si>
    <t xml:space="preserve">.EQ=TOT(20)*0.8/100_x000D_
</t>
  </si>
  <si>
    <t xml:space="preserve">  거. 석면분담금</t>
  </si>
  <si>
    <t>노무비×0.006%</t>
  </si>
  <si>
    <t>200</t>
  </si>
  <si>
    <t xml:space="preserve">.EQ=LA(20,70)*0.006/100_x000D_
</t>
  </si>
  <si>
    <t xml:space="preserve">  너. 임금채권부담금</t>
  </si>
  <si>
    <t>노무비×0.09%</t>
  </si>
  <si>
    <t>210</t>
  </si>
  <si>
    <t xml:space="preserve">.EQ=LA(20,70)*0.09/100_x000D_
</t>
  </si>
  <si>
    <t xml:space="preserve">  더. 안전관리비</t>
  </si>
  <si>
    <t>PS</t>
  </si>
  <si>
    <t>220</t>
  </si>
  <si>
    <t>A020010</t>
  </si>
  <si>
    <t xml:space="preserve">  러. 품질시험비</t>
  </si>
  <si>
    <t>230</t>
  </si>
  <si>
    <t>A020020</t>
  </si>
  <si>
    <t xml:space="preserve"> Ⅱ. 일반 관리비</t>
  </si>
  <si>
    <t>(재+노+경)×8.0%</t>
  </si>
  <si>
    <t>★추정가격(공급가액)5억∼30억미만</t>
  </si>
  <si>
    <t>240</t>
  </si>
  <si>
    <t xml:space="preserve">.EQ=TOT(10)*8.0/100_x000D_
</t>
  </si>
  <si>
    <t xml:space="preserve">28_1_1+ = </t>
  </si>
  <si>
    <t xml:space="preserve">28_1_1 = </t>
  </si>
  <si>
    <t xml:space="preserve"> Ⅲ. 이       윤</t>
  </si>
  <si>
    <t>(노+경+일반관)×15.0%</t>
  </si>
  <si>
    <t>250</t>
  </si>
  <si>
    <t xml:space="preserve">.EQ = (LA(10)+EQ(10)+EQ(240))*15/100 - 0/1.1 = ?_x000D_
</t>
  </si>
  <si>
    <t xml:space="preserve">     열차접근경보앱</t>
  </si>
  <si>
    <t>임대(6개월 미만) 2대</t>
  </si>
  <si>
    <t>개월</t>
  </si>
  <si>
    <t xml:space="preserve">     열차접근경보 라이선스</t>
  </si>
  <si>
    <t>ea</t>
  </si>
  <si>
    <t xml:space="preserve">     열차접근경보앱 연동장치</t>
  </si>
  <si>
    <t>set</t>
  </si>
  <si>
    <t xml:space="preserve"> Ⅳ. 임목폐기물처리비</t>
  </si>
  <si>
    <t>260</t>
  </si>
  <si>
    <t>A030020</t>
  </si>
  <si>
    <t xml:space="preserve"> Ⅴ. 공 급 가 액</t>
  </si>
  <si>
    <t>(Ⅰ∼Ⅳ)</t>
  </si>
  <si>
    <t>270</t>
  </si>
  <si>
    <t>*</t>
  </si>
  <si>
    <t xml:space="preserve">.LA=LA(10)+LA(240,0,260)_x000D_
.MA=MA(10)+MA(240,0,260)_x000D_
.EQ=EQ(10)+EQ(240,0,260)_x000D_
</t>
  </si>
  <si>
    <t xml:space="preserve"> Ⅵ. 부가 가치세</t>
  </si>
  <si>
    <t>10%</t>
  </si>
  <si>
    <t>280</t>
  </si>
  <si>
    <t xml:space="preserve">.EQ=TOT(270,0,270)*10/100 - 1_x000D_
</t>
  </si>
  <si>
    <t xml:space="preserve">MA+ = </t>
  </si>
  <si>
    <t xml:space="preserve">MA = </t>
  </si>
  <si>
    <t xml:space="preserve"> Ⅶ. 도 급 금 액</t>
  </si>
  <si>
    <t>(Ⅴ∼Ⅵ)</t>
  </si>
  <si>
    <t>290</t>
  </si>
  <si>
    <t xml:space="preserve">.MA=MA(270,0,280)_x000D_
.LA=LA(270,0,280)_x000D_
.EQ=EQ(270,0,280)_x000D_
</t>
  </si>
  <si>
    <t xml:space="preserve"> Ⅷ. 총 공 사 비</t>
  </si>
  <si>
    <t>(Ⅷ)</t>
  </si>
  <si>
    <t>300</t>
  </si>
  <si>
    <t xml:space="preserve">.MA=MA(290,0,290)_x000D_
.LA=LA(290,0,290)_x000D_
.EQ=EQ(290,0,290)_x000D_
</t>
  </si>
  <si>
    <t>310</t>
  </si>
  <si>
    <t>S</t>
  </si>
  <si>
    <t xml:space="preserve"> ◈ 직접공사비</t>
  </si>
  <si>
    <t>A010</t>
  </si>
  <si>
    <t>1. 한남-옥수(상우)</t>
  </si>
  <si>
    <t>2. 옥수-응봉(상우)</t>
  </si>
  <si>
    <t>3. 부대공</t>
  </si>
  <si>
    <t>4. 폐기물상차</t>
  </si>
  <si>
    <t xml:space="preserve"> 1-1. 토공부 보도</t>
  </si>
  <si>
    <t>A01001010</t>
  </si>
  <si>
    <t xml:space="preserve"> 1-2. 옹벽 보도</t>
  </si>
  <si>
    <t>A01001020</t>
  </si>
  <si>
    <t xml:space="preserve"> 1-3. 교측 보도</t>
  </si>
  <si>
    <t>A01001030</t>
  </si>
  <si>
    <t xml:space="preserve"> 1-4. 조경공</t>
  </si>
  <si>
    <t>A01001040</t>
  </si>
  <si>
    <t xml:space="preserve">  1.1 방초처리</t>
  </si>
  <si>
    <t xml:space="preserve"> . </t>
  </si>
  <si>
    <t xml:space="preserve">     예초</t>
  </si>
  <si>
    <t>m2</t>
  </si>
  <si>
    <t>#.15</t>
  </si>
  <si>
    <t>KU01390-0020</t>
  </si>
  <si>
    <t xml:space="preserve">    .... </t>
  </si>
  <si>
    <t xml:space="preserve">     흙다지기</t>
  </si>
  <si>
    <t>인력(래머80kg)</t>
  </si>
  <si>
    <t>m3</t>
  </si>
  <si>
    <t>#.16</t>
  </si>
  <si>
    <t>K01010032000</t>
  </si>
  <si>
    <t xml:space="preserve">     방초매트설치</t>
  </si>
  <si>
    <t>(B형)</t>
  </si>
  <si>
    <t>No.1</t>
  </si>
  <si>
    <t>코드변경</t>
  </si>
  <si>
    <t>KRZ100010040</t>
  </si>
  <si>
    <t>T</t>
  </si>
  <si>
    <t xml:space="preserve">  1.2 이동통로</t>
  </si>
  <si>
    <t xml:space="preserve">   1.2.1 기초설치</t>
  </si>
  <si>
    <t xml:space="preserve">  .. </t>
  </si>
  <si>
    <t xml:space="preserve">     강재거푸집</t>
  </si>
  <si>
    <t>간단,1회,인력,H=0∼7m이하</t>
  </si>
  <si>
    <t>#.17</t>
  </si>
  <si>
    <t>K01060073000</t>
  </si>
  <si>
    <t xml:space="preserve">     무수축몰탈</t>
  </si>
  <si>
    <t>#.18</t>
  </si>
  <si>
    <t>KR08100-0040</t>
  </si>
  <si>
    <t xml:space="preserve">     토사터파기(보통토사)</t>
  </si>
  <si>
    <t>육상,인력,H=0~1m</t>
  </si>
  <si>
    <t>#.19</t>
  </si>
  <si>
    <t>K01010001000</t>
  </si>
  <si>
    <t xml:space="preserve">     되메우기및다짐</t>
  </si>
  <si>
    <t>토사</t>
  </si>
  <si>
    <t>#.20</t>
  </si>
  <si>
    <t>K01010033000</t>
  </si>
  <si>
    <t xml:space="preserve">     잔토처리</t>
  </si>
  <si>
    <t>인력</t>
  </si>
  <si>
    <t>#.21</t>
  </si>
  <si>
    <t>K01010037000</t>
  </si>
  <si>
    <t xml:space="preserve">   1.2.2 이동통로설치</t>
  </si>
  <si>
    <t xml:space="preserve">     잡철물제작</t>
  </si>
  <si>
    <t>일반철재</t>
  </si>
  <si>
    <t>18.305</t>
    <phoneticPr fontId="10" type="noConversion"/>
  </si>
  <si>
    <t>Ton</t>
  </si>
  <si>
    <t>#.22</t>
  </si>
  <si>
    <t>K01090028000</t>
  </si>
  <si>
    <t xml:space="preserve">     잡철물설치</t>
  </si>
  <si>
    <t>일반철재(야간할증)</t>
  </si>
  <si>
    <t>#.23</t>
  </si>
  <si>
    <t>K01090029010</t>
  </si>
  <si>
    <t xml:space="preserve">     자재운반</t>
  </si>
  <si>
    <t>인력+고소작업차 5ton</t>
  </si>
  <si>
    <t>day</t>
  </si>
  <si>
    <t>#.24</t>
  </si>
  <si>
    <t>KR012601</t>
  </si>
  <si>
    <t xml:space="preserve">     자재소운반(인력,지게)</t>
  </si>
  <si>
    <t>L=40m</t>
  </si>
  <si>
    <t>ton</t>
  </si>
  <si>
    <t>#.25</t>
  </si>
  <si>
    <t>KR012602</t>
  </si>
  <si>
    <t>L=100m</t>
  </si>
  <si>
    <t>#.26</t>
  </si>
  <si>
    <t>KR012603</t>
  </si>
  <si>
    <t xml:space="preserve">     교량접지</t>
  </si>
  <si>
    <t>F-GV 2.5mm2</t>
  </si>
  <si>
    <t>m</t>
  </si>
  <si>
    <t>#.27</t>
  </si>
  <si>
    <t>K03H1H202650</t>
  </si>
  <si>
    <t xml:space="preserve">   1.2.3 자재비</t>
  </si>
  <si>
    <t xml:space="preserve">     계단후레임파이프</t>
  </si>
  <si>
    <t>80x120x2.3M/M   7.06KG/M</t>
  </si>
  <si>
    <t>M0132120C</t>
  </si>
  <si>
    <t xml:space="preserve">     계단후레임보강파이프</t>
  </si>
  <si>
    <t>80x80x3.0M/M   7.25KG/M</t>
  </si>
  <si>
    <t>4.007</t>
    <phoneticPr fontId="10" type="noConversion"/>
  </si>
  <si>
    <t>M0132120A</t>
  </si>
  <si>
    <t xml:space="preserve">     체크안전발판(타공)</t>
  </si>
  <si>
    <t>250*30*3.0T</t>
  </si>
  <si>
    <t>MZZ00050B</t>
  </si>
  <si>
    <t xml:space="preserve">     발끝막이</t>
    <phoneticPr fontId="10" type="noConversion"/>
  </si>
  <si>
    <t>100x50x4M/M   4.55KG/M</t>
    <phoneticPr fontId="10" type="noConversion"/>
  </si>
  <si>
    <t>M0030020A</t>
  </si>
  <si>
    <t>95200027051</t>
  </si>
  <si>
    <t xml:space="preserve">     베이스플레이트</t>
  </si>
  <si>
    <t>T=5mm</t>
  </si>
  <si>
    <t>M0060024A0</t>
  </si>
  <si>
    <t>▣26.01</t>
  </si>
  <si>
    <t>50.8 x2.0X300  2.41KG/M</t>
  </si>
  <si>
    <t>M0129024</t>
  </si>
  <si>
    <t xml:space="preserve">  1.3 안전난간</t>
  </si>
  <si>
    <t xml:space="preserve">   1.3.1 난간설치</t>
  </si>
  <si>
    <t>경량철재</t>
  </si>
  <si>
    <t>#.28</t>
  </si>
  <si>
    <t>320</t>
  </si>
  <si>
    <t>K01090034000</t>
  </si>
  <si>
    <t>#.29</t>
  </si>
  <si>
    <t>330</t>
  </si>
  <si>
    <t>K01090035000</t>
  </si>
  <si>
    <t>340</t>
  </si>
  <si>
    <t>350</t>
  </si>
  <si>
    <t>360</t>
  </si>
  <si>
    <t>370</t>
  </si>
  <si>
    <t xml:space="preserve">   1.3.2 자재비</t>
  </si>
  <si>
    <t>380</t>
  </si>
  <si>
    <t xml:space="preserve">     스테인리스후판</t>
  </si>
  <si>
    <t>6.0M/M   STS304(외산)</t>
  </si>
  <si>
    <t>M0195057</t>
  </si>
  <si>
    <t>390</t>
  </si>
  <si>
    <t xml:space="preserve">     스테인리스원형관(구조용)(현장도착도)</t>
  </si>
  <si>
    <t>50.8x2.0  2.430KG/M</t>
  </si>
  <si>
    <t>M0240087</t>
  </si>
  <si>
    <t>400</t>
  </si>
  <si>
    <t>410</t>
  </si>
  <si>
    <t>38.1x2.0  1.800KG/M</t>
  </si>
  <si>
    <t>M0240075</t>
  </si>
  <si>
    <t>420</t>
  </si>
  <si>
    <t>50.8x1.0   1.240kg/m</t>
  </si>
  <si>
    <t>M0240078</t>
  </si>
  <si>
    <t>430</t>
  </si>
  <si>
    <t>31.8x1.0   0.767kg/m</t>
  </si>
  <si>
    <t>M0240056</t>
  </si>
  <si>
    <t>440</t>
  </si>
  <si>
    <t xml:space="preserve">     스테인리스망(SUS304)</t>
  </si>
  <si>
    <t>8.0메쉬 0.9  x1000mm</t>
  </si>
  <si>
    <t>M2</t>
  </si>
  <si>
    <t>M0687017</t>
  </si>
  <si>
    <t>53350177081</t>
  </si>
  <si>
    <t>450</t>
  </si>
  <si>
    <t xml:space="preserve">  1.4 차단벽</t>
  </si>
  <si>
    <t>460</t>
  </si>
  <si>
    <t xml:space="preserve">     EX메탈라스(울타리)(현장설치도)</t>
  </si>
  <si>
    <t>W2000×H1200</t>
  </si>
  <si>
    <t>MZZ10010</t>
  </si>
  <si>
    <t>470</t>
  </si>
  <si>
    <t xml:space="preserve">     EX메탈라스출입문(양개)(현장설치도)</t>
  </si>
  <si>
    <t>W1000×H1200</t>
  </si>
  <si>
    <t>MZZ10025</t>
  </si>
  <si>
    <t>480</t>
  </si>
  <si>
    <t>490</t>
  </si>
  <si>
    <t xml:space="preserve">  2.1 브라켓</t>
  </si>
  <si>
    <t xml:space="preserve">   2.1.1 바닥틀제작설치</t>
  </si>
  <si>
    <t>#.30</t>
  </si>
  <si>
    <t>K01090029000</t>
  </si>
  <si>
    <t xml:space="preserve">     용융아연도금</t>
  </si>
  <si>
    <t>KG</t>
  </si>
  <si>
    <t>M9384010</t>
  </si>
  <si>
    <t xml:space="preserve">     고철설</t>
  </si>
  <si>
    <t>용해용(상) (매입가),중량A</t>
  </si>
  <si>
    <t>kg</t>
  </si>
  <si>
    <t>M9531005A</t>
  </si>
  <si>
    <t xml:space="preserve">     강재운반(공장상차도)</t>
  </si>
  <si>
    <t>#.31</t>
  </si>
  <si>
    <t>K03H1H204850</t>
  </si>
  <si>
    <t xml:space="preserve">     장비사용료(바닥판설치)</t>
  </si>
  <si>
    <t>고속작업차(5ton)</t>
  </si>
  <si>
    <t>일</t>
  </si>
  <si>
    <t>#.32</t>
  </si>
  <si>
    <t>K015080D120A</t>
  </si>
  <si>
    <t xml:space="preserve">     구조용각형강관(아연도금)</t>
  </si>
  <si>
    <t>80x120x2.0M/M   6.15KG/M</t>
  </si>
  <si>
    <t>M0132121F</t>
  </si>
  <si>
    <t>단중비례10852*6.15/5.14</t>
  </si>
  <si>
    <t>50x50x2.0M/M   2.92KG/M</t>
  </si>
  <si>
    <t>M0132121G</t>
  </si>
  <si>
    <t xml:space="preserve">     장선연결JOINT</t>
  </si>
  <si>
    <t>80×120</t>
  </si>
  <si>
    <t>EA</t>
  </si>
  <si>
    <t>M1663037</t>
  </si>
  <si>
    <t>200×100 금액적용</t>
  </si>
  <si>
    <t>50×50</t>
  </si>
  <si>
    <t>M1663035</t>
  </si>
  <si>
    <t xml:space="preserve">     브라켓마감재</t>
  </si>
  <si>
    <t>300x2T</t>
  </si>
  <si>
    <t>M0060024B</t>
  </si>
  <si>
    <t xml:space="preserve">   2.1.2 브라켓제작설치</t>
  </si>
  <si>
    <t xml:space="preserve">     콘크리트앵커천공</t>
  </si>
  <si>
    <t>D20x240mm</t>
  </si>
  <si>
    <t>개</t>
  </si>
  <si>
    <t>#.33</t>
  </si>
  <si>
    <t>KR09030-0020</t>
  </si>
  <si>
    <t xml:space="preserve">     장비사용료</t>
  </si>
  <si>
    <t>#.34</t>
  </si>
  <si>
    <t>K015080D110A</t>
  </si>
  <si>
    <t xml:space="preserve">     브라켓</t>
  </si>
  <si>
    <t>B=1.280m</t>
  </si>
  <si>
    <t>MZZ10030</t>
  </si>
  <si>
    <t xml:space="preserve">     케미칼앵커설치</t>
  </si>
  <si>
    <t>M20x240mm</t>
  </si>
  <si>
    <t>#.35</t>
  </si>
  <si>
    <t>KR02062-0190</t>
  </si>
  <si>
    <t xml:space="preserve">     볼트캡</t>
  </si>
  <si>
    <t>M20</t>
  </si>
  <si>
    <t>M1663027</t>
  </si>
  <si>
    <t xml:space="preserve">   2.1.3 바닥판설치</t>
  </si>
  <si>
    <t xml:space="preserve">     타공바닥</t>
  </si>
  <si>
    <t>250×30×10×2.0T</t>
  </si>
  <si>
    <t>MZZ00060B</t>
  </si>
  <si>
    <t xml:space="preserve">     마감 AL</t>
  </si>
  <si>
    <t>50x1.6t</t>
  </si>
  <si>
    <t>M0414015A</t>
  </si>
  <si>
    <t>95351087025</t>
  </si>
  <si>
    <t xml:space="preserve">  2.2 안전난간</t>
  </si>
  <si>
    <t xml:space="preserve">   2.2.1 난간설치</t>
  </si>
  <si>
    <t xml:space="preserve">   2.2.2 자재비</t>
  </si>
  <si>
    <t xml:space="preserve">     스테인리스 케이블타이</t>
  </si>
  <si>
    <t>MZZ10070</t>
  </si>
  <si>
    <t>56201067531</t>
  </si>
  <si>
    <t xml:space="preserve">     상부마감재</t>
  </si>
  <si>
    <t>졸대</t>
  </si>
  <si>
    <t>MZZ10080</t>
  </si>
  <si>
    <t xml:space="preserve">  2.3 차단벽</t>
  </si>
  <si>
    <t xml:space="preserve">  2.4 철거공</t>
  </si>
  <si>
    <t>500</t>
  </si>
  <si>
    <t xml:space="preserve">     철골재철거</t>
  </si>
  <si>
    <t>#.36</t>
  </si>
  <si>
    <t>510</t>
  </si>
  <si>
    <t>K16A06A00010</t>
  </si>
  <si>
    <t>520</t>
  </si>
  <si>
    <t>530</t>
  </si>
  <si>
    <t>540</t>
  </si>
  <si>
    <t xml:space="preserve">     고철(스테인리스)</t>
  </si>
  <si>
    <t>27종    (매입가)</t>
  </si>
  <si>
    <t>M9534003A</t>
  </si>
  <si>
    <t>550</t>
  </si>
  <si>
    <t xml:space="preserve">  2.3 야자섬유매트</t>
    <phoneticPr fontId="10" type="noConversion"/>
  </si>
  <si>
    <t>560</t>
  </si>
  <si>
    <t xml:space="preserve">     야자섬유매트설치</t>
    <phoneticPr fontId="10" type="noConversion"/>
  </si>
  <si>
    <t>No.2</t>
  </si>
  <si>
    <t>570</t>
  </si>
  <si>
    <t>KRZ100010140</t>
  </si>
  <si>
    <t>580</t>
  </si>
  <si>
    <t xml:space="preserve">  3.1 브라켓</t>
  </si>
  <si>
    <t xml:space="preserve">   3.1.1 바닥틀제작설치</t>
  </si>
  <si>
    <t xml:space="preserve">   3.1.2 브라켓제작설치</t>
  </si>
  <si>
    <t xml:space="preserve">   3.1.3 바닥판설치</t>
  </si>
  <si>
    <t xml:space="preserve">  3.2 안전난간</t>
  </si>
  <si>
    <t xml:space="preserve">   3.2.1 난간설치</t>
  </si>
  <si>
    <t xml:space="preserve">   3.2.2 자재비</t>
  </si>
  <si>
    <t xml:space="preserve">  3.3 계단설치</t>
  </si>
  <si>
    <t>2개소</t>
  </si>
  <si>
    <t xml:space="preserve">   3.3.1 계단설치</t>
  </si>
  <si>
    <t xml:space="preserve">   3.3.2 자재비</t>
  </si>
  <si>
    <t>590</t>
  </si>
  <si>
    <t>600</t>
  </si>
  <si>
    <t>610</t>
  </si>
  <si>
    <t xml:space="preserve">  3.3 차단벽</t>
    <phoneticPr fontId="10" type="noConversion"/>
  </si>
  <si>
    <t>620</t>
  </si>
  <si>
    <t>630</t>
  </si>
  <si>
    <t xml:space="preserve">     EX메탈라스출입문(양개)(현장설치도)</t>
    <phoneticPr fontId="10" type="noConversion"/>
  </si>
  <si>
    <t>640</t>
  </si>
  <si>
    <t xml:space="preserve">  3.4 철거공</t>
    <phoneticPr fontId="10" type="noConversion"/>
  </si>
  <si>
    <t>650</t>
  </si>
  <si>
    <t>660</t>
  </si>
  <si>
    <t>670</t>
  </si>
  <si>
    <t>680</t>
  </si>
  <si>
    <t>690</t>
  </si>
  <si>
    <t>700</t>
  </si>
  <si>
    <t xml:space="preserve">     진입로설치및해체</t>
  </si>
  <si>
    <t>강판 B=5.0, t=10mm</t>
  </si>
  <si>
    <t>#.37</t>
  </si>
  <si>
    <t>710</t>
  </si>
  <si>
    <t>K03H1H203530</t>
  </si>
  <si>
    <t>720</t>
  </si>
  <si>
    <t xml:space="preserve">  4.1 벌목및벌개제근</t>
  </si>
  <si>
    <t xml:space="preserve">     벌목</t>
  </si>
  <si>
    <t>높이평균</t>
  </si>
  <si>
    <t>#.38</t>
  </si>
  <si>
    <t>K09A03A02000</t>
  </si>
  <si>
    <t xml:space="preserve">     벌개제근</t>
  </si>
  <si>
    <t>입목본수도,50∼60%</t>
  </si>
  <si>
    <t>#.39</t>
  </si>
  <si>
    <t>K09A03A01000</t>
  </si>
  <si>
    <t xml:space="preserve">  4.2 식재</t>
  </si>
  <si>
    <t xml:space="preserve">     나무수국 식재</t>
  </si>
  <si>
    <t>H1.0xW0.4</t>
  </si>
  <si>
    <t>주</t>
  </si>
  <si>
    <t>No.3</t>
  </si>
  <si>
    <t>HHCLWTB100</t>
  </si>
  <si>
    <t xml:space="preserve"> 2-1. 옹벽 보도</t>
  </si>
  <si>
    <t>A01002010</t>
  </si>
  <si>
    <t xml:space="preserve"> 2-2. 교측 보도</t>
  </si>
  <si>
    <t>A01002020</t>
  </si>
  <si>
    <t>M0132121E</t>
  </si>
  <si>
    <t>M0132121H</t>
  </si>
  <si>
    <t xml:space="preserve">  2.4 야자섬유매트</t>
  </si>
  <si>
    <t xml:space="preserve">     야자섬유매트설치</t>
  </si>
  <si>
    <t xml:space="preserve">  1.1 브라켓</t>
  </si>
  <si>
    <t xml:space="preserve">   1.1.1 바닥틀제작설치</t>
  </si>
  <si>
    <t xml:space="preserve">   1.1.2 브라켓제작설치</t>
  </si>
  <si>
    <t xml:space="preserve">     콘크리트앵커천공</t>
    <phoneticPr fontId="10" type="noConversion"/>
  </si>
  <si>
    <t>D20x240mm</t>
    <phoneticPr fontId="10" type="noConversion"/>
  </si>
  <si>
    <t xml:space="preserve">   1.1.3 바닥판설치</t>
  </si>
  <si>
    <t xml:space="preserve">  1.2 안전난간</t>
  </si>
  <si>
    <t xml:space="preserve">   1.2.1 난간설치</t>
  </si>
  <si>
    <t xml:space="preserve">   1.2.2 자재비</t>
  </si>
  <si>
    <t xml:space="preserve">  1.3 차단벽</t>
  </si>
  <si>
    <t>W1000×H1200</t>
    <phoneticPr fontId="10" type="noConversion"/>
  </si>
  <si>
    <t xml:space="preserve">  1.4 철거공</t>
  </si>
  <si>
    <t xml:space="preserve">     메쉬형울타리철거및복구</t>
  </si>
  <si>
    <t>H3.0m</t>
  </si>
  <si>
    <t>#.40</t>
  </si>
  <si>
    <t>K013062C04</t>
  </si>
  <si>
    <t xml:space="preserve">  3-1. 가설사무소</t>
  </si>
  <si>
    <t xml:space="preserve">     가설사무소(콘테이너)</t>
  </si>
  <si>
    <t>B3.0×L6.0×H2.6m,6개월</t>
  </si>
  <si>
    <t>#.1</t>
  </si>
  <si>
    <t>K03H1H203190</t>
  </si>
  <si>
    <t xml:space="preserve">     가설창고(콘테이너)</t>
  </si>
  <si>
    <t>#.2</t>
  </si>
  <si>
    <t>K03H1H203200</t>
  </si>
  <si>
    <t xml:space="preserve">     가림막가설휀스 설치및해체</t>
  </si>
  <si>
    <t>H2.0×W2.0m(야간할증)</t>
  </si>
  <si>
    <t>#.3</t>
  </si>
  <si>
    <t>K03H1H203362</t>
  </si>
  <si>
    <t xml:space="preserve">     가림막설치및철거</t>
  </si>
  <si>
    <t>각종</t>
  </si>
  <si>
    <t>#.4</t>
  </si>
  <si>
    <t>K03H1H203520</t>
  </si>
  <si>
    <t xml:space="preserve">  3-2. 시공상세도</t>
  </si>
  <si>
    <t xml:space="preserve">     시공상세도면작성비</t>
  </si>
  <si>
    <t>단순</t>
  </si>
  <si>
    <t>매</t>
  </si>
  <si>
    <t>#.5</t>
  </si>
  <si>
    <t>K09501A</t>
  </si>
  <si>
    <t xml:space="preserve">  3-3. 안전관리</t>
  </si>
  <si>
    <t xml:space="preserve">     열차감시원</t>
  </si>
  <si>
    <t>주간</t>
  </si>
  <si>
    <t>인</t>
  </si>
  <si>
    <t>#.6</t>
  </si>
  <si>
    <t>KR010155</t>
  </si>
  <si>
    <t>야간</t>
  </si>
  <si>
    <t>#.7</t>
  </si>
  <si>
    <t>KR010160</t>
  </si>
  <si>
    <t xml:space="preserve">     임목폐기물상차비</t>
  </si>
  <si>
    <t>#.8</t>
  </si>
  <si>
    <t>■견적_25.05.14</t>
  </si>
  <si>
    <t>K09700E170</t>
  </si>
  <si>
    <t>▶(도급)원가계산</t>
  </si>
  <si>
    <t>A020</t>
  </si>
  <si>
    <t xml:space="preserve"> ◈ 안전관리비</t>
  </si>
  <si>
    <t xml:space="preserve">  1. 공사중교통관리비</t>
  </si>
  <si>
    <t xml:space="preserve">     공사중안내표지판</t>
  </si>
  <si>
    <t>GZZZW20350</t>
  </si>
  <si>
    <t>■견적_25.05.21</t>
  </si>
  <si>
    <t xml:space="preserve">     PE드럼 설치및해체</t>
    <phoneticPr fontId="10" type="noConversion"/>
  </si>
  <si>
    <t>개소</t>
  </si>
  <si>
    <t>#.9</t>
  </si>
  <si>
    <t>K03H1H203363</t>
  </si>
  <si>
    <t xml:space="preserve">     유도등 설치및해체</t>
    <phoneticPr fontId="10" type="noConversion"/>
  </si>
  <si>
    <t>윙카호스</t>
  </si>
  <si>
    <t>#.10</t>
  </si>
  <si>
    <t>K03H1H203370</t>
  </si>
  <si>
    <t xml:space="preserve">     장비유도원</t>
  </si>
  <si>
    <t>#.11</t>
  </si>
  <si>
    <t>K09503</t>
  </si>
  <si>
    <t xml:space="preserve">     교통신호수</t>
  </si>
  <si>
    <t>#.12</t>
  </si>
  <si>
    <t>▶OK</t>
  </si>
  <si>
    <t>K09503B66</t>
  </si>
  <si>
    <t xml:space="preserve">     무전기(휴대용)</t>
  </si>
  <si>
    <t>대</t>
  </si>
  <si>
    <t>MZZ10060</t>
  </si>
  <si>
    <t>E</t>
  </si>
  <si>
    <t xml:space="preserve">  2. 안전관리</t>
  </si>
  <si>
    <t>GZZZW20320</t>
  </si>
  <si>
    <t>GZZZW20330</t>
  </si>
  <si>
    <t>GZZZW20340</t>
  </si>
  <si>
    <t xml:space="preserve"> ◈ 품질시험비</t>
  </si>
  <si>
    <t xml:space="preserve">     인발시험</t>
  </si>
  <si>
    <t>GZZZW30010</t>
  </si>
  <si>
    <t xml:space="preserve">     강재비파괴시험</t>
    <phoneticPr fontId="10" type="noConversion"/>
  </si>
  <si>
    <t>GZZZW30020</t>
  </si>
  <si>
    <t>▶(도급)원가계산제외</t>
  </si>
  <si>
    <t>A030</t>
  </si>
  <si>
    <t xml:space="preserve"> ◈ 임목폐기물처리비</t>
  </si>
  <si>
    <t xml:space="preserve">  1. 임목폐기물처리비</t>
  </si>
  <si>
    <t xml:space="preserve">     임목폐기물운반비</t>
  </si>
  <si>
    <t>#.13</t>
  </si>
  <si>
    <t>K09700E270</t>
  </si>
  <si>
    <t xml:space="preserve">     임목폐기물처리비</t>
  </si>
  <si>
    <t>#.14</t>
  </si>
  <si>
    <t>K09700E370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</si>
</sst>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76" formatCode="0.0%"/>
    <numFmt numFmtId="177" formatCode="0.000%"/>
    <numFmt numFmtId="178" formatCode="0.0000%"/>
    <numFmt numFmtId="179" formatCode="#,##0.0########"/>
    <numFmt numFmtId="180" formatCode="#,##0.0"/>
    <numFmt numFmtId="181" formatCode="#,##0.000"/>
    <numFmt numFmtId="182" formatCode="General;\-General\,&quot;&quot;;@"/>
    <numFmt numFmtId="183" formatCode="#,###;\-#,###;&quot;&quot;;@"/>
    <numFmt numFmtId="184" formatCode="_(* #,##0.00_);_(* \(#,##0.00\);_(* &quot;-&quot;??_);_(@_)"/>
    <numFmt numFmtId="185" formatCode="_(* #,##0_);_(* \(#,##0\);_(* &quot;-&quot;??_);_(@_)"/>
    <numFmt numFmtId="186" formatCode="#,###.000;\-#,###.000;&quot;&quot;;@"/>
  </numFmts>
  <fonts count="16" x14ac:knownFonts="1">
    <font>
      <sz val="8"/>
      <color indexed="8"/>
      <name val="굴림"/>
      <family val="3"/>
      <charset val="129"/>
    </font>
    <font>
      <sz val="10"/>
      <color indexed="8"/>
      <name val="Arial"/>
      <family val="2"/>
    </font>
    <font>
      <b/>
      <sz val="20"/>
      <color indexed="8"/>
      <name val="Arial"/>
      <family val="2"/>
    </font>
    <font>
      <sz val="8"/>
      <name val="맑은 고딕"/>
      <family val="2"/>
      <charset val="129"/>
      <scheme val="minor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9"/>
      <color indexed="8"/>
      <name val="굴림체"/>
      <family val="3"/>
      <charset val="129"/>
    </font>
    <font>
      <sz val="10"/>
      <color indexed="8"/>
      <name val="굴림체"/>
      <family val="3"/>
    </font>
    <font>
      <sz val="8"/>
      <name val="돋움"/>
      <family val="3"/>
      <charset val="129"/>
    </font>
    <font>
      <sz val="8"/>
      <color indexed="8"/>
      <name val="굴림"/>
      <family val="3"/>
      <charset val="129"/>
    </font>
    <font>
      <sz val="8"/>
      <name val="굴림"/>
      <family val="3"/>
      <charset val="129"/>
    </font>
    <font>
      <sz val="9"/>
      <color theme="1"/>
      <name val="굴림체"/>
      <family val="3"/>
      <charset val="129"/>
    </font>
    <font>
      <u/>
      <sz val="8"/>
      <color indexed="30"/>
      <name val="굴림"/>
      <family val="3"/>
      <charset val="129"/>
    </font>
    <font>
      <sz val="8"/>
      <color indexed="22"/>
      <name val="굴림"/>
      <family val="3"/>
      <charset val="129"/>
    </font>
    <font>
      <sz val="8"/>
      <color indexed="30"/>
      <name val="굴림"/>
      <family val="3"/>
      <charset val="129"/>
    </font>
    <font>
      <sz val="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7"/>
        <bgColor indexed="9"/>
      </patternFill>
    </fill>
    <fill>
      <patternFill patternType="solid">
        <fgColor indexed="44"/>
        <bgColor indexed="9"/>
      </patternFill>
    </fill>
    <fill>
      <patternFill patternType="solid">
        <fgColor indexed="22"/>
        <bgColor indexed="9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84" fontId="9" fillId="0" borderId="0"/>
    <xf numFmtId="0" fontId="1" fillId="0" borderId="0"/>
    <xf numFmtId="9" fontId="1" fillId="0" borderId="0"/>
  </cellStyleXfs>
  <cellXfs count="106">
    <xf numFmtId="0" fontId="0" fillId="0" borderId="0" xfId="0"/>
    <xf numFmtId="0" fontId="2" fillId="0" borderId="0" xfId="2" applyFont="1" applyAlignment="1">
      <alignment horizontal="center" vertical="center"/>
    </xf>
    <xf numFmtId="0" fontId="1" fillId="0" borderId="0" xfId="2"/>
    <xf numFmtId="0" fontId="1" fillId="0" borderId="0" xfId="2"/>
    <xf numFmtId="3" fontId="4" fillId="0" borderId="1" xfId="2" applyNumberFormat="1" applyFont="1" applyBorder="1" applyAlignment="1">
      <alignment horizontal="center" vertical="center"/>
    </xf>
    <xf numFmtId="3" fontId="4" fillId="0" borderId="2" xfId="2" applyNumberFormat="1" applyFont="1" applyBorder="1" applyAlignment="1">
      <alignment horizontal="center" vertical="center"/>
    </xf>
    <xf numFmtId="3" fontId="4" fillId="0" borderId="3" xfId="2" applyNumberFormat="1" applyFont="1" applyBorder="1" applyAlignment="1">
      <alignment horizontal="center" vertical="center"/>
    </xf>
    <xf numFmtId="3" fontId="4" fillId="0" borderId="4" xfId="2" applyNumberFormat="1" applyFont="1" applyBorder="1" applyAlignment="1">
      <alignment horizontal="center" vertical="center"/>
    </xf>
    <xf numFmtId="3" fontId="4" fillId="0" borderId="5" xfId="2" applyNumberFormat="1" applyFont="1" applyBorder="1" applyAlignment="1">
      <alignment horizontal="center" vertical="center"/>
    </xf>
    <xf numFmtId="3" fontId="5" fillId="0" borderId="6" xfId="2" applyNumberFormat="1" applyFont="1" applyBorder="1" applyAlignment="1">
      <alignment horizontal="left" vertical="center"/>
    </xf>
    <xf numFmtId="3" fontId="5" fillId="0" borderId="7" xfId="2" applyNumberFormat="1" applyFont="1" applyBorder="1" applyAlignment="1">
      <alignment horizontal="left" vertical="center"/>
    </xf>
    <xf numFmtId="3" fontId="5" fillId="0" borderId="0" xfId="2" applyNumberFormat="1" applyFont="1" applyAlignment="1">
      <alignment horizontal="left" vertical="center"/>
    </xf>
    <xf numFmtId="3" fontId="5" fillId="0" borderId="8" xfId="2" applyNumberFormat="1" applyFont="1" applyBorder="1" applyAlignment="1">
      <alignment horizontal="left" vertical="center"/>
    </xf>
    <xf numFmtId="3" fontId="5" fillId="0" borderId="7" xfId="2" applyNumberFormat="1" applyFont="1" applyBorder="1" applyAlignment="1">
      <alignment vertical="center"/>
    </xf>
    <xf numFmtId="3" fontId="5" fillId="0" borderId="7" xfId="2" applyNumberFormat="1" applyFont="1" applyBorder="1" applyAlignment="1">
      <alignment horizontal="right" vertical="center"/>
    </xf>
    <xf numFmtId="3" fontId="5" fillId="0" borderId="9" xfId="2" applyNumberFormat="1" applyFont="1" applyBorder="1" applyAlignment="1">
      <alignment horizontal="left" vertical="center"/>
    </xf>
    <xf numFmtId="3" fontId="5" fillId="0" borderId="10" xfId="2" applyNumberFormat="1" applyFont="1" applyBorder="1" applyAlignment="1">
      <alignment horizontal="left" vertical="center"/>
    </xf>
    <xf numFmtId="3" fontId="5" fillId="0" borderId="11" xfId="2" applyNumberFormat="1" applyFont="1" applyBorder="1" applyAlignment="1">
      <alignment horizontal="left" vertical="center"/>
    </xf>
    <xf numFmtId="3" fontId="5" fillId="0" borderId="12" xfId="2" applyNumberFormat="1" applyFont="1" applyBorder="1" applyAlignment="1">
      <alignment vertical="center"/>
    </xf>
    <xf numFmtId="3" fontId="5" fillId="0" borderId="12" xfId="2" applyNumberFormat="1" applyFont="1" applyBorder="1" applyAlignment="1">
      <alignment horizontal="right" vertical="center"/>
    </xf>
    <xf numFmtId="3" fontId="5" fillId="0" borderId="13" xfId="2" applyNumberFormat="1" applyFont="1" applyBorder="1" applyAlignment="1">
      <alignment horizontal="left" vertical="center"/>
    </xf>
    <xf numFmtId="3" fontId="5" fillId="0" borderId="12" xfId="2" applyNumberFormat="1" applyFont="1" applyBorder="1" applyAlignment="1">
      <alignment horizontal="left" vertical="center"/>
    </xf>
    <xf numFmtId="3" fontId="6" fillId="0" borderId="12" xfId="2" applyNumberFormat="1" applyFont="1" applyBorder="1" applyAlignment="1">
      <alignment vertical="center"/>
    </xf>
    <xf numFmtId="176" fontId="7" fillId="0" borderId="14" xfId="3" applyNumberFormat="1" applyFont="1" applyBorder="1"/>
    <xf numFmtId="3" fontId="5" fillId="0" borderId="15" xfId="2" applyNumberFormat="1" applyFont="1" applyBorder="1" applyAlignment="1">
      <alignment horizontal="left" vertical="center"/>
    </xf>
    <xf numFmtId="3" fontId="5" fillId="0" borderId="16" xfId="2" applyNumberFormat="1" applyFont="1" applyBorder="1" applyAlignment="1">
      <alignment horizontal="left" vertical="center"/>
    </xf>
    <xf numFmtId="3" fontId="5" fillId="0" borderId="17" xfId="2" applyNumberFormat="1" applyFont="1" applyBorder="1" applyAlignment="1">
      <alignment horizontal="right" vertical="center"/>
    </xf>
    <xf numFmtId="3" fontId="5" fillId="0" borderId="18" xfId="2" applyNumberFormat="1" applyFont="1" applyBorder="1" applyAlignment="1">
      <alignment horizontal="left" vertical="center"/>
    </xf>
    <xf numFmtId="3" fontId="5" fillId="0" borderId="19" xfId="2" applyNumberFormat="1" applyFont="1" applyBorder="1" applyAlignment="1">
      <alignment horizontal="left" vertical="center"/>
    </xf>
    <xf numFmtId="3" fontId="6" fillId="0" borderId="7" xfId="2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left" vertical="center"/>
    </xf>
    <xf numFmtId="177" fontId="7" fillId="0" borderId="0" xfId="3" applyNumberFormat="1" applyFont="1"/>
    <xf numFmtId="10" fontId="7" fillId="0" borderId="19" xfId="3" applyNumberFormat="1" applyFont="1" applyBorder="1"/>
    <xf numFmtId="10" fontId="7" fillId="0" borderId="0" xfId="3" applyNumberFormat="1" applyFont="1"/>
    <xf numFmtId="176" fontId="7" fillId="0" borderId="19" xfId="3" applyNumberFormat="1" applyFont="1" applyBorder="1"/>
    <xf numFmtId="178" fontId="7" fillId="0" borderId="19" xfId="3" applyNumberFormat="1" applyFont="1" applyBorder="1"/>
    <xf numFmtId="176" fontId="7" fillId="0" borderId="0" xfId="3" applyNumberFormat="1" applyFont="1"/>
    <xf numFmtId="3" fontId="5" fillId="0" borderId="14" xfId="2" applyNumberFormat="1" applyFont="1" applyBorder="1" applyAlignment="1">
      <alignment horizontal="left" vertical="center"/>
    </xf>
    <xf numFmtId="3" fontId="5" fillId="0" borderId="11" xfId="2" applyNumberFormat="1" applyFont="1" applyBorder="1" applyAlignment="1">
      <alignment vertical="center"/>
    </xf>
    <xf numFmtId="176" fontId="7" fillId="0" borderId="10" xfId="3" applyNumberFormat="1" applyFont="1" applyBorder="1"/>
    <xf numFmtId="3" fontId="5" fillId="0" borderId="20" xfId="2" applyNumberFormat="1" applyFont="1" applyBorder="1" applyAlignment="1">
      <alignment horizontal="left" vertical="center"/>
    </xf>
    <xf numFmtId="3" fontId="5" fillId="0" borderId="21" xfId="2" applyNumberFormat="1" applyFont="1" applyBorder="1" applyAlignment="1">
      <alignment horizontal="left" vertical="center"/>
    </xf>
    <xf numFmtId="3" fontId="5" fillId="0" borderId="22" xfId="2" applyNumberFormat="1" applyFont="1" applyBorder="1" applyAlignment="1">
      <alignment vertical="center"/>
    </xf>
    <xf numFmtId="3" fontId="6" fillId="0" borderId="22" xfId="2" applyNumberFormat="1" applyFont="1" applyBorder="1" applyAlignment="1">
      <alignment horizontal="right" vertical="center"/>
    </xf>
    <xf numFmtId="3" fontId="5" fillId="0" borderId="23" xfId="2" applyNumberFormat="1" applyFont="1" applyBorder="1" applyAlignment="1">
      <alignment horizontal="left" vertical="center"/>
    </xf>
    <xf numFmtId="3" fontId="5" fillId="0" borderId="24" xfId="2" applyNumberFormat="1" applyFont="1" applyBorder="1" applyAlignment="1">
      <alignment horizontal="left" vertical="center"/>
    </xf>
    <xf numFmtId="3" fontId="5" fillId="0" borderId="22" xfId="2" applyNumberFormat="1" applyFont="1" applyBorder="1" applyAlignment="1">
      <alignment horizontal="right" vertical="center"/>
    </xf>
    <xf numFmtId="176" fontId="7" fillId="0" borderId="25" xfId="3" applyNumberFormat="1" applyFont="1" applyBorder="1"/>
    <xf numFmtId="3" fontId="5" fillId="0" borderId="21" xfId="2" applyNumberFormat="1" applyFont="1" applyBorder="1" applyAlignment="1">
      <alignment vertical="center"/>
    </xf>
    <xf numFmtId="9" fontId="7" fillId="0" borderId="25" xfId="3" applyFont="1" applyBorder="1"/>
    <xf numFmtId="3" fontId="1" fillId="0" borderId="0" xfId="2" applyNumberFormat="1"/>
    <xf numFmtId="9" fontId="7" fillId="0" borderId="26" xfId="3" applyFont="1" applyBorder="1"/>
    <xf numFmtId="9" fontId="6" fillId="0" borderId="26" xfId="3" applyFont="1" applyBorder="1"/>
    <xf numFmtId="3" fontId="5" fillId="0" borderId="26" xfId="2" applyNumberFormat="1" applyFont="1" applyBorder="1" applyAlignment="1">
      <alignment horizontal="left" vertical="center"/>
    </xf>
    <xf numFmtId="3" fontId="5" fillId="0" borderId="27" xfId="2" applyNumberFormat="1" applyFont="1" applyBorder="1" applyAlignment="1">
      <alignment horizontal="left" vertical="center"/>
    </xf>
    <xf numFmtId="3" fontId="5" fillId="0" borderId="28" xfId="2" applyNumberFormat="1" applyFont="1" applyBorder="1" applyAlignment="1">
      <alignment horizontal="left" vertical="center"/>
    </xf>
    <xf numFmtId="3" fontId="5" fillId="0" borderId="29" xfId="2" applyNumberFormat="1" applyFont="1" applyBorder="1" applyAlignment="1">
      <alignment horizontal="left" vertical="center"/>
    </xf>
    <xf numFmtId="3" fontId="5" fillId="0" borderId="30" xfId="2" applyNumberFormat="1" applyFont="1" applyBorder="1" applyAlignment="1">
      <alignment horizontal="left" vertical="center"/>
    </xf>
    <xf numFmtId="3" fontId="5" fillId="0" borderId="31" xfId="2" applyNumberFormat="1" applyFont="1" applyBorder="1" applyAlignment="1">
      <alignment vertical="center"/>
    </xf>
    <xf numFmtId="3" fontId="5" fillId="0" borderId="31" xfId="2" applyNumberFormat="1" applyFont="1" applyBorder="1" applyAlignment="1">
      <alignment horizontal="right" vertical="center"/>
    </xf>
    <xf numFmtId="3" fontId="5" fillId="0" borderId="32" xfId="2" applyNumberFormat="1" applyFont="1" applyBorder="1" applyAlignment="1">
      <alignment horizontal="left" vertical="center"/>
    </xf>
    <xf numFmtId="0" fontId="1" fillId="0" borderId="0" xfId="2" applyAlignment="1">
      <alignment vertical="center"/>
    </xf>
    <xf numFmtId="3" fontId="4" fillId="0" borderId="33" xfId="2" applyNumberFormat="1" applyFont="1" applyBorder="1" applyAlignment="1">
      <alignment horizontal="center" vertical="center"/>
    </xf>
    <xf numFmtId="3" fontId="5" fillId="0" borderId="12" xfId="2" applyNumberFormat="1" applyFont="1" applyBorder="1" applyAlignment="1">
      <alignment horizontal="center" vertical="center"/>
    </xf>
    <xf numFmtId="179" fontId="11" fillId="2" borderId="12" xfId="2" applyNumberFormat="1" applyFont="1" applyFill="1" applyBorder="1" applyAlignment="1">
      <alignment vertical="center"/>
    </xf>
    <xf numFmtId="179" fontId="5" fillId="0" borderId="12" xfId="2" applyNumberFormat="1" applyFont="1" applyBorder="1" applyAlignment="1">
      <alignment vertical="center"/>
    </xf>
    <xf numFmtId="179" fontId="11" fillId="0" borderId="12" xfId="2" applyNumberFormat="1" applyFont="1" applyFill="1" applyBorder="1" applyAlignment="1">
      <alignment vertical="center"/>
    </xf>
    <xf numFmtId="180" fontId="11" fillId="0" borderId="12" xfId="2" applyNumberFormat="1" applyFont="1" applyFill="1" applyBorder="1" applyAlignment="1">
      <alignment vertical="center"/>
    </xf>
    <xf numFmtId="181" fontId="5" fillId="0" borderId="12" xfId="2" applyNumberFormat="1" applyFont="1" applyBorder="1" applyAlignment="1">
      <alignment vertical="center"/>
    </xf>
    <xf numFmtId="4" fontId="5" fillId="0" borderId="12" xfId="2" applyNumberFormat="1" applyFont="1" applyBorder="1" applyAlignment="1">
      <alignment vertical="center"/>
    </xf>
    <xf numFmtId="180" fontId="5" fillId="0" borderId="12" xfId="2" applyNumberFormat="1" applyFont="1" applyBorder="1" applyAlignment="1">
      <alignment vertical="center"/>
    </xf>
    <xf numFmtId="3" fontId="6" fillId="0" borderId="12" xfId="2" applyNumberFormat="1" applyFont="1" applyBorder="1" applyAlignment="1">
      <alignment horizontal="left" vertical="center"/>
    </xf>
    <xf numFmtId="3" fontId="5" fillId="0" borderId="34" xfId="2" applyNumberFormat="1" applyFont="1" applyBorder="1" applyAlignment="1">
      <alignment horizontal="left" vertical="center"/>
    </xf>
    <xf numFmtId="3" fontId="6" fillId="0" borderId="21" xfId="2" applyNumberFormat="1" applyFont="1" applyBorder="1" applyAlignment="1">
      <alignment horizontal="left" vertical="center"/>
    </xf>
    <xf numFmtId="182" fontId="6" fillId="0" borderId="21" xfId="0" applyNumberFormat="1" applyFont="1" applyBorder="1" applyAlignment="1">
      <alignment vertical="center"/>
    </xf>
    <xf numFmtId="3" fontId="5" fillId="0" borderId="22" xfId="2" applyNumberFormat="1" applyFont="1" applyBorder="1" applyAlignment="1">
      <alignment horizontal="center" vertical="center"/>
    </xf>
    <xf numFmtId="3" fontId="5" fillId="0" borderId="35" xfId="2" applyNumberFormat="1" applyFont="1" applyBorder="1" applyAlignment="1">
      <alignment horizontal="left" vertical="center"/>
    </xf>
    <xf numFmtId="3" fontId="5" fillId="0" borderId="31" xfId="2" applyNumberFormat="1" applyFont="1" applyBorder="1" applyAlignment="1">
      <alignment horizontal="left" vertical="center"/>
    </xf>
    <xf numFmtId="3" fontId="5" fillId="0" borderId="31" xfId="2" applyNumberFormat="1" applyFont="1" applyBorder="1" applyAlignment="1">
      <alignment horizontal="center" vertical="center"/>
    </xf>
    <xf numFmtId="3" fontId="5" fillId="0" borderId="36" xfId="2" applyNumberFormat="1" applyFont="1" applyBorder="1" applyAlignment="1">
      <alignment vertical="center"/>
    </xf>
    <xf numFmtId="3" fontId="5" fillId="0" borderId="37" xfId="2" applyNumberFormat="1" applyFont="1" applyBorder="1" applyAlignment="1">
      <alignment vertical="center"/>
    </xf>
    <xf numFmtId="3" fontId="5" fillId="0" borderId="38" xfId="2" applyNumberFormat="1" applyFont="1" applyBorder="1" applyAlignment="1">
      <alignment vertical="center"/>
    </xf>
    <xf numFmtId="182" fontId="0" fillId="3" borderId="39" xfId="0" applyNumberFormat="1" applyFill="1" applyBorder="1" applyAlignment="1">
      <alignment horizontal="center" vertical="center"/>
    </xf>
    <xf numFmtId="182" fontId="0" fillId="3" borderId="40" xfId="0" applyNumberFormat="1" applyFill="1" applyBorder="1" applyAlignment="1">
      <alignment horizontal="center" vertical="center"/>
    </xf>
    <xf numFmtId="182" fontId="0" fillId="3" borderId="41" xfId="0" applyNumberFormat="1" applyFill="1" applyBorder="1" applyAlignment="1">
      <alignment horizontal="center" vertical="center" wrapText="1"/>
    </xf>
    <xf numFmtId="182" fontId="0" fillId="3" borderId="42" xfId="0" applyNumberFormat="1" applyFill="1" applyBorder="1" applyAlignment="1">
      <alignment horizontal="center" vertical="center"/>
    </xf>
    <xf numFmtId="182" fontId="0" fillId="3" borderId="43" xfId="0" applyNumberFormat="1" applyFill="1" applyBorder="1" applyAlignment="1">
      <alignment horizontal="center" vertical="center"/>
    </xf>
    <xf numFmtId="182" fontId="0" fillId="3" borderId="44" xfId="0" applyNumberFormat="1" applyFill="1" applyBorder="1" applyAlignment="1">
      <alignment horizontal="center" vertical="center"/>
    </xf>
    <xf numFmtId="182" fontId="0" fillId="3" borderId="44" xfId="0" applyNumberFormat="1" applyFill="1" applyBorder="1" applyAlignment="1">
      <alignment horizontal="center" vertical="center"/>
    </xf>
    <xf numFmtId="182" fontId="0" fillId="3" borderId="45" xfId="0" applyNumberFormat="1" applyFill="1" applyBorder="1" applyAlignment="1">
      <alignment horizontal="center" vertical="center" wrapText="1"/>
    </xf>
    <xf numFmtId="182" fontId="0" fillId="0" borderId="42" xfId="0" applyNumberFormat="1" applyBorder="1" applyAlignment="1">
      <alignment horizontal="center" vertical="center"/>
    </xf>
    <xf numFmtId="182" fontId="0" fillId="0" borderId="46" xfId="0" applyNumberFormat="1" applyBorder="1" applyAlignment="1">
      <alignment vertical="center"/>
    </xf>
    <xf numFmtId="182" fontId="0" fillId="0" borderId="42" xfId="0" applyNumberFormat="1" applyBorder="1" applyAlignment="1">
      <alignment vertical="center"/>
    </xf>
    <xf numFmtId="183" fontId="0" fillId="0" borderId="42" xfId="0" applyNumberFormat="1" applyBorder="1" applyAlignment="1">
      <alignment vertical="center"/>
    </xf>
    <xf numFmtId="182" fontId="0" fillId="0" borderId="47" xfId="0" applyNumberFormat="1" applyBorder="1" applyAlignment="1">
      <alignment vertical="center" wrapText="1"/>
    </xf>
    <xf numFmtId="0" fontId="12" fillId="0" borderId="0" xfId="0" applyFont="1" applyAlignment="1">
      <alignment vertical="center"/>
    </xf>
    <xf numFmtId="0" fontId="13" fillId="0" borderId="42" xfId="0" applyFont="1" applyBorder="1" applyAlignment="1">
      <alignment vertical="center"/>
    </xf>
    <xf numFmtId="0" fontId="0" fillId="4" borderId="42" xfId="0" applyFill="1" applyBorder="1" applyAlignment="1">
      <alignment vertical="center"/>
    </xf>
    <xf numFmtId="0" fontId="0" fillId="5" borderId="42" xfId="0" applyFill="1" applyBorder="1" applyAlignment="1">
      <alignment vertical="center"/>
    </xf>
    <xf numFmtId="0" fontId="14" fillId="0" borderId="42" xfId="0" applyFont="1" applyBorder="1" applyAlignment="1">
      <alignment vertical="center"/>
    </xf>
    <xf numFmtId="185" fontId="9" fillId="0" borderId="2" xfId="1" applyNumberFormat="1" applyBorder="1" applyAlignment="1">
      <alignment vertical="center"/>
    </xf>
    <xf numFmtId="182" fontId="0" fillId="0" borderId="42" xfId="0" applyNumberFormat="1" applyBorder="1" applyAlignment="1">
      <alignment horizontal="right" vertical="center"/>
    </xf>
    <xf numFmtId="186" fontId="0" fillId="0" borderId="42" xfId="0" applyNumberFormat="1" applyBorder="1" applyAlignment="1">
      <alignment vertical="center"/>
    </xf>
    <xf numFmtId="182" fontId="0" fillId="0" borderId="43" xfId="0" applyNumberFormat="1" applyBorder="1" applyAlignment="1">
      <alignment horizontal="center" vertical="center"/>
    </xf>
    <xf numFmtId="182" fontId="0" fillId="0" borderId="44" xfId="0" applyNumberFormat="1" applyBorder="1" applyAlignment="1">
      <alignment horizontal="center" vertical="center"/>
    </xf>
    <xf numFmtId="182" fontId="0" fillId="0" borderId="45" xfId="0" applyNumberFormat="1" applyBorder="1" applyAlignment="1">
      <alignment horizontal="center" vertical="center" wrapText="1"/>
    </xf>
  </cellXfs>
  <cellStyles count="4">
    <cellStyle name="백분율 2" xfId="3"/>
    <cellStyle name="쉼표 [0]" xfId="1" builtinId="6"/>
    <cellStyle name="표준" xfId="0" builtinId="0"/>
    <cellStyle name="표준 2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6&#49345;&#48152;&#44592;/06.&#49688;&#46020;&#44428;&#46041;&#48512;&#48376;&#48512;/03.&#46020;&#48393;&#44256;&#44032;/&#46020;&#48393;&#44256;&#44032;%20&#48372;&#44053;&#44277;&#49324;%20(1)/(&#49688;&#51221;)2._&#50696;&#49328;&#47749;&#49464;&#49436;(&#44221;&#50896;&#49440;_&#46020;&#48393;&#44256;&#44032;_&#48372;&#49688;&#44277;&#49324;-0623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5;2026/1.%20&#49688;&#46020;&#44428;&#46041;&#48512;&#48376;&#48512;/39.%20&#44221;&#50896;&#49440;%20&#54620;&#45224;~&#50725;&#49688;%206.400km%20&#50808;%201&#44060;&#49548;%20&#51089;&#50629;&#51088;%20&#51060;&#46041;&#53685;&#47196;%20&#54869;&#48372;&#44277;&#49324;(&#48149;&#46041;&#55064;,%20&#51076;&#51333;&#44540;)V3/1.%20&#44228;&#50557;&#50836;&#52397;/&#48537;&#51076;%202.%20&#49444;&#44228;&#46020;&#49436;/2.&#46020;&#44553;&#50696;&#49328;&#45236;&#50669;&#49436;/R11.&#51089;&#50629;&#51088;%20&#51060;&#46041;&#53685;&#47196;%20&#54869;&#48372;&#44277;&#49324;_2026.09.09_&#54620;&#45224;-&#50725;&#49688;-&#51025;&#48393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2026&#49345;&#48152;&#44592;/06.&#49688;&#46020;&#44428;&#46041;&#48512;&#48376;&#48512;/04.&#49457;&#44284;&#54408;/&#51060;&#51204;&#49457;&#44284;/03.&#45236;&#50669;&#49436;/01.&#51089;&#50629;&#51088;%20&#51060;&#46041;&#53685;&#47196;%20&#54869;&#48372;&#44277;&#49324;(&#54620;&#45224;-&#51025;&#48393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5;2026/1.%20&#49688;&#46020;&#44428;&#46041;&#48512;&#48376;&#48512;/39.%20&#44221;&#50896;&#49440;%20&#54620;&#45224;~&#50725;&#49688;%206.400km%20&#50808;%201&#44060;&#49548;%20&#51089;&#50629;&#51088;%20&#51060;&#46041;&#53685;&#47196;%20&#54869;&#48372;&#44277;&#49324;(&#48149;&#46041;&#55064;,%20&#51076;&#51333;&#44540;)V3/1.%20&#44228;&#50557;&#50836;&#52397;/&#48537;&#51076;%202.%20&#49444;&#44228;&#46020;&#49436;/2.&#46020;&#44553;&#50696;&#49328;&#45236;&#50669;&#49436;/R13.&#46020;&#44553;&#50696;&#49328;&#45236;&#50669;&#49436;%20&#51089;&#50629;&#51088;_&#51060;&#46041;&#53685;&#47196;_&#54869;&#48372;&#44277;&#49324;_2026.09.17_&#54620;&#45224;-&#50725;&#49688;-&#51025;&#48393;(&#49688;&#5122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도급내역서"/>
      <sheetName val="원가계산서"/>
      <sheetName val="내역서총괄표"/>
      <sheetName val="내역서"/>
      <sheetName val="일위대가총괄표"/>
      <sheetName val="일위대가"/>
      <sheetName val="단가산출총괄표"/>
      <sheetName val="단가산출"/>
      <sheetName val="기계경비총괄표"/>
      <sheetName val="기계경비"/>
      <sheetName val="기계경비적용기준"/>
      <sheetName val="견적단가"/>
      <sheetName val="자재단가"/>
      <sheetName val="노임단가"/>
      <sheetName val="Sheet1"/>
    </sheetNames>
    <sheetDataSet>
      <sheetData sheetId="0"/>
      <sheetData sheetId="1"/>
      <sheetData sheetId="2"/>
      <sheetData sheetId="3"/>
      <sheetData sheetId="4">
        <row r="26">
          <cell r="H26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도급내역서"/>
      <sheetName val="원가계산서"/>
      <sheetName val="내역서총괄표"/>
      <sheetName val="내역서"/>
      <sheetName val="일위대가목록"/>
      <sheetName val="일위대가_호표"/>
      <sheetName val="일위대가_산근"/>
      <sheetName val="중기사용료목록"/>
      <sheetName val="중기사용료"/>
      <sheetName val="중기기초자료"/>
      <sheetName val="자재"/>
      <sheetName val="노임"/>
      <sheetName val="경비"/>
      <sheetName val="자재조서"/>
      <sheetName val="전역변수"/>
      <sheetName val="중기전역변수"/>
      <sheetName val="Sheet3"/>
    </sheetNames>
    <sheetDataSet>
      <sheetData sheetId="0"/>
      <sheetData sheetId="1"/>
      <sheetData sheetId="2"/>
      <sheetData sheetId="3"/>
      <sheetData sheetId="4">
        <row r="33">
          <cell r="F33">
            <v>996000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도급내역서"/>
      <sheetName val="원가계산서"/>
      <sheetName val="내역서총괄표"/>
      <sheetName val="내역서"/>
      <sheetName val="일위대가목록"/>
      <sheetName val="일위대가_호표"/>
      <sheetName val="일위대가_산근"/>
      <sheetName val="중기사용료목록"/>
      <sheetName val="중기사용료"/>
      <sheetName val="중기기초자료"/>
      <sheetName val="자재"/>
      <sheetName val="노임"/>
      <sheetName val="경비"/>
      <sheetName val="자재조서"/>
      <sheetName val="전역변수"/>
      <sheetName val="중기전역변수"/>
      <sheetName val="Sheet3"/>
    </sheetNames>
    <sheetDataSet>
      <sheetData sheetId="0" refreshError="1"/>
      <sheetData sheetId="1"/>
      <sheetData sheetId="2"/>
      <sheetData sheetId="3"/>
      <sheetData sheetId="4">
        <row r="13">
          <cell r="H13">
            <v>0</v>
          </cell>
          <cell r="L13">
            <v>0</v>
          </cell>
        </row>
        <row r="14">
          <cell r="H14">
            <v>0</v>
          </cell>
          <cell r="J14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도급내역서"/>
      <sheetName val="원가계산서"/>
      <sheetName val="내역서총괄표"/>
      <sheetName val="내역서"/>
      <sheetName val="일위대가목록"/>
      <sheetName val="일위대가_호표"/>
      <sheetName val="일위대가_산근"/>
      <sheetName val="중기사용료목록"/>
      <sheetName val="중기사용료"/>
      <sheetName val="중기기초자료"/>
      <sheetName val="자재"/>
      <sheetName val="노임"/>
      <sheetName val="경비"/>
      <sheetName val="자재조서"/>
      <sheetName val="전역변수"/>
      <sheetName val="중기전역변수"/>
      <sheetName val="Sheet3"/>
    </sheetNames>
    <sheetDataSet>
      <sheetData sheetId="0"/>
      <sheetData sheetId="1"/>
      <sheetData sheetId="2"/>
      <sheetData sheetId="3"/>
      <sheetData sheetId="4"/>
      <sheetData sheetId="5">
        <row r="3">
          <cell r="F3">
            <v>0</v>
          </cell>
          <cell r="G3">
            <v>0</v>
          </cell>
          <cell r="H3">
            <v>1176980</v>
          </cell>
        </row>
        <row r="4">
          <cell r="F4">
            <v>0</v>
          </cell>
          <cell r="G4">
            <v>0</v>
          </cell>
          <cell r="H4">
            <v>1084980</v>
          </cell>
        </row>
        <row r="5">
          <cell r="F5">
            <v>0</v>
          </cell>
          <cell r="G5">
            <v>0</v>
          </cell>
          <cell r="H5">
            <v>133576</v>
          </cell>
        </row>
        <row r="6">
          <cell r="F6">
            <v>413</v>
          </cell>
          <cell r="G6">
            <v>4551</v>
          </cell>
          <cell r="H6">
            <v>0</v>
          </cell>
        </row>
        <row r="7">
          <cell r="F7">
            <v>0</v>
          </cell>
          <cell r="G7">
            <v>0</v>
          </cell>
          <cell r="H7">
            <v>179052</v>
          </cell>
        </row>
        <row r="8">
          <cell r="F8">
            <v>0</v>
          </cell>
          <cell r="G8">
            <v>0</v>
          </cell>
          <cell r="H8">
            <v>172698</v>
          </cell>
        </row>
        <row r="9">
          <cell r="F9">
            <v>0</v>
          </cell>
          <cell r="G9">
            <v>0</v>
          </cell>
          <cell r="H9">
            <v>259047</v>
          </cell>
        </row>
        <row r="10">
          <cell r="F10">
            <v>0</v>
          </cell>
          <cell r="G10">
            <v>0</v>
          </cell>
          <cell r="H10">
            <v>20000</v>
          </cell>
        </row>
        <row r="11">
          <cell r="F11">
            <v>0</v>
          </cell>
          <cell r="G11">
            <v>0</v>
          </cell>
          <cell r="H11">
            <v>34723</v>
          </cell>
        </row>
        <row r="12">
          <cell r="F12">
            <v>0</v>
          </cell>
          <cell r="G12">
            <v>0</v>
          </cell>
          <cell r="H12">
            <v>3822</v>
          </cell>
        </row>
        <row r="13">
          <cell r="F13">
            <v>0</v>
          </cell>
          <cell r="G13">
            <v>0</v>
          </cell>
          <cell r="H13">
            <v>172698</v>
          </cell>
        </row>
        <row r="14">
          <cell r="F14">
            <v>0</v>
          </cell>
          <cell r="G14">
            <v>0</v>
          </cell>
          <cell r="H14">
            <v>172698</v>
          </cell>
        </row>
        <row r="15">
          <cell r="F15">
            <v>0</v>
          </cell>
          <cell r="G15">
            <v>0</v>
          </cell>
          <cell r="H15">
            <v>45000</v>
          </cell>
        </row>
        <row r="16">
          <cell r="F16">
            <v>0</v>
          </cell>
          <cell r="G16">
            <v>0</v>
          </cell>
          <cell r="H16">
            <v>75000</v>
          </cell>
        </row>
        <row r="17">
          <cell r="F17">
            <v>29</v>
          </cell>
          <cell r="G17">
            <v>490</v>
          </cell>
          <cell r="H17">
            <v>0</v>
          </cell>
        </row>
        <row r="18">
          <cell r="F18">
            <v>531</v>
          </cell>
          <cell r="G18">
            <v>23612</v>
          </cell>
          <cell r="H18">
            <v>246</v>
          </cell>
        </row>
        <row r="19">
          <cell r="F19">
            <v>54114</v>
          </cell>
          <cell r="G19">
            <v>186358</v>
          </cell>
          <cell r="H19">
            <v>6148</v>
          </cell>
        </row>
        <row r="20">
          <cell r="F20">
            <v>225990</v>
          </cell>
          <cell r="G20">
            <v>146940</v>
          </cell>
          <cell r="H20">
            <v>2060</v>
          </cell>
        </row>
        <row r="21">
          <cell r="F21">
            <v>0</v>
          </cell>
          <cell r="G21">
            <v>63532</v>
          </cell>
          <cell r="H21">
            <v>0</v>
          </cell>
        </row>
        <row r="22">
          <cell r="F22">
            <v>674</v>
          </cell>
          <cell r="G22">
            <v>12912</v>
          </cell>
          <cell r="H22">
            <v>693</v>
          </cell>
        </row>
        <row r="23">
          <cell r="F23">
            <v>0</v>
          </cell>
          <cell r="G23">
            <v>34539</v>
          </cell>
          <cell r="H23">
            <v>0</v>
          </cell>
        </row>
        <row r="24">
          <cell r="F24">
            <v>68680</v>
          </cell>
          <cell r="G24">
            <v>2289361</v>
          </cell>
          <cell r="H24">
            <v>114468</v>
          </cell>
        </row>
        <row r="25">
          <cell r="F25">
            <v>93460</v>
          </cell>
          <cell r="G25">
            <v>5841265</v>
          </cell>
          <cell r="H25">
            <v>155767</v>
          </cell>
        </row>
        <row r="26">
          <cell r="F26">
            <v>81120</v>
          </cell>
          <cell r="G26">
            <v>572762</v>
          </cell>
          <cell r="H26">
            <v>292752</v>
          </cell>
        </row>
        <row r="27">
          <cell r="F27">
            <v>0</v>
          </cell>
          <cell r="G27">
            <v>60173</v>
          </cell>
          <cell r="H27">
            <v>0</v>
          </cell>
        </row>
        <row r="28">
          <cell r="F28">
            <v>0</v>
          </cell>
          <cell r="G28">
            <v>104665</v>
          </cell>
          <cell r="H28">
            <v>0</v>
          </cell>
        </row>
        <row r="29">
          <cell r="F29">
            <v>9900</v>
          </cell>
          <cell r="G29">
            <v>70334</v>
          </cell>
          <cell r="H29">
            <v>0</v>
          </cell>
        </row>
        <row r="30">
          <cell r="F30">
            <v>59475</v>
          </cell>
          <cell r="G30">
            <v>2973755</v>
          </cell>
          <cell r="H30">
            <v>118950</v>
          </cell>
        </row>
        <row r="31">
          <cell r="F31">
            <v>81022</v>
          </cell>
          <cell r="G31">
            <v>4051101</v>
          </cell>
          <cell r="H31">
            <v>162044</v>
          </cell>
        </row>
        <row r="32">
          <cell r="F32">
            <v>93460</v>
          </cell>
          <cell r="G32">
            <v>3115341</v>
          </cell>
          <cell r="H32">
            <v>155767</v>
          </cell>
        </row>
        <row r="33">
          <cell r="F33">
            <v>6305</v>
          </cell>
          <cell r="G33">
            <v>13194</v>
          </cell>
          <cell r="H33">
            <v>4038</v>
          </cell>
        </row>
        <row r="34">
          <cell r="F34">
            <v>81120</v>
          </cell>
          <cell r="G34">
            <v>400064</v>
          </cell>
          <cell r="H34">
            <v>292752</v>
          </cell>
        </row>
        <row r="35">
          <cell r="F35">
            <v>1258</v>
          </cell>
          <cell r="G35">
            <v>33643</v>
          </cell>
          <cell r="H35">
            <v>1423</v>
          </cell>
        </row>
        <row r="36">
          <cell r="F36">
            <v>81120</v>
          </cell>
          <cell r="G36">
            <v>400064</v>
          </cell>
          <cell r="H36">
            <v>292752</v>
          </cell>
        </row>
        <row r="37">
          <cell r="F37">
            <v>9884</v>
          </cell>
          <cell r="G37">
            <v>9873</v>
          </cell>
          <cell r="H37">
            <v>0</v>
          </cell>
        </row>
        <row r="38">
          <cell r="F38">
            <v>92554</v>
          </cell>
          <cell r="G38">
            <v>891755</v>
          </cell>
          <cell r="H38">
            <v>22940</v>
          </cell>
        </row>
        <row r="39">
          <cell r="F39">
            <v>76067</v>
          </cell>
          <cell r="G39">
            <v>88421</v>
          </cell>
          <cell r="H39">
            <v>45945</v>
          </cell>
        </row>
        <row r="40">
          <cell r="F40">
            <v>36</v>
          </cell>
          <cell r="G40">
            <v>1067</v>
          </cell>
          <cell r="H40">
            <v>148</v>
          </cell>
        </row>
        <row r="41">
          <cell r="F41">
            <v>38</v>
          </cell>
          <cell r="G41">
            <v>407</v>
          </cell>
          <cell r="H41">
            <v>66</v>
          </cell>
        </row>
        <row r="42">
          <cell r="F42">
            <v>9851</v>
          </cell>
          <cell r="G42">
            <v>60062</v>
          </cell>
          <cell r="H42">
            <v>4929</v>
          </cell>
        </row>
        <row r="52">
          <cell r="F52">
            <v>8410</v>
          </cell>
          <cell r="G52">
            <v>7001</v>
          </cell>
          <cell r="H52">
            <v>0</v>
          </cell>
        </row>
        <row r="53">
          <cell r="F53">
            <v>35705</v>
          </cell>
          <cell r="G53">
            <v>7001</v>
          </cell>
          <cell r="H53">
            <v>0</v>
          </cell>
        </row>
        <row r="54">
          <cell r="F54">
            <v>25750</v>
          </cell>
          <cell r="G54">
            <v>4401</v>
          </cell>
          <cell r="H54">
            <v>0</v>
          </cell>
        </row>
        <row r="56">
          <cell r="H56">
            <v>21040000</v>
          </cell>
        </row>
        <row r="57">
          <cell r="H57">
            <v>240000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>
        <row r="10">
          <cell r="D10">
            <v>0</v>
          </cell>
          <cell r="E10">
            <v>0</v>
          </cell>
          <cell r="F10">
            <v>41273</v>
          </cell>
        </row>
        <row r="11">
          <cell r="D11">
            <v>0</v>
          </cell>
          <cell r="E11">
            <v>0</v>
          </cell>
          <cell r="F11">
            <v>42000</v>
          </cell>
          <cell r="G11">
            <v>42000</v>
          </cell>
        </row>
        <row r="12">
          <cell r="D12">
            <v>0</v>
          </cell>
          <cell r="E12">
            <v>0</v>
          </cell>
          <cell r="F12">
            <v>700000</v>
          </cell>
          <cell r="G12">
            <v>700000</v>
          </cell>
        </row>
        <row r="13">
          <cell r="D13">
            <v>0</v>
          </cell>
          <cell r="E13">
            <v>0</v>
          </cell>
          <cell r="F13">
            <v>50000</v>
          </cell>
        </row>
        <row r="14">
          <cell r="D14">
            <v>0</v>
          </cell>
          <cell r="E14">
            <v>0</v>
          </cell>
        </row>
        <row r="15">
          <cell r="D15">
            <v>0</v>
          </cell>
          <cell r="E15">
            <v>0</v>
          </cell>
        </row>
      </sheetData>
      <sheetData sheetId="14">
        <row r="5">
          <cell r="E5">
            <v>940000</v>
          </cell>
        </row>
        <row r="7">
          <cell r="E7">
            <v>851400</v>
          </cell>
        </row>
        <row r="8">
          <cell r="E8">
            <v>4022</v>
          </cell>
        </row>
        <row r="10">
          <cell r="E10">
            <v>1861351</v>
          </cell>
        </row>
        <row r="11">
          <cell r="E11">
            <v>1437500</v>
          </cell>
        </row>
        <row r="12">
          <cell r="E12">
            <v>1437500</v>
          </cell>
        </row>
        <row r="13">
          <cell r="E13">
            <v>10148</v>
          </cell>
        </row>
        <row r="14">
          <cell r="E14">
            <v>8840</v>
          </cell>
        </row>
        <row r="15">
          <cell r="E15">
            <v>4234</v>
          </cell>
        </row>
        <row r="16">
          <cell r="E16">
            <v>10421</v>
          </cell>
        </row>
        <row r="19">
          <cell r="E19">
            <v>3550000</v>
          </cell>
        </row>
        <row r="20">
          <cell r="E20">
            <v>4660</v>
          </cell>
        </row>
        <row r="21">
          <cell r="E21">
            <v>10710</v>
          </cell>
        </row>
        <row r="22">
          <cell r="E22">
            <v>7510</v>
          </cell>
        </row>
        <row r="23">
          <cell r="E23">
            <v>14420</v>
          </cell>
        </row>
        <row r="24">
          <cell r="E24">
            <v>1730</v>
          </cell>
        </row>
        <row r="26">
          <cell r="E26">
            <v>32730</v>
          </cell>
        </row>
        <row r="38">
          <cell r="E38">
            <v>3400</v>
          </cell>
        </row>
        <row r="39">
          <cell r="E39">
            <v>10000</v>
          </cell>
        </row>
        <row r="40">
          <cell r="E40">
            <v>20000</v>
          </cell>
        </row>
        <row r="55">
          <cell r="E55">
            <v>950</v>
          </cell>
        </row>
        <row r="56">
          <cell r="E56">
            <v>-251</v>
          </cell>
        </row>
        <row r="57">
          <cell r="E57">
            <v>-1900000</v>
          </cell>
        </row>
        <row r="61">
          <cell r="E61">
            <v>48000</v>
          </cell>
        </row>
        <row r="62">
          <cell r="E62">
            <v>48000</v>
          </cell>
        </row>
        <row r="66">
          <cell r="E66">
            <v>210000</v>
          </cell>
        </row>
        <row r="67">
          <cell r="E67">
            <v>750000</v>
          </cell>
        </row>
        <row r="68">
          <cell r="E68">
            <v>402285</v>
          </cell>
        </row>
        <row r="69">
          <cell r="E69">
            <v>650000</v>
          </cell>
        </row>
        <row r="70">
          <cell r="E70">
            <v>3600</v>
          </cell>
        </row>
        <row r="71">
          <cell r="E71">
            <v>1000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8"/>
  <sheetViews>
    <sheetView tabSelected="1" view="pageBreakPreview" zoomScale="115" zoomScaleNormal="100" zoomScaleSheetLayoutView="115" workbookViewId="0">
      <pane ySplit="3" topLeftCell="A4" activePane="bottomLeft" state="frozen"/>
      <selection activeCell="D21" sqref="D21"/>
      <selection pane="bottomLeft" activeCell="H21" sqref="H20:H21"/>
    </sheetView>
  </sheetViews>
  <sheetFormatPr defaultRowHeight="12.75" x14ac:dyDescent="0.2"/>
  <cols>
    <col min="1" max="1" width="0.83203125" style="2" customWidth="1"/>
    <col min="2" max="3" width="4.83203125" style="2" customWidth="1"/>
    <col min="4" max="4" width="34.33203125" style="2" customWidth="1"/>
    <col min="5" max="5" width="8.1640625" style="2" customWidth="1"/>
    <col min="6" max="6" width="27.5" style="2" customWidth="1"/>
    <col min="7" max="7" width="10.1640625" style="2" bestFit="1" customWidth="1"/>
    <col min="8" max="8" width="63.33203125" style="2" customWidth="1"/>
    <col min="9" max="9" width="12.83203125" style="2" hidden="1" customWidth="1"/>
    <col min="10" max="10" width="9.6640625" style="2" hidden="1" customWidth="1"/>
    <col min="11" max="11" width="0" style="2" hidden="1" customWidth="1"/>
    <col min="12" max="12" width="11.5" style="2" hidden="1" customWidth="1"/>
    <col min="13" max="16384" width="9.33203125" style="2"/>
  </cols>
  <sheetData>
    <row r="1" spans="2:8" ht="24.95" customHeight="1" x14ac:dyDescent="0.2">
      <c r="B1" s="1" t="s">
        <v>0</v>
      </c>
      <c r="C1" s="1"/>
      <c r="D1" s="1"/>
      <c r="E1" s="1"/>
      <c r="F1" s="1"/>
      <c r="G1" s="1"/>
      <c r="H1" s="1"/>
    </row>
    <row r="2" spans="2:8" ht="9.9499999999999993" customHeight="1" x14ac:dyDescent="0.2">
      <c r="B2" s="3"/>
      <c r="C2" s="3"/>
      <c r="D2" s="3"/>
      <c r="E2" s="3"/>
      <c r="F2" s="3"/>
      <c r="G2" s="3"/>
      <c r="H2" s="3"/>
    </row>
    <row r="3" spans="2:8" ht="22.35" customHeight="1" x14ac:dyDescent="0.2">
      <c r="B3" s="4" t="s">
        <v>1</v>
      </c>
      <c r="C3" s="5"/>
      <c r="D3" s="5"/>
      <c r="E3" s="6" t="s">
        <v>2</v>
      </c>
      <c r="F3" s="7" t="s">
        <v>3</v>
      </c>
      <c r="G3" s="7" t="s">
        <v>4</v>
      </c>
      <c r="H3" s="8" t="s">
        <v>5</v>
      </c>
    </row>
    <row r="4" spans="2:8" ht="14.1" customHeight="1" x14ac:dyDescent="0.2">
      <c r="B4" s="9" t="s">
        <v>6</v>
      </c>
      <c r="C4" s="10" t="s">
        <v>7</v>
      </c>
      <c r="D4" s="11" t="s">
        <v>8</v>
      </c>
      <c r="E4" s="12" t="s">
        <v>9</v>
      </c>
      <c r="F4" s="13">
        <f>내역서총괄표!H11</f>
        <v>783433373</v>
      </c>
      <c r="G4" s="14" t="s">
        <v>6</v>
      </c>
      <c r="H4" s="15" t="s">
        <v>6</v>
      </c>
    </row>
    <row r="5" spans="2:8" ht="14.1" customHeight="1" x14ac:dyDescent="0.2">
      <c r="B5" s="9" t="s">
        <v>6</v>
      </c>
      <c r="C5" s="10" t="s">
        <v>10</v>
      </c>
      <c r="D5" s="11" t="s">
        <v>11</v>
      </c>
      <c r="E5" s="12" t="s">
        <v>12</v>
      </c>
      <c r="F5" s="14"/>
      <c r="G5" s="14" t="s">
        <v>6</v>
      </c>
      <c r="H5" s="15" t="s">
        <v>6</v>
      </c>
    </row>
    <row r="6" spans="2:8" ht="14.1" customHeight="1" x14ac:dyDescent="0.2">
      <c r="B6" s="9" t="s">
        <v>6</v>
      </c>
      <c r="C6" s="10" t="s">
        <v>13</v>
      </c>
      <c r="D6" s="16" t="s">
        <v>14</v>
      </c>
      <c r="E6" s="17" t="s">
        <v>15</v>
      </c>
      <c r="F6" s="18"/>
      <c r="G6" s="19" t="s">
        <v>6</v>
      </c>
      <c r="H6" s="20" t="s">
        <v>6</v>
      </c>
    </row>
    <row r="7" spans="2:8" ht="14.1" customHeight="1" x14ac:dyDescent="0.2">
      <c r="B7" s="9" t="s">
        <v>6</v>
      </c>
      <c r="C7" s="21" t="s">
        <v>6</v>
      </c>
      <c r="D7" s="16" t="s">
        <v>16</v>
      </c>
      <c r="E7" s="17" t="s">
        <v>17</v>
      </c>
      <c r="F7" s="18">
        <f>TRUNC((F4+F5+F6),0)</f>
        <v>783433373</v>
      </c>
      <c r="G7" s="19" t="s">
        <v>6</v>
      </c>
      <c r="H7" s="20" t="s">
        <v>18</v>
      </c>
    </row>
    <row r="8" spans="2:8" ht="14.1" customHeight="1" x14ac:dyDescent="0.2">
      <c r="B8" s="9" t="s">
        <v>19</v>
      </c>
      <c r="C8" s="10" t="s">
        <v>20</v>
      </c>
      <c r="D8" s="11" t="s">
        <v>21</v>
      </c>
      <c r="E8" s="12" t="s">
        <v>22</v>
      </c>
      <c r="F8" s="14">
        <f>내역서총괄표!I11</f>
        <v>683122222</v>
      </c>
      <c r="G8" s="14" t="s">
        <v>6</v>
      </c>
      <c r="H8" s="15" t="s">
        <v>6</v>
      </c>
    </row>
    <row r="9" spans="2:8" ht="14.1" customHeight="1" x14ac:dyDescent="0.2">
      <c r="B9" s="9" t="s">
        <v>23</v>
      </c>
      <c r="C9" s="10" t="s">
        <v>24</v>
      </c>
      <c r="D9" s="16" t="s">
        <v>25</v>
      </c>
      <c r="E9" s="17" t="s">
        <v>26</v>
      </c>
      <c r="F9" s="22">
        <f>TRUNC(F8*0.189,0)</f>
        <v>129110099</v>
      </c>
      <c r="G9" s="23">
        <v>0.189</v>
      </c>
      <c r="H9" s="20" t="s">
        <v>27</v>
      </c>
    </row>
    <row r="10" spans="2:8" ht="14.1" customHeight="1" x14ac:dyDescent="0.2">
      <c r="B10" s="9" t="s">
        <v>19</v>
      </c>
      <c r="C10" s="21" t="s">
        <v>13</v>
      </c>
      <c r="D10" s="16" t="s">
        <v>16</v>
      </c>
      <c r="E10" s="17" t="s">
        <v>28</v>
      </c>
      <c r="F10" s="18">
        <f>TRUNC((F8+F9),0)</f>
        <v>812232321</v>
      </c>
      <c r="G10" s="19" t="s">
        <v>6</v>
      </c>
      <c r="H10" s="20" t="s">
        <v>29</v>
      </c>
    </row>
    <row r="11" spans="2:8" ht="14.1" customHeight="1" x14ac:dyDescent="0.2">
      <c r="B11" s="9" t="s">
        <v>30</v>
      </c>
      <c r="C11" s="10" t="s">
        <v>6</v>
      </c>
      <c r="D11" s="24" t="s">
        <v>31</v>
      </c>
      <c r="E11" s="25" t="s">
        <v>32</v>
      </c>
      <c r="F11" s="26">
        <f>내역서총괄표!J11</f>
        <v>199225130</v>
      </c>
      <c r="G11" s="26" t="s">
        <v>6</v>
      </c>
      <c r="H11" s="27" t="s">
        <v>6</v>
      </c>
    </row>
    <row r="12" spans="2:8" ht="14.1" customHeight="1" x14ac:dyDescent="0.2">
      <c r="B12" s="9" t="s">
        <v>19</v>
      </c>
      <c r="C12" s="10" t="s">
        <v>6</v>
      </c>
      <c r="D12" s="28" t="s">
        <v>33</v>
      </c>
      <c r="E12" s="12" t="s">
        <v>34</v>
      </c>
      <c r="F12" s="13">
        <f>TRUNC(F10*0.0356,0)</f>
        <v>28915470</v>
      </c>
      <c r="G12" s="14" t="s">
        <v>35</v>
      </c>
      <c r="H12" s="15" t="s">
        <v>36</v>
      </c>
    </row>
    <row r="13" spans="2:8" ht="14.1" customHeight="1" x14ac:dyDescent="0.2">
      <c r="B13" s="9" t="s">
        <v>37</v>
      </c>
      <c r="C13" s="10" t="s">
        <v>6</v>
      </c>
      <c r="D13" s="28" t="s">
        <v>38</v>
      </c>
      <c r="E13" s="12" t="s">
        <v>39</v>
      </c>
      <c r="F13" s="13">
        <f>TRUNC(F10*0.0101,0)</f>
        <v>8203546</v>
      </c>
      <c r="G13" s="29" t="s">
        <v>40</v>
      </c>
      <c r="H13" s="30" t="s">
        <v>41</v>
      </c>
    </row>
    <row r="14" spans="2:8" ht="14.1" customHeight="1" x14ac:dyDescent="0.2">
      <c r="B14" s="9" t="s">
        <v>19</v>
      </c>
      <c r="C14" s="10" t="s">
        <v>42</v>
      </c>
      <c r="D14" s="28" t="s">
        <v>43</v>
      </c>
      <c r="E14" s="12" t="s">
        <v>44</v>
      </c>
      <c r="F14" s="13">
        <f>TRUNC(F8*0.03595,0)</f>
        <v>24558243</v>
      </c>
      <c r="G14" s="31">
        <v>3.5950000000000003E-2</v>
      </c>
      <c r="H14" s="15" t="s">
        <v>45</v>
      </c>
    </row>
    <row r="15" spans="2:8" ht="14.1" customHeight="1" x14ac:dyDescent="0.2">
      <c r="B15" s="9" t="s">
        <v>46</v>
      </c>
      <c r="C15" s="10" t="s">
        <v>6</v>
      </c>
      <c r="D15" s="28" t="s">
        <v>47</v>
      </c>
      <c r="E15" s="12" t="s">
        <v>48</v>
      </c>
      <c r="F15" s="13">
        <f>TRUNC(F8*0.0475,0)</f>
        <v>32448305</v>
      </c>
      <c r="G15" s="32">
        <v>4.7500000000000001E-2</v>
      </c>
      <c r="H15" s="15" t="s">
        <v>49</v>
      </c>
    </row>
    <row r="16" spans="2:8" ht="14.1" customHeight="1" x14ac:dyDescent="0.2">
      <c r="B16" s="9" t="s">
        <v>6</v>
      </c>
      <c r="C16" s="10" t="s">
        <v>6</v>
      </c>
      <c r="D16" s="28" t="s">
        <v>50</v>
      </c>
      <c r="E16" s="12" t="s">
        <v>51</v>
      </c>
      <c r="F16" s="13">
        <f>TRUNC(F14*0.1314,0)</f>
        <v>3226953</v>
      </c>
      <c r="G16" s="33">
        <v>0.13139999999999999</v>
      </c>
      <c r="H16" s="15" t="s">
        <v>52</v>
      </c>
    </row>
    <row r="17" spans="2:12" ht="14.1" customHeight="1" x14ac:dyDescent="0.2">
      <c r="B17" s="9" t="s">
        <v>53</v>
      </c>
      <c r="C17" s="10" t="s">
        <v>6</v>
      </c>
      <c r="D17" s="28" t="s">
        <v>54</v>
      </c>
      <c r="E17" s="12" t="s">
        <v>55</v>
      </c>
      <c r="F17" s="13">
        <f>TRUNC(F8*0.023,0)</f>
        <v>15711811</v>
      </c>
      <c r="G17" s="14" t="s">
        <v>56</v>
      </c>
      <c r="H17" s="15" t="s">
        <v>57</v>
      </c>
    </row>
    <row r="18" spans="2:12" ht="14.1" customHeight="1" x14ac:dyDescent="0.2">
      <c r="B18" s="9" t="s">
        <v>6</v>
      </c>
      <c r="C18" s="10" t="s">
        <v>6</v>
      </c>
      <c r="D18" s="28" t="s">
        <v>58</v>
      </c>
      <c r="E18" s="12" t="s">
        <v>59</v>
      </c>
      <c r="F18" s="13">
        <f>TRUNC((F7+F8+F11)*0.004,0)</f>
        <v>6663122</v>
      </c>
      <c r="G18" s="34">
        <v>4.0000000000000001E-3</v>
      </c>
      <c r="H18" s="15" t="s">
        <v>60</v>
      </c>
    </row>
    <row r="19" spans="2:12" ht="14.1" customHeight="1" x14ac:dyDescent="0.2">
      <c r="B19" s="9" t="s">
        <v>19</v>
      </c>
      <c r="C19" s="10" t="s">
        <v>6</v>
      </c>
      <c r="D19" s="28" t="s">
        <v>61</v>
      </c>
      <c r="E19" s="12" t="s">
        <v>62</v>
      </c>
      <c r="F19" s="13">
        <f>TRUNC((((F7+F8)*0.0253)+3300000),0)</f>
        <v>40403856</v>
      </c>
      <c r="G19" s="33">
        <v>2.53E-2</v>
      </c>
      <c r="H19" s="15" t="s">
        <v>63</v>
      </c>
    </row>
    <row r="20" spans="2:12" ht="14.1" customHeight="1" x14ac:dyDescent="0.2">
      <c r="B20" s="9"/>
      <c r="C20" s="10"/>
      <c r="D20" s="28" t="s">
        <v>64</v>
      </c>
      <c r="E20" s="12">
        <v>15</v>
      </c>
      <c r="F20" s="13">
        <v>0</v>
      </c>
      <c r="G20" s="33">
        <v>2E-3</v>
      </c>
      <c r="H20" s="15" t="s">
        <v>65</v>
      </c>
    </row>
    <row r="21" spans="2:12" ht="14.1" customHeight="1" x14ac:dyDescent="0.2">
      <c r="B21" s="9" t="s">
        <v>6</v>
      </c>
      <c r="C21" s="10" t="s">
        <v>6</v>
      </c>
      <c r="D21" s="28" t="s">
        <v>66</v>
      </c>
      <c r="E21" s="12">
        <v>16</v>
      </c>
      <c r="F21" s="13">
        <f>TRUNC((F7+F8+F11)*0.008,0)</f>
        <v>13326245</v>
      </c>
      <c r="G21" s="29" t="s">
        <v>67</v>
      </c>
      <c r="H21" s="15" t="s">
        <v>68</v>
      </c>
    </row>
    <row r="22" spans="2:12" ht="14.1" customHeight="1" x14ac:dyDescent="0.2">
      <c r="B22" s="9" t="s">
        <v>6</v>
      </c>
      <c r="C22" s="10" t="s">
        <v>6</v>
      </c>
      <c r="D22" s="28" t="s">
        <v>69</v>
      </c>
      <c r="E22" s="12">
        <v>17</v>
      </c>
      <c r="F22" s="13"/>
      <c r="G22" s="35">
        <v>1.08E-4</v>
      </c>
      <c r="H22" s="15" t="s">
        <v>70</v>
      </c>
    </row>
    <row r="23" spans="2:12" ht="14.1" customHeight="1" x14ac:dyDescent="0.2">
      <c r="B23" s="9" t="s">
        <v>6</v>
      </c>
      <c r="C23" s="10" t="s">
        <v>6</v>
      </c>
      <c r="D23" s="12" t="s">
        <v>71</v>
      </c>
      <c r="E23" s="12">
        <v>18</v>
      </c>
      <c r="F23" s="13">
        <f>TRUNC((F7+F8+F11)*0.00081,0)</f>
        <v>1349282</v>
      </c>
      <c r="G23" s="31">
        <v>8.0999999999999996E-4</v>
      </c>
      <c r="H23" s="15" t="s">
        <v>72</v>
      </c>
    </row>
    <row r="24" spans="2:12" ht="14.1" customHeight="1" x14ac:dyDescent="0.2">
      <c r="B24" s="9" t="s">
        <v>6</v>
      </c>
      <c r="C24" s="10" t="s">
        <v>6</v>
      </c>
      <c r="D24" s="12" t="s">
        <v>73</v>
      </c>
      <c r="E24" s="12">
        <v>19</v>
      </c>
      <c r="F24" s="13">
        <f>TRUNC((F7+F10)*0.058,0)</f>
        <v>92548610</v>
      </c>
      <c r="G24" s="34">
        <v>5.8000000000000003E-2</v>
      </c>
      <c r="H24" s="15" t="s">
        <v>74</v>
      </c>
    </row>
    <row r="25" spans="2:12" ht="14.1" customHeight="1" x14ac:dyDescent="0.2">
      <c r="B25" s="9"/>
      <c r="C25" s="10"/>
      <c r="D25" s="12" t="s">
        <v>75</v>
      </c>
      <c r="E25" s="12">
        <v>20</v>
      </c>
      <c r="F25" s="13">
        <f>(F8+F9)*0.00006</f>
        <v>48733.939259999999</v>
      </c>
      <c r="G25" s="31">
        <v>6.0000000000000002E-5</v>
      </c>
      <c r="H25" s="15" t="s">
        <v>76</v>
      </c>
    </row>
    <row r="26" spans="2:12" ht="14.1" customHeight="1" x14ac:dyDescent="0.2">
      <c r="B26" s="9"/>
      <c r="C26" s="10"/>
      <c r="D26" s="12" t="s">
        <v>77</v>
      </c>
      <c r="E26" s="12">
        <v>21</v>
      </c>
      <c r="F26" s="13">
        <f>INT((F8+F9)*0.0009)</f>
        <v>731009</v>
      </c>
      <c r="G26" s="31">
        <v>8.9999999999999998E-4</v>
      </c>
      <c r="H26" s="15" t="s">
        <v>78</v>
      </c>
    </row>
    <row r="27" spans="2:12" ht="14.1" customHeight="1" x14ac:dyDescent="0.2">
      <c r="B27" s="9" t="s">
        <v>6</v>
      </c>
      <c r="C27" s="10" t="s">
        <v>13</v>
      </c>
      <c r="D27" s="12" t="s">
        <v>79</v>
      </c>
      <c r="E27" s="12">
        <v>22</v>
      </c>
      <c r="F27" s="14">
        <f>내역서!F26</f>
        <v>54844626</v>
      </c>
      <c r="G27" s="36"/>
      <c r="H27" s="15"/>
      <c r="L27" s="2">
        <f>[1]내역서!H26</f>
        <v>0</v>
      </c>
    </row>
    <row r="28" spans="2:12" ht="14.1" customHeight="1" x14ac:dyDescent="0.2">
      <c r="B28" s="9"/>
      <c r="C28" s="10"/>
      <c r="D28" s="37" t="s">
        <v>80</v>
      </c>
      <c r="E28" s="17">
        <v>23</v>
      </c>
      <c r="F28" s="38">
        <f>내역서!F27</f>
        <v>22000000</v>
      </c>
      <c r="G28" s="39"/>
      <c r="H28" s="20"/>
    </row>
    <row r="29" spans="2:12" ht="14.1" customHeight="1" x14ac:dyDescent="0.2">
      <c r="B29" s="40" t="s">
        <v>6</v>
      </c>
      <c r="C29" s="21" t="s">
        <v>6</v>
      </c>
      <c r="D29" s="17" t="s">
        <v>16</v>
      </c>
      <c r="E29" s="41" t="s">
        <v>81</v>
      </c>
      <c r="F29" s="42">
        <f>TRUNC((F11+F12+F13+F14+F15+F16+F17+F18+F19+F20+F21+F22+F23+F27+F24+F25+F26+F28),0)</f>
        <v>544204941</v>
      </c>
      <c r="G29" s="43" t="s">
        <v>6</v>
      </c>
      <c r="H29" s="44" t="s">
        <v>82</v>
      </c>
    </row>
    <row r="30" spans="2:12" ht="14.1" customHeight="1" x14ac:dyDescent="0.2">
      <c r="B30" s="45" t="s">
        <v>6</v>
      </c>
      <c r="C30" s="16" t="s">
        <v>6</v>
      </c>
      <c r="D30" s="16" t="s">
        <v>83</v>
      </c>
      <c r="E30" s="41" t="s">
        <v>84</v>
      </c>
      <c r="F30" s="42">
        <f>TRUNC((F7+F10+F29),0)</f>
        <v>2139870635</v>
      </c>
      <c r="G30" s="46" t="s">
        <v>6</v>
      </c>
      <c r="H30" s="44" t="s">
        <v>85</v>
      </c>
    </row>
    <row r="31" spans="2:12" ht="14.1" customHeight="1" x14ac:dyDescent="0.2">
      <c r="B31" s="45" t="s">
        <v>6</v>
      </c>
      <c r="C31" s="16" t="s">
        <v>6</v>
      </c>
      <c r="D31" s="16" t="s">
        <v>86</v>
      </c>
      <c r="E31" s="17" t="s">
        <v>87</v>
      </c>
      <c r="F31" s="18">
        <f>TRUNC(F30*0.08,0)</f>
        <v>171189650</v>
      </c>
      <c r="G31" s="47">
        <v>0.08</v>
      </c>
      <c r="H31" s="20" t="s">
        <v>88</v>
      </c>
    </row>
    <row r="32" spans="2:12" ht="14.1" customHeight="1" x14ac:dyDescent="0.2">
      <c r="B32" s="45" t="s">
        <v>6</v>
      </c>
      <c r="C32" s="16" t="s">
        <v>6</v>
      </c>
      <c r="D32" s="16" t="s">
        <v>89</v>
      </c>
      <c r="E32" s="17" t="s">
        <v>90</v>
      </c>
      <c r="F32" s="48">
        <f>TRUNC((F10+F29+F31)*0.15,0)-1959</f>
        <v>229142077</v>
      </c>
      <c r="G32" s="49">
        <v>0.15</v>
      </c>
      <c r="H32" s="44" t="s">
        <v>91</v>
      </c>
      <c r="I32" s="2">
        <f>191248399</f>
        <v>191248399</v>
      </c>
      <c r="J32" s="50">
        <f>F32-I32</f>
        <v>37893678</v>
      </c>
    </row>
    <row r="33" spans="2:8" ht="14.1" customHeight="1" x14ac:dyDescent="0.2">
      <c r="B33" s="45"/>
      <c r="C33" s="16"/>
      <c r="D33" s="16" t="s">
        <v>92</v>
      </c>
      <c r="E33" s="17" t="s">
        <v>93</v>
      </c>
      <c r="F33" s="48">
        <f>내역서!L30</f>
        <v>247638</v>
      </c>
      <c r="G33" s="51"/>
      <c r="H33" s="44"/>
    </row>
    <row r="34" spans="2:8" ht="14.1" customHeight="1" x14ac:dyDescent="0.2">
      <c r="B34" s="45"/>
      <c r="C34" s="16"/>
      <c r="D34" s="16" t="s">
        <v>94</v>
      </c>
      <c r="E34" s="17" t="s">
        <v>95</v>
      </c>
      <c r="F34" s="48">
        <f>내역서!L31</f>
        <v>84000</v>
      </c>
      <c r="G34" s="51"/>
      <c r="H34" s="44"/>
    </row>
    <row r="35" spans="2:8" ht="14.1" customHeight="1" x14ac:dyDescent="0.2">
      <c r="B35" s="45"/>
      <c r="C35" s="16"/>
      <c r="D35" s="16" t="s">
        <v>96</v>
      </c>
      <c r="E35" s="17" t="s">
        <v>97</v>
      </c>
      <c r="F35" s="48">
        <f>내역서!L32</f>
        <v>700000</v>
      </c>
      <c r="G35" s="51"/>
      <c r="H35" s="44"/>
    </row>
    <row r="36" spans="2:8" ht="14.1" hidden="1" customHeight="1" x14ac:dyDescent="0.2">
      <c r="B36" s="45"/>
      <c r="C36" s="16"/>
      <c r="D36" s="16" t="s">
        <v>98</v>
      </c>
      <c r="E36" s="17" t="s">
        <v>99</v>
      </c>
      <c r="F36" s="48"/>
      <c r="G36" s="51"/>
      <c r="H36" s="44"/>
    </row>
    <row r="37" spans="2:8" ht="14.1" customHeight="1" x14ac:dyDescent="0.2">
      <c r="B37" s="45"/>
      <c r="C37" s="16"/>
      <c r="D37" s="16" t="s">
        <v>100</v>
      </c>
      <c r="E37" s="41" t="s">
        <v>101</v>
      </c>
      <c r="F37" s="48">
        <f>[2]내역서!F33</f>
        <v>996000</v>
      </c>
      <c r="G37" s="51"/>
      <c r="H37" s="44"/>
    </row>
    <row r="38" spans="2:8" ht="14.1" customHeight="1" x14ac:dyDescent="0.2">
      <c r="B38" s="45" t="s">
        <v>6</v>
      </c>
      <c r="C38" s="16" t="s">
        <v>6</v>
      </c>
      <c r="D38" s="16" t="s">
        <v>102</v>
      </c>
      <c r="E38" s="41" t="s">
        <v>103</v>
      </c>
      <c r="F38" s="48">
        <f>TRUNC((F30+F31+F32+F33+F34+F35+F36+F37),0)</f>
        <v>2542230000</v>
      </c>
      <c r="G38" s="52"/>
      <c r="H38" s="44" t="s">
        <v>104</v>
      </c>
    </row>
    <row r="39" spans="2:8" ht="14.1" customHeight="1" x14ac:dyDescent="0.2">
      <c r="B39" s="45" t="s">
        <v>6</v>
      </c>
      <c r="C39" s="16" t="s">
        <v>6</v>
      </c>
      <c r="D39" s="16" t="s">
        <v>105</v>
      </c>
      <c r="E39" s="41" t="s">
        <v>106</v>
      </c>
      <c r="F39" s="48">
        <f>IF(L58&lt;&gt; "0.9",TRUNC(F38*0,0),TRUNC(F38*0.1,0)+1)</f>
        <v>0</v>
      </c>
      <c r="G39" s="46">
        <v>0</v>
      </c>
      <c r="H39" s="44" t="s">
        <v>107</v>
      </c>
    </row>
    <row r="40" spans="2:8" ht="14.1" customHeight="1" x14ac:dyDescent="0.2">
      <c r="B40" s="45" t="s">
        <v>6</v>
      </c>
      <c r="C40" s="16" t="s">
        <v>6</v>
      </c>
      <c r="D40" s="53" t="s">
        <v>108</v>
      </c>
      <c r="E40" s="41" t="s">
        <v>109</v>
      </c>
      <c r="F40" s="48">
        <f>TRUNC((F38+F39),0)</f>
        <v>2542230000</v>
      </c>
      <c r="G40" s="46" t="s">
        <v>6</v>
      </c>
      <c r="H40" s="44" t="s">
        <v>110</v>
      </c>
    </row>
    <row r="41" spans="2:8" ht="14.1" hidden="1" customHeight="1" x14ac:dyDescent="0.2">
      <c r="B41" s="54" t="s">
        <v>6</v>
      </c>
      <c r="C41" s="55" t="s">
        <v>6</v>
      </c>
      <c r="D41" s="56" t="s">
        <v>111</v>
      </c>
      <c r="E41" s="57" t="s">
        <v>112</v>
      </c>
      <c r="F41" s="58">
        <f>TRUNC((F40),6)</f>
        <v>2542230000</v>
      </c>
      <c r="G41" s="59" t="s">
        <v>6</v>
      </c>
      <c r="H41" s="60" t="s">
        <v>113</v>
      </c>
    </row>
    <row r="42" spans="2:8" x14ac:dyDescent="0.2">
      <c r="B42" s="61"/>
      <c r="C42" s="61"/>
      <c r="D42" s="61"/>
      <c r="E42" s="61"/>
      <c r="F42" s="61"/>
      <c r="G42" s="61"/>
      <c r="H42" s="61"/>
    </row>
    <row r="58" spans="12:12" x14ac:dyDescent="0.2">
      <c r="L58" s="2" t="str">
        <f>RIGHT(F38*0.1,3)</f>
        <v>000</v>
      </c>
    </row>
  </sheetData>
  <mergeCells count="2">
    <mergeCell ref="B1:H2"/>
    <mergeCell ref="B3:D3"/>
  </mergeCells>
  <phoneticPr fontId="3" type="noConversion"/>
  <pageMargins left="0.98425196850393704" right="7.874015748031496E-2" top="0.31496062992125984" bottom="0.3149606299212598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1"/>
  <sheetViews>
    <sheetView view="pageBreakPreview" zoomScale="115" zoomScaleNormal="100" zoomScaleSheetLayoutView="115" workbookViewId="0">
      <pane ySplit="3" topLeftCell="A4" activePane="bottomLeft" state="frozen"/>
      <selection activeCell="D21" sqref="D21"/>
      <selection pane="bottomLeft" activeCell="J21" sqref="J21"/>
    </sheetView>
  </sheetViews>
  <sheetFormatPr defaultRowHeight="12.75" x14ac:dyDescent="0.2"/>
  <cols>
    <col min="1" max="1" width="0.83203125" style="2" customWidth="1"/>
    <col min="2" max="2" width="9" style="2" customWidth="1"/>
    <col min="3" max="3" width="27.1640625" style="2" customWidth="1"/>
    <col min="4" max="4" width="25" style="2" customWidth="1"/>
    <col min="5" max="5" width="15.83203125" style="2" customWidth="1"/>
    <col min="6" max="6" width="9" style="2" customWidth="1"/>
    <col min="7" max="7" width="21.5" style="2" customWidth="1"/>
    <col min="8" max="8" width="18.1640625" style="2" customWidth="1"/>
    <col min="9" max="9" width="18.83203125" style="2" customWidth="1"/>
    <col min="10" max="10" width="19" style="2" customWidth="1"/>
    <col min="11" max="11" width="15.83203125" style="2" customWidth="1"/>
    <col min="12" max="16384" width="9.33203125" style="2"/>
  </cols>
  <sheetData>
    <row r="1" spans="2:11" ht="24.95" customHeight="1" x14ac:dyDescent="0.2">
      <c r="B1" s="1" t="s">
        <v>114</v>
      </c>
      <c r="C1" s="1"/>
      <c r="D1" s="1"/>
      <c r="E1" s="1"/>
      <c r="F1" s="1"/>
      <c r="G1" s="1"/>
      <c r="H1" s="1"/>
      <c r="I1" s="1"/>
      <c r="J1" s="1"/>
      <c r="K1" s="1"/>
    </row>
    <row r="2" spans="2:11" ht="9.9499999999999993" customHeight="1" x14ac:dyDescent="0.2">
      <c r="B2" s="3"/>
      <c r="C2" s="3"/>
      <c r="D2" s="3"/>
      <c r="E2" s="3"/>
      <c r="F2" s="3"/>
      <c r="G2" s="3"/>
      <c r="H2" s="3"/>
      <c r="I2" s="3"/>
      <c r="J2" s="3"/>
      <c r="K2" s="3"/>
    </row>
    <row r="3" spans="2:11" ht="30.75" customHeight="1" x14ac:dyDescent="0.2">
      <c r="B3" s="62" t="s">
        <v>115</v>
      </c>
      <c r="C3" s="7" t="s">
        <v>116</v>
      </c>
      <c r="D3" s="7" t="s">
        <v>117</v>
      </c>
      <c r="E3" s="7" t="s">
        <v>118</v>
      </c>
      <c r="F3" s="7" t="s">
        <v>119</v>
      </c>
      <c r="G3" s="7" t="s">
        <v>120</v>
      </c>
      <c r="H3" s="7" t="s">
        <v>121</v>
      </c>
      <c r="I3" s="7" t="s">
        <v>122</v>
      </c>
      <c r="J3" s="7" t="s">
        <v>123</v>
      </c>
      <c r="K3" s="8" t="s">
        <v>124</v>
      </c>
    </row>
    <row r="4" spans="2:11" ht="17.100000000000001" customHeight="1" x14ac:dyDescent="0.2">
      <c r="B4" s="40" t="s">
        <v>125</v>
      </c>
      <c r="C4" s="21" t="s">
        <v>126</v>
      </c>
      <c r="D4" s="21" t="s">
        <v>6</v>
      </c>
      <c r="E4" s="18"/>
      <c r="F4" s="63" t="s">
        <v>6</v>
      </c>
      <c r="G4" s="19">
        <f>I4+H4+J4</f>
        <v>2542230000</v>
      </c>
      <c r="H4" s="19">
        <f>내역서!H4</f>
        <v>783433373</v>
      </c>
      <c r="I4" s="19">
        <f>내역서!J4</f>
        <v>812232321</v>
      </c>
      <c r="J4" s="19">
        <f>내역서!L4</f>
        <v>946564306</v>
      </c>
      <c r="K4" s="20" t="s">
        <v>6</v>
      </c>
    </row>
    <row r="5" spans="2:11" ht="17.100000000000001" customHeight="1" x14ac:dyDescent="0.2">
      <c r="B5" s="40" t="s">
        <v>127</v>
      </c>
      <c r="C5" s="21" t="s">
        <v>128</v>
      </c>
      <c r="D5" s="21" t="s">
        <v>6</v>
      </c>
      <c r="E5" s="18"/>
      <c r="F5" s="63" t="s">
        <v>6</v>
      </c>
      <c r="G5" s="19">
        <f>I5+H5+J5</f>
        <v>911214767</v>
      </c>
      <c r="H5" s="19">
        <f>내역서!H7</f>
        <v>456006250</v>
      </c>
      <c r="I5" s="19">
        <f>내역서!J7</f>
        <v>414499375</v>
      </c>
      <c r="J5" s="19">
        <f>내역서!L7</f>
        <v>40709142</v>
      </c>
      <c r="K5" s="20" t="s">
        <v>6</v>
      </c>
    </row>
    <row r="6" spans="2:11" ht="17.100000000000001" customHeight="1" x14ac:dyDescent="0.2">
      <c r="B6" s="40" t="s">
        <v>129</v>
      </c>
      <c r="C6" s="21" t="s">
        <v>130</v>
      </c>
      <c r="D6" s="21"/>
      <c r="E6" s="18"/>
      <c r="F6" s="63"/>
      <c r="G6" s="19">
        <f>I6+H6+J6</f>
        <v>638421542</v>
      </c>
      <c r="H6" s="19">
        <f>내역서!H8</f>
        <v>327257793</v>
      </c>
      <c r="I6" s="19">
        <f>내역서!J8</f>
        <v>266756937</v>
      </c>
      <c r="J6" s="19">
        <f>내역서!L8</f>
        <v>44406812</v>
      </c>
      <c r="K6" s="20"/>
    </row>
    <row r="7" spans="2:11" ht="17.100000000000001" customHeight="1" x14ac:dyDescent="0.2">
      <c r="B7" s="40" t="s">
        <v>131</v>
      </c>
      <c r="C7" s="21" t="s">
        <v>132</v>
      </c>
      <c r="D7" s="21" t="s">
        <v>6</v>
      </c>
      <c r="E7" s="18"/>
      <c r="F7" s="63" t="s">
        <v>6</v>
      </c>
      <c r="G7" s="19">
        <f>I7+H7+J7</f>
        <v>115978416</v>
      </c>
      <c r="H7" s="19">
        <f>내역서!H9</f>
        <v>169330</v>
      </c>
      <c r="I7" s="19">
        <f>내역서!J9</f>
        <v>1865910</v>
      </c>
      <c r="J7" s="19">
        <f>내역서!L9</f>
        <v>113943176</v>
      </c>
      <c r="K7" s="20" t="s">
        <v>6</v>
      </c>
    </row>
    <row r="8" spans="2:11" ht="17.100000000000001" customHeight="1" x14ac:dyDescent="0.2">
      <c r="B8" s="40" t="s">
        <v>133</v>
      </c>
      <c r="C8" s="21" t="s">
        <v>134</v>
      </c>
      <c r="D8" s="21"/>
      <c r="E8" s="18"/>
      <c r="F8" s="63"/>
      <c r="G8" s="19">
        <f>I8+H8+J8</f>
        <v>166000</v>
      </c>
      <c r="H8" s="19">
        <f>내역서!H10</f>
        <v>0</v>
      </c>
      <c r="I8" s="19">
        <f>내역서!J10</f>
        <v>0</v>
      </c>
      <c r="J8" s="19">
        <f>내역서!L10</f>
        <v>166000</v>
      </c>
      <c r="K8" s="20"/>
    </row>
    <row r="9" spans="2:11" ht="18" hidden="1" customHeight="1" x14ac:dyDescent="0.2">
      <c r="B9" s="40" t="s">
        <v>135</v>
      </c>
      <c r="C9" s="21" t="s">
        <v>136</v>
      </c>
      <c r="D9" s="21"/>
      <c r="E9" s="18"/>
      <c r="F9" s="63"/>
      <c r="G9" s="19"/>
      <c r="H9" s="19">
        <f>[3]내역서!H13</f>
        <v>0</v>
      </c>
      <c r="I9" s="19"/>
      <c r="J9" s="19">
        <f>[3]내역서!L13</f>
        <v>0</v>
      </c>
      <c r="K9" s="20"/>
    </row>
    <row r="10" spans="2:11" ht="18" hidden="1" customHeight="1" x14ac:dyDescent="0.2">
      <c r="B10" s="40">
        <v>5</v>
      </c>
      <c r="C10" s="21" t="s">
        <v>137</v>
      </c>
      <c r="D10" s="21"/>
      <c r="E10" s="18"/>
      <c r="F10" s="63"/>
      <c r="G10" s="19"/>
      <c r="H10" s="19">
        <f>[3]내역서!H14</f>
        <v>0</v>
      </c>
      <c r="I10" s="19">
        <f>[3]내역서!J14</f>
        <v>0</v>
      </c>
      <c r="J10" s="19">
        <v>0</v>
      </c>
      <c r="K10" s="20"/>
    </row>
    <row r="11" spans="2:11" ht="17.100000000000001" customHeight="1" x14ac:dyDescent="0.2">
      <c r="B11" s="40" t="s">
        <v>6</v>
      </c>
      <c r="C11" s="21" t="s">
        <v>138</v>
      </c>
      <c r="D11" s="21" t="s">
        <v>6</v>
      </c>
      <c r="E11" s="18"/>
      <c r="F11" s="63" t="s">
        <v>6</v>
      </c>
      <c r="G11" s="19">
        <f>I11+H11+J11</f>
        <v>1665780725</v>
      </c>
      <c r="H11" s="19">
        <f>내역서!H6</f>
        <v>783433373</v>
      </c>
      <c r="I11" s="19">
        <f>내역서!J6</f>
        <v>683122222</v>
      </c>
      <c r="J11" s="19">
        <f>내역서!L6</f>
        <v>199225130</v>
      </c>
      <c r="K11" s="20" t="s">
        <v>6</v>
      </c>
    </row>
    <row r="12" spans="2:11" ht="17.100000000000001" customHeight="1" x14ac:dyDescent="0.2">
      <c r="B12" s="40" t="s">
        <v>6</v>
      </c>
      <c r="C12" s="21" t="s">
        <v>139</v>
      </c>
      <c r="D12" s="21" t="s">
        <v>6</v>
      </c>
      <c r="E12" s="64">
        <v>18.899999999999999</v>
      </c>
      <c r="F12" s="63" t="s">
        <v>140</v>
      </c>
      <c r="G12" s="19">
        <f>원가계산서!F9</f>
        <v>129110099</v>
      </c>
      <c r="H12" s="18"/>
      <c r="I12" s="18"/>
      <c r="J12" s="18"/>
      <c r="K12" s="20" t="s">
        <v>6</v>
      </c>
    </row>
    <row r="13" spans="2:11" ht="17.100000000000001" customHeight="1" x14ac:dyDescent="0.2">
      <c r="B13" s="40" t="s">
        <v>6</v>
      </c>
      <c r="C13" s="21" t="s">
        <v>141</v>
      </c>
      <c r="D13" s="21" t="s">
        <v>6</v>
      </c>
      <c r="E13" s="18"/>
      <c r="F13" s="63" t="s">
        <v>6</v>
      </c>
      <c r="G13" s="19">
        <f>원가계산서!F11</f>
        <v>199225130</v>
      </c>
      <c r="H13" s="18"/>
      <c r="I13" s="18"/>
      <c r="J13" s="18"/>
      <c r="K13" s="20" t="s">
        <v>6</v>
      </c>
    </row>
    <row r="14" spans="2:11" ht="17.100000000000001" customHeight="1" x14ac:dyDescent="0.2">
      <c r="B14" s="40" t="s">
        <v>6</v>
      </c>
      <c r="C14" s="21" t="s">
        <v>142</v>
      </c>
      <c r="D14" s="21" t="s">
        <v>6</v>
      </c>
      <c r="E14" s="65">
        <v>3.56</v>
      </c>
      <c r="F14" s="63" t="s">
        <v>140</v>
      </c>
      <c r="G14" s="19">
        <f>원가계산서!F12</f>
        <v>28915470</v>
      </c>
      <c r="H14" s="18"/>
      <c r="I14" s="18"/>
      <c r="J14" s="18"/>
      <c r="K14" s="20" t="s">
        <v>6</v>
      </c>
    </row>
    <row r="15" spans="2:11" ht="17.100000000000001" customHeight="1" x14ac:dyDescent="0.2">
      <c r="B15" s="40" t="s">
        <v>6</v>
      </c>
      <c r="C15" s="21" t="s">
        <v>143</v>
      </c>
      <c r="D15" s="21" t="s">
        <v>6</v>
      </c>
      <c r="E15" s="65">
        <v>1.01</v>
      </c>
      <c r="F15" s="63" t="s">
        <v>140</v>
      </c>
      <c r="G15" s="19">
        <f>원가계산서!F13</f>
        <v>8203546</v>
      </c>
      <c r="H15" s="18"/>
      <c r="I15" s="18"/>
      <c r="J15" s="18"/>
      <c r="K15" s="20" t="s">
        <v>6</v>
      </c>
    </row>
    <row r="16" spans="2:11" ht="17.100000000000001" customHeight="1" x14ac:dyDescent="0.2">
      <c r="B16" s="40" t="s">
        <v>6</v>
      </c>
      <c r="C16" s="21" t="s">
        <v>144</v>
      </c>
      <c r="D16" s="21" t="s">
        <v>6</v>
      </c>
      <c r="E16" s="65">
        <v>3.5950000000000002</v>
      </c>
      <c r="F16" s="63" t="s">
        <v>140</v>
      </c>
      <c r="G16" s="19">
        <f>원가계산서!F14</f>
        <v>24558243</v>
      </c>
      <c r="H16" s="18"/>
      <c r="I16" s="18"/>
      <c r="J16" s="18"/>
      <c r="K16" s="20" t="s">
        <v>6</v>
      </c>
    </row>
    <row r="17" spans="2:11" ht="17.100000000000001" customHeight="1" x14ac:dyDescent="0.2">
      <c r="B17" s="40" t="s">
        <v>6</v>
      </c>
      <c r="C17" s="21" t="s">
        <v>145</v>
      </c>
      <c r="D17" s="21" t="s">
        <v>6</v>
      </c>
      <c r="E17" s="66">
        <v>4.75</v>
      </c>
      <c r="F17" s="63" t="s">
        <v>140</v>
      </c>
      <c r="G17" s="19">
        <f>원가계산서!F15</f>
        <v>32448305</v>
      </c>
      <c r="H17" s="18"/>
      <c r="I17" s="18"/>
      <c r="J17" s="18"/>
      <c r="K17" s="20" t="s">
        <v>6</v>
      </c>
    </row>
    <row r="18" spans="2:11" ht="17.100000000000001" customHeight="1" x14ac:dyDescent="0.2">
      <c r="B18" s="40" t="s">
        <v>6</v>
      </c>
      <c r="C18" s="21" t="s">
        <v>146</v>
      </c>
      <c r="D18" s="21" t="s">
        <v>6</v>
      </c>
      <c r="E18" s="66">
        <v>13.14</v>
      </c>
      <c r="F18" s="63" t="s">
        <v>140</v>
      </c>
      <c r="G18" s="19">
        <f>원가계산서!F16</f>
        <v>3226953</v>
      </c>
      <c r="H18" s="18"/>
      <c r="I18" s="18"/>
      <c r="J18" s="18"/>
      <c r="K18" s="20" t="s">
        <v>6</v>
      </c>
    </row>
    <row r="19" spans="2:11" ht="17.100000000000001" customHeight="1" x14ac:dyDescent="0.2">
      <c r="B19" s="40" t="s">
        <v>6</v>
      </c>
      <c r="C19" s="21" t="s">
        <v>147</v>
      </c>
      <c r="D19" s="21" t="s">
        <v>6</v>
      </c>
      <c r="E19" s="66">
        <v>2.2999999999999998</v>
      </c>
      <c r="F19" s="63" t="s">
        <v>140</v>
      </c>
      <c r="G19" s="19">
        <f>원가계산서!F17</f>
        <v>15711811</v>
      </c>
      <c r="H19" s="18"/>
      <c r="I19" s="18"/>
      <c r="J19" s="18"/>
      <c r="K19" s="20" t="s">
        <v>6</v>
      </c>
    </row>
    <row r="20" spans="2:11" ht="17.100000000000001" customHeight="1" x14ac:dyDescent="0.2">
      <c r="B20" s="40" t="s">
        <v>6</v>
      </c>
      <c r="C20" s="21" t="s">
        <v>58</v>
      </c>
      <c r="D20" s="21" t="s">
        <v>6</v>
      </c>
      <c r="E20" s="66">
        <v>0.4</v>
      </c>
      <c r="F20" s="63" t="s">
        <v>140</v>
      </c>
      <c r="G20" s="19">
        <f>원가계산서!F18</f>
        <v>6663122</v>
      </c>
      <c r="H20" s="18"/>
      <c r="I20" s="18"/>
      <c r="J20" s="18"/>
      <c r="K20" s="20" t="s">
        <v>6</v>
      </c>
    </row>
    <row r="21" spans="2:11" ht="17.100000000000001" customHeight="1" x14ac:dyDescent="0.2">
      <c r="B21" s="40" t="s">
        <v>6</v>
      </c>
      <c r="C21" s="21" t="s">
        <v>148</v>
      </c>
      <c r="D21" s="21" t="s">
        <v>6</v>
      </c>
      <c r="E21" s="66">
        <v>2.5299999999999998</v>
      </c>
      <c r="F21" s="63" t="s">
        <v>140</v>
      </c>
      <c r="G21" s="19">
        <f>원가계산서!F19</f>
        <v>40403856</v>
      </c>
      <c r="H21" s="18"/>
      <c r="I21" s="18"/>
      <c r="J21" s="18"/>
      <c r="K21" s="20" t="s">
        <v>6</v>
      </c>
    </row>
    <row r="22" spans="2:11" ht="17.100000000000001" customHeight="1" x14ac:dyDescent="0.2">
      <c r="B22" s="40" t="s">
        <v>6</v>
      </c>
      <c r="C22" s="21" t="s">
        <v>149</v>
      </c>
      <c r="D22" s="21" t="s">
        <v>6</v>
      </c>
      <c r="E22" s="66">
        <v>0.8</v>
      </c>
      <c r="F22" s="63" t="s">
        <v>140</v>
      </c>
      <c r="G22" s="19">
        <f>원가계산서!F21</f>
        <v>13326245</v>
      </c>
      <c r="H22" s="18"/>
      <c r="I22" s="18"/>
      <c r="J22" s="18"/>
      <c r="K22" s="20" t="s">
        <v>6</v>
      </c>
    </row>
    <row r="23" spans="2:11" ht="17.100000000000001" customHeight="1" x14ac:dyDescent="0.2">
      <c r="B23" s="40" t="s">
        <v>6</v>
      </c>
      <c r="C23" s="21" t="s">
        <v>71</v>
      </c>
      <c r="D23" s="21" t="s">
        <v>6</v>
      </c>
      <c r="E23" s="66">
        <v>8.1000000000000003E-2</v>
      </c>
      <c r="F23" s="63" t="s">
        <v>140</v>
      </c>
      <c r="G23" s="19">
        <f>원가계산서!F23</f>
        <v>1349282</v>
      </c>
      <c r="H23" s="18"/>
      <c r="I23" s="18"/>
      <c r="J23" s="18"/>
      <c r="K23" s="20" t="s">
        <v>6</v>
      </c>
    </row>
    <row r="24" spans="2:11" ht="17.100000000000001" customHeight="1" x14ac:dyDescent="0.2">
      <c r="B24" s="40" t="s">
        <v>6</v>
      </c>
      <c r="C24" s="21" t="s">
        <v>150</v>
      </c>
      <c r="D24" s="21" t="s">
        <v>6</v>
      </c>
      <c r="E24" s="67">
        <v>5.8</v>
      </c>
      <c r="F24" s="63" t="s">
        <v>140</v>
      </c>
      <c r="G24" s="19">
        <f>원가계산서!F24</f>
        <v>92548610</v>
      </c>
      <c r="H24" s="18"/>
      <c r="I24" s="18"/>
      <c r="J24" s="18"/>
      <c r="K24" s="20" t="s">
        <v>6</v>
      </c>
    </row>
    <row r="25" spans="2:11" ht="17.100000000000001" customHeight="1" x14ac:dyDescent="0.2">
      <c r="B25" s="40"/>
      <c r="C25" s="21" t="s">
        <v>151</v>
      </c>
      <c r="D25" s="21"/>
      <c r="E25" s="68">
        <v>6.0000000000000001E-3</v>
      </c>
      <c r="F25" s="63" t="s">
        <v>140</v>
      </c>
      <c r="G25" s="19">
        <f>원가계산서!F25</f>
        <v>48733.939259999999</v>
      </c>
      <c r="H25" s="18"/>
      <c r="I25" s="18"/>
      <c r="J25" s="18"/>
      <c r="K25" s="20"/>
    </row>
    <row r="26" spans="2:11" ht="17.100000000000001" customHeight="1" x14ac:dyDescent="0.2">
      <c r="B26" s="40"/>
      <c r="C26" s="21" t="s">
        <v>152</v>
      </c>
      <c r="D26" s="21"/>
      <c r="E26" s="69">
        <v>0.09</v>
      </c>
      <c r="F26" s="63" t="s">
        <v>140</v>
      </c>
      <c r="G26" s="19">
        <f>원가계산서!F26</f>
        <v>731009</v>
      </c>
      <c r="H26" s="18"/>
      <c r="I26" s="18"/>
      <c r="J26" s="18"/>
      <c r="K26" s="20"/>
    </row>
    <row r="27" spans="2:11" ht="17.100000000000001" customHeight="1" x14ac:dyDescent="0.2">
      <c r="B27" s="40" t="s">
        <v>6</v>
      </c>
      <c r="C27" s="21" t="s">
        <v>153</v>
      </c>
      <c r="D27" s="21" t="s">
        <v>6</v>
      </c>
      <c r="E27" s="70"/>
      <c r="F27" s="63"/>
      <c r="G27" s="19">
        <f>원가계산서!F27</f>
        <v>54844626</v>
      </c>
      <c r="H27" s="18"/>
      <c r="I27" s="18"/>
      <c r="J27" s="18"/>
      <c r="K27" s="20" t="s">
        <v>6</v>
      </c>
    </row>
    <row r="28" spans="2:11" ht="17.100000000000001" customHeight="1" x14ac:dyDescent="0.2">
      <c r="B28" s="40"/>
      <c r="C28" s="71" t="s">
        <v>154</v>
      </c>
      <c r="D28" s="21"/>
      <c r="E28" s="70"/>
      <c r="F28" s="63"/>
      <c r="G28" s="19">
        <f>원가계산서!F28</f>
        <v>22000000</v>
      </c>
      <c r="H28" s="18"/>
      <c r="I28" s="18"/>
      <c r="J28" s="18"/>
      <c r="K28" s="20"/>
    </row>
    <row r="29" spans="2:11" ht="17.100000000000001" customHeight="1" x14ac:dyDescent="0.2">
      <c r="B29" s="40" t="s">
        <v>6</v>
      </c>
      <c r="C29" s="21" t="s">
        <v>155</v>
      </c>
      <c r="D29" s="21" t="s">
        <v>6</v>
      </c>
      <c r="E29" s="18"/>
      <c r="F29" s="63" t="s">
        <v>6</v>
      </c>
      <c r="G29" s="19">
        <f>원가계산서!F30</f>
        <v>2139870635</v>
      </c>
      <c r="H29" s="18"/>
      <c r="I29" s="18"/>
      <c r="J29" s="18"/>
      <c r="K29" s="20" t="s">
        <v>6</v>
      </c>
    </row>
    <row r="30" spans="2:11" ht="17.100000000000001" customHeight="1" x14ac:dyDescent="0.2">
      <c r="B30" s="40" t="s">
        <v>6</v>
      </c>
      <c r="C30" s="71" t="s">
        <v>156</v>
      </c>
      <c r="D30" s="21" t="s">
        <v>6</v>
      </c>
      <c r="E30" s="18">
        <v>8</v>
      </c>
      <c r="F30" s="63" t="s">
        <v>140</v>
      </c>
      <c r="G30" s="19">
        <f>원가계산서!F31</f>
        <v>171189650</v>
      </c>
      <c r="H30" s="18"/>
      <c r="I30" s="18"/>
      <c r="J30" s="18"/>
      <c r="K30" s="20" t="s">
        <v>6</v>
      </c>
    </row>
    <row r="31" spans="2:11" ht="17.100000000000001" customHeight="1" x14ac:dyDescent="0.2">
      <c r="B31" s="72" t="s">
        <v>6</v>
      </c>
      <c r="C31" s="73" t="s">
        <v>157</v>
      </c>
      <c r="D31" s="41" t="s">
        <v>6</v>
      </c>
      <c r="E31" s="65">
        <v>15</v>
      </c>
      <c r="F31" s="63" t="s">
        <v>140</v>
      </c>
      <c r="G31" s="19">
        <f>원가계산서!F32</f>
        <v>229142077</v>
      </c>
      <c r="H31" s="18"/>
      <c r="I31" s="18"/>
      <c r="J31" s="18"/>
      <c r="K31" s="20" t="s">
        <v>6</v>
      </c>
    </row>
    <row r="32" spans="2:11" ht="17.100000000000001" customHeight="1" x14ac:dyDescent="0.2">
      <c r="B32" s="72" t="s">
        <v>6</v>
      </c>
      <c r="C32" s="74" t="s">
        <v>158</v>
      </c>
      <c r="D32" s="41" t="s">
        <v>6</v>
      </c>
      <c r="E32" s="42">
        <v>1</v>
      </c>
      <c r="F32" s="75" t="s">
        <v>159</v>
      </c>
      <c r="G32" s="19">
        <f>원가계산서!F33</f>
        <v>247638</v>
      </c>
      <c r="H32" s="42"/>
      <c r="I32" s="42"/>
      <c r="J32" s="42"/>
      <c r="K32" s="44" t="s">
        <v>6</v>
      </c>
    </row>
    <row r="33" spans="2:11" ht="17.100000000000001" customHeight="1" x14ac:dyDescent="0.2">
      <c r="B33" s="72"/>
      <c r="C33" s="74" t="s">
        <v>160</v>
      </c>
      <c r="D33" s="41"/>
      <c r="E33" s="42">
        <v>1</v>
      </c>
      <c r="F33" s="75" t="s">
        <v>159</v>
      </c>
      <c r="G33" s="19">
        <f>원가계산서!F34</f>
        <v>84000</v>
      </c>
      <c r="H33" s="42"/>
      <c r="I33" s="42"/>
      <c r="J33" s="42"/>
      <c r="K33" s="44"/>
    </row>
    <row r="34" spans="2:11" ht="17.100000000000001" customHeight="1" x14ac:dyDescent="0.2">
      <c r="B34" s="72"/>
      <c r="C34" s="74" t="s">
        <v>161</v>
      </c>
      <c r="D34" s="41"/>
      <c r="E34" s="42">
        <v>1</v>
      </c>
      <c r="F34" s="75" t="s">
        <v>162</v>
      </c>
      <c r="G34" s="19">
        <f>원가계산서!F35</f>
        <v>700000</v>
      </c>
      <c r="H34" s="42"/>
      <c r="I34" s="42"/>
      <c r="J34" s="42"/>
      <c r="K34" s="44"/>
    </row>
    <row r="35" spans="2:11" ht="17.100000000000001" customHeight="1" x14ac:dyDescent="0.2">
      <c r="B35" s="72"/>
      <c r="C35" s="74" t="s">
        <v>163</v>
      </c>
      <c r="D35" s="41"/>
      <c r="E35" s="42">
        <v>1</v>
      </c>
      <c r="F35" s="75" t="s">
        <v>162</v>
      </c>
      <c r="G35" s="19">
        <f>원가계산서!F37</f>
        <v>996000</v>
      </c>
      <c r="H35" s="18"/>
      <c r="I35" s="18"/>
      <c r="J35" s="18"/>
      <c r="K35" s="20"/>
    </row>
    <row r="36" spans="2:11" ht="17.100000000000001" customHeight="1" x14ac:dyDescent="0.2">
      <c r="B36" s="72" t="s">
        <v>6</v>
      </c>
      <c r="C36" s="41" t="s">
        <v>164</v>
      </c>
      <c r="D36" s="41" t="s">
        <v>6</v>
      </c>
      <c r="E36" s="18"/>
      <c r="F36" s="63" t="s">
        <v>6</v>
      </c>
      <c r="G36" s="19">
        <f>원가계산서!F38</f>
        <v>2542230000</v>
      </c>
      <c r="H36" s="18"/>
      <c r="I36" s="18"/>
      <c r="J36" s="18"/>
      <c r="K36" s="20" t="s">
        <v>6</v>
      </c>
    </row>
    <row r="37" spans="2:11" ht="17.100000000000001" customHeight="1" x14ac:dyDescent="0.2">
      <c r="B37" s="40" t="s">
        <v>6</v>
      </c>
      <c r="C37" s="21" t="s">
        <v>165</v>
      </c>
      <c r="D37" s="21" t="s">
        <v>6</v>
      </c>
      <c r="E37" s="18">
        <v>0</v>
      </c>
      <c r="F37" s="63" t="s">
        <v>140</v>
      </c>
      <c r="G37" s="19">
        <f>원가계산서!F39</f>
        <v>0</v>
      </c>
      <c r="H37" s="18"/>
      <c r="I37" s="18"/>
      <c r="J37" s="18"/>
      <c r="K37" s="20" t="s">
        <v>6</v>
      </c>
    </row>
    <row r="38" spans="2:11" ht="17.100000000000001" customHeight="1" x14ac:dyDescent="0.2">
      <c r="B38" s="40" t="s">
        <v>6</v>
      </c>
      <c r="C38" s="21" t="s">
        <v>166</v>
      </c>
      <c r="D38" s="21" t="s">
        <v>6</v>
      </c>
      <c r="E38" s="18"/>
      <c r="F38" s="63" t="s">
        <v>6</v>
      </c>
      <c r="G38" s="19">
        <f>원가계산서!F40</f>
        <v>2542230000</v>
      </c>
      <c r="H38" s="18"/>
      <c r="I38" s="18"/>
      <c r="J38" s="18"/>
      <c r="K38" s="20" t="s">
        <v>6</v>
      </c>
    </row>
    <row r="39" spans="2:11" ht="17.100000000000001" customHeight="1" x14ac:dyDescent="0.2">
      <c r="B39" s="76" t="s">
        <v>6</v>
      </c>
      <c r="C39" s="77" t="s">
        <v>167</v>
      </c>
      <c r="D39" s="77" t="s">
        <v>6</v>
      </c>
      <c r="E39" s="58"/>
      <c r="F39" s="78" t="s">
        <v>6</v>
      </c>
      <c r="G39" s="59">
        <f>원가계산서!F41</f>
        <v>2542230000</v>
      </c>
      <c r="H39" s="58"/>
      <c r="I39" s="58"/>
      <c r="J39" s="58"/>
      <c r="K39" s="60" t="s">
        <v>6</v>
      </c>
    </row>
    <row r="40" spans="2:11" ht="18.95" customHeight="1" x14ac:dyDescent="0.2">
      <c r="B40" s="79"/>
      <c r="C40" s="80"/>
      <c r="D40" s="80"/>
      <c r="E40" s="80"/>
      <c r="F40" s="80"/>
      <c r="G40" s="80"/>
      <c r="H40" s="80"/>
      <c r="I40" s="80"/>
      <c r="J40" s="80"/>
      <c r="K40" s="81"/>
    </row>
    <row r="41" spans="2:11" x14ac:dyDescent="0.2">
      <c r="B41" s="61"/>
      <c r="C41" s="61"/>
      <c r="D41" s="61"/>
      <c r="E41" s="61"/>
      <c r="F41" s="61"/>
      <c r="G41" s="61"/>
      <c r="H41" s="61"/>
      <c r="I41" s="61"/>
      <c r="J41" s="61"/>
      <c r="K41" s="61"/>
    </row>
  </sheetData>
  <mergeCells count="1">
    <mergeCell ref="B1:K2"/>
  </mergeCells>
  <phoneticPr fontId="10" type="noConversion"/>
  <pageMargins left="0.98425196850393704" right="7.874015748031496E-2" top="0.39370078740157483" bottom="0.39370078740157483" header="0.51181102362204722" footer="0.51181102362204722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V388"/>
  <sheetViews>
    <sheetView view="pageBreakPreview" zoomScaleNormal="100" zoomScaleSheetLayoutView="100" workbookViewId="0">
      <selection activeCell="BP11" sqref="BP11"/>
    </sheetView>
  </sheetViews>
  <sheetFormatPr defaultRowHeight="18.399999999999999" customHeight="1" x14ac:dyDescent="0.15"/>
  <cols>
    <col min="1" max="1" width="25" customWidth="1"/>
    <col min="2" max="2" width="20" customWidth="1"/>
    <col min="3" max="3" width="8" customWidth="1"/>
    <col min="4" max="4" width="5" customWidth="1"/>
    <col min="5" max="5" width="12.83203125" customWidth="1"/>
    <col min="6" max="6" width="14" customWidth="1"/>
    <col min="7" max="11" width="12" customWidth="1"/>
    <col min="12" max="12" width="14" customWidth="1"/>
    <col min="13" max="13" width="6" customWidth="1"/>
    <col min="14" max="62" width="0" hidden="1" customWidth="1"/>
  </cols>
  <sheetData>
    <row r="1" spans="1:100" ht="18.399999999999999" customHeight="1" thickBot="1" x14ac:dyDescent="0.2">
      <c r="A1" t="s">
        <v>168</v>
      </c>
    </row>
    <row r="2" spans="1:100" ht="18.399999999999999" customHeight="1" x14ac:dyDescent="0.15">
      <c r="A2" s="82" t="s">
        <v>169</v>
      </c>
      <c r="B2" s="83" t="s">
        <v>170</v>
      </c>
      <c r="C2" s="83" t="s">
        <v>171</v>
      </c>
      <c r="D2" s="83" t="s">
        <v>119</v>
      </c>
      <c r="E2" s="83" t="s">
        <v>120</v>
      </c>
      <c r="F2" s="83" t="s">
        <v>6</v>
      </c>
      <c r="G2" s="83" t="s">
        <v>172</v>
      </c>
      <c r="H2" s="83" t="s">
        <v>6</v>
      </c>
      <c r="I2" s="83" t="s">
        <v>173</v>
      </c>
      <c r="J2" s="83" t="s">
        <v>6</v>
      </c>
      <c r="K2" s="83" t="s">
        <v>123</v>
      </c>
      <c r="L2" s="83" t="s">
        <v>6</v>
      </c>
      <c r="M2" s="84" t="s">
        <v>174</v>
      </c>
      <c r="BH2" s="85" t="s">
        <v>175</v>
      </c>
    </row>
    <row r="3" spans="1:100" ht="18.399999999999999" customHeight="1" thickBot="1" x14ac:dyDescent="0.2">
      <c r="A3" s="86" t="s">
        <v>6</v>
      </c>
      <c r="B3" s="87" t="s">
        <v>6</v>
      </c>
      <c r="C3" s="87" t="s">
        <v>6</v>
      </c>
      <c r="D3" s="87" t="s">
        <v>6</v>
      </c>
      <c r="E3" s="88" t="s">
        <v>176</v>
      </c>
      <c r="F3" s="88" t="s">
        <v>177</v>
      </c>
      <c r="G3" s="88" t="s">
        <v>176</v>
      </c>
      <c r="H3" s="88" t="s">
        <v>177</v>
      </c>
      <c r="I3" s="88" t="s">
        <v>176</v>
      </c>
      <c r="J3" s="88" t="s">
        <v>177</v>
      </c>
      <c r="K3" s="88" t="s">
        <v>176</v>
      </c>
      <c r="L3" s="88" t="s">
        <v>177</v>
      </c>
      <c r="M3" s="89" t="s">
        <v>6</v>
      </c>
      <c r="S3" s="90" t="s">
        <v>178</v>
      </c>
      <c r="T3" s="90" t="s">
        <v>179</v>
      </c>
      <c r="U3" s="90" t="s">
        <v>180</v>
      </c>
      <c r="V3" s="90" t="s">
        <v>181</v>
      </c>
      <c r="W3" s="90" t="s">
        <v>182</v>
      </c>
      <c r="X3" s="90" t="s">
        <v>183</v>
      </c>
      <c r="Y3" s="90" t="s">
        <v>184</v>
      </c>
      <c r="BH3" s="85" t="s">
        <v>6</v>
      </c>
    </row>
    <row r="4" spans="1:100" ht="18.399999999999999" customHeight="1" x14ac:dyDescent="0.15">
      <c r="A4" s="91" t="s">
        <v>185</v>
      </c>
      <c r="B4" s="92" t="s">
        <v>6</v>
      </c>
      <c r="C4" s="93">
        <v>0</v>
      </c>
      <c r="D4" s="92" t="s">
        <v>6</v>
      </c>
      <c r="F4" s="93">
        <f t="shared" ref="F4:F70" si="0">H4+J4+L4</f>
        <v>2542230000</v>
      </c>
      <c r="H4" s="93">
        <f>TRUNC(H7+H8+H9+H10+H11+H12+H13+H14+H15+H16+H17+H18+H19+H20+H21+H22+H23+H24+H25+H26+H27+H28+H29+H30+H31+H32+H33+H35,0)</f>
        <v>783433373</v>
      </c>
      <c r="J4" s="93">
        <f>TRUNC(J7+J8+J9+J10+J11+J12+J13+J14+J15+J16+J17+J18+J19+J20+J21+J22+J23+J24+J25+J26+J27+J28+J29+J30+J31+J32+J33+J35,0)</f>
        <v>812232321</v>
      </c>
      <c r="L4" s="93">
        <f>TRUNC(L7+L8+L9+L10+L11+L12+L13+L14+L15+L16+L17+L18+L19+L20+L21+L22+L23+L24+L25+L26+L27+L28+L29+L30+L31+L32+L33+L35,0)</f>
        <v>946564306</v>
      </c>
      <c r="M4" s="94" t="s">
        <v>6</v>
      </c>
      <c r="N4" t="s">
        <v>6</v>
      </c>
      <c r="O4" t="s">
        <v>186</v>
      </c>
      <c r="BH4" s="92" t="s">
        <v>6</v>
      </c>
      <c r="CV4" s="92" t="s">
        <v>6</v>
      </c>
    </row>
    <row r="5" spans="1:100" ht="18.399999999999999" customHeight="1" x14ac:dyDescent="0.15">
      <c r="A5" s="91" t="s">
        <v>187</v>
      </c>
      <c r="B5" s="92" t="s">
        <v>6</v>
      </c>
      <c r="C5" s="92"/>
      <c r="D5" s="92" t="s">
        <v>188</v>
      </c>
      <c r="E5" s="93">
        <f t="shared" ref="E5:E38" si="1">G5+I5+K5</f>
        <v>0</v>
      </c>
      <c r="F5" s="93">
        <f t="shared" si="0"/>
        <v>2139870635</v>
      </c>
      <c r="G5" s="90"/>
      <c r="H5" s="93">
        <f>TRUNC(H7+H8+H9+H10+H11+H12+H13+H14+H15+H16+H17+H18+H19+H20+H21+H22+H23+H24+H25+H26+H27,0)</f>
        <v>783433373</v>
      </c>
      <c r="I5" s="90"/>
      <c r="J5" s="93">
        <f>TRUNC(J7+J8+J9+J10+J11+J12+J13+J14+J15+J16+J17+J18+J19+J20+J21+J22+J23+J24+J25+J26+J27,0)</f>
        <v>812232321</v>
      </c>
      <c r="K5" s="90"/>
      <c r="L5" s="93">
        <f>TRUNC(L7+L8+L9+L10+L11+L12+L13+L14+L15+L16+L17+L18+L19+L20+L21+L22+L23+L24+L25+L26+L27,0)</f>
        <v>544204941</v>
      </c>
      <c r="M5" s="94" t="s">
        <v>6</v>
      </c>
      <c r="N5" t="s">
        <v>6</v>
      </c>
      <c r="P5" t="s">
        <v>48</v>
      </c>
      <c r="Q5" t="s">
        <v>6</v>
      </c>
      <c r="R5" t="s">
        <v>6</v>
      </c>
      <c r="BH5" s="92" t="s">
        <v>6</v>
      </c>
      <c r="CC5" s="92" t="s">
        <v>189</v>
      </c>
    </row>
    <row r="6" spans="1:100" ht="18.399999999999999" customHeight="1" x14ac:dyDescent="0.15">
      <c r="A6" s="91" t="s">
        <v>190</v>
      </c>
      <c r="B6" s="92" t="s">
        <v>6</v>
      </c>
      <c r="C6" s="92"/>
      <c r="D6" s="92" t="s">
        <v>188</v>
      </c>
      <c r="E6" s="93">
        <f t="shared" si="1"/>
        <v>0</v>
      </c>
      <c r="F6" s="93">
        <f t="shared" si="0"/>
        <v>1665780725</v>
      </c>
      <c r="G6" s="90"/>
      <c r="H6" s="93">
        <f>TRUNC(H7+H8+H9+H10,0)</f>
        <v>783433373</v>
      </c>
      <c r="I6" s="90"/>
      <c r="J6" s="93">
        <f>TRUNC(J7+J8+J9+J10,0)</f>
        <v>683122222</v>
      </c>
      <c r="K6" s="90"/>
      <c r="L6" s="93">
        <f>TRUNC(L7+L8+L9+L10,0)</f>
        <v>199225130</v>
      </c>
      <c r="M6" s="94" t="s">
        <v>6</v>
      </c>
      <c r="N6" t="s">
        <v>6</v>
      </c>
      <c r="P6" t="s">
        <v>191</v>
      </c>
      <c r="Q6" t="s">
        <v>6</v>
      </c>
      <c r="R6" t="s">
        <v>6</v>
      </c>
      <c r="BH6" s="92" t="s">
        <v>6</v>
      </c>
      <c r="CC6" s="92" t="s">
        <v>192</v>
      </c>
    </row>
    <row r="7" spans="1:100" ht="18.399999999999999" customHeight="1" x14ac:dyDescent="0.15">
      <c r="A7" s="91" t="s">
        <v>193</v>
      </c>
      <c r="B7" s="92" t="s">
        <v>6</v>
      </c>
      <c r="C7" s="93">
        <v>1</v>
      </c>
      <c r="D7" s="92" t="s">
        <v>188</v>
      </c>
      <c r="E7" s="93">
        <f t="shared" si="1"/>
        <v>911214767</v>
      </c>
      <c r="F7" s="93">
        <f t="shared" si="0"/>
        <v>911214767</v>
      </c>
      <c r="G7" s="93">
        <f>H45</f>
        <v>456006250</v>
      </c>
      <c r="H7" s="93">
        <f>TRUNC(G7*C7,0)</f>
        <v>456006250</v>
      </c>
      <c r="I7" s="93">
        <f>J45</f>
        <v>414499375</v>
      </c>
      <c r="J7" s="93">
        <f>TRUNC(I7*C7,0)</f>
        <v>414499375</v>
      </c>
      <c r="K7" s="93">
        <f>L45</f>
        <v>40709142</v>
      </c>
      <c r="L7" s="93">
        <f>TRUNC(K7*C7,0)</f>
        <v>40709142</v>
      </c>
      <c r="M7" s="94" t="s">
        <v>6</v>
      </c>
      <c r="N7" t="s">
        <v>6</v>
      </c>
      <c r="P7" t="s">
        <v>194</v>
      </c>
      <c r="Q7" t="s">
        <v>6</v>
      </c>
      <c r="R7" t="s">
        <v>195</v>
      </c>
      <c r="BH7" s="92" t="s">
        <v>6</v>
      </c>
      <c r="BJ7" s="95" t="str">
        <f>HYPERLINK("#내역서!A42","A010010 →")</f>
        <v>A010010 →</v>
      </c>
      <c r="CC7" s="92" t="s">
        <v>196</v>
      </c>
    </row>
    <row r="8" spans="1:100" ht="18.399999999999999" customHeight="1" x14ac:dyDescent="0.15">
      <c r="A8" s="91" t="s">
        <v>197</v>
      </c>
      <c r="B8" s="92" t="s">
        <v>6</v>
      </c>
      <c r="C8" s="93">
        <v>1</v>
      </c>
      <c r="D8" s="92" t="s">
        <v>188</v>
      </c>
      <c r="E8" s="93">
        <f t="shared" si="1"/>
        <v>638421542</v>
      </c>
      <c r="F8" s="93">
        <f t="shared" si="0"/>
        <v>638421542</v>
      </c>
      <c r="G8" s="93">
        <f>H229</f>
        <v>327257793</v>
      </c>
      <c r="H8" s="93">
        <f>TRUNC(G8*C8,0)</f>
        <v>327257793</v>
      </c>
      <c r="I8" s="93">
        <f>J229</f>
        <v>266756937</v>
      </c>
      <c r="J8" s="93">
        <f>TRUNC(I8*C8,0)</f>
        <v>266756937</v>
      </c>
      <c r="K8" s="93">
        <f>L229</f>
        <v>44406812</v>
      </c>
      <c r="L8" s="93">
        <f>TRUNC(K8*C8,0)</f>
        <v>44406812</v>
      </c>
      <c r="M8" s="94" t="s">
        <v>6</v>
      </c>
      <c r="N8" t="s">
        <v>6</v>
      </c>
      <c r="P8" t="s">
        <v>198</v>
      </c>
      <c r="Q8" t="s">
        <v>6</v>
      </c>
      <c r="R8" t="s">
        <v>199</v>
      </c>
      <c r="BH8" s="92" t="s">
        <v>6</v>
      </c>
      <c r="BJ8" s="95" t="str">
        <f>HYPERLINK("#내역서!A226","A010020 →")</f>
        <v>A010020 →</v>
      </c>
      <c r="CC8" s="92" t="s">
        <v>196</v>
      </c>
    </row>
    <row r="9" spans="1:100" ht="18.399999999999999" customHeight="1" x14ac:dyDescent="0.15">
      <c r="A9" s="91" t="s">
        <v>200</v>
      </c>
      <c r="B9" s="92" t="s">
        <v>6</v>
      </c>
      <c r="C9" s="93">
        <v>1</v>
      </c>
      <c r="D9" s="92" t="s">
        <v>188</v>
      </c>
      <c r="E9" s="93">
        <f t="shared" si="1"/>
        <v>115978416</v>
      </c>
      <c r="F9" s="93">
        <f t="shared" si="0"/>
        <v>115978416</v>
      </c>
      <c r="G9" s="93">
        <f>H347</f>
        <v>169330</v>
      </c>
      <c r="H9" s="93">
        <f>TRUNC(G9*C9,0)</f>
        <v>169330</v>
      </c>
      <c r="I9" s="93">
        <f>J347</f>
        <v>1865910</v>
      </c>
      <c r="J9" s="93">
        <f>TRUNC(I9*C9,0)</f>
        <v>1865910</v>
      </c>
      <c r="K9" s="93">
        <f>L347</f>
        <v>113943176</v>
      </c>
      <c r="L9" s="93">
        <f>TRUNC(K9*C9,0)</f>
        <v>113943176</v>
      </c>
      <c r="M9" s="94" t="s">
        <v>6</v>
      </c>
      <c r="N9" t="s">
        <v>6</v>
      </c>
      <c r="P9" t="s">
        <v>201</v>
      </c>
      <c r="Q9" t="s">
        <v>6</v>
      </c>
      <c r="R9" t="s">
        <v>202</v>
      </c>
      <c r="BH9" s="92" t="s">
        <v>6</v>
      </c>
      <c r="BJ9" s="95" t="str">
        <f>HYPERLINK("#내역서!A344","A010030 →")</f>
        <v>A010030 →</v>
      </c>
      <c r="CC9" s="92" t="s">
        <v>196</v>
      </c>
    </row>
    <row r="10" spans="1:100" ht="18.399999999999999" customHeight="1" x14ac:dyDescent="0.15">
      <c r="A10" s="91" t="s">
        <v>203</v>
      </c>
      <c r="B10" s="92" t="s">
        <v>6</v>
      </c>
      <c r="C10" s="93">
        <v>1</v>
      </c>
      <c r="D10" s="92" t="s">
        <v>188</v>
      </c>
      <c r="E10" s="93">
        <f t="shared" si="1"/>
        <v>166000</v>
      </c>
      <c r="F10" s="93">
        <f t="shared" si="0"/>
        <v>166000</v>
      </c>
      <c r="G10" s="93">
        <f>H359</f>
        <v>0</v>
      </c>
      <c r="H10" s="93">
        <f>TRUNC(G10*C10,0)</f>
        <v>0</v>
      </c>
      <c r="I10" s="93">
        <f>J359</f>
        <v>0</v>
      </c>
      <c r="J10" s="93">
        <f>TRUNC(I10*C10,0)</f>
        <v>0</v>
      </c>
      <c r="K10" s="93">
        <f>L359</f>
        <v>166000</v>
      </c>
      <c r="L10" s="93">
        <f>TRUNC(K10*C10,0)</f>
        <v>166000</v>
      </c>
      <c r="M10" s="94" t="s">
        <v>6</v>
      </c>
      <c r="N10" t="s">
        <v>6</v>
      </c>
      <c r="P10" t="s">
        <v>204</v>
      </c>
      <c r="Q10" t="s">
        <v>6</v>
      </c>
      <c r="R10" t="s">
        <v>205</v>
      </c>
      <c r="AA10" s="96" t="s">
        <v>206</v>
      </c>
      <c r="AB10" s="97">
        <f>내역서!J6*18.9/100</f>
        <v>129110099.95799999</v>
      </c>
      <c r="AC10" s="96" t="s">
        <v>207</v>
      </c>
      <c r="AD10" s="98">
        <f t="shared" ref="AD10:AD19" si="2">$AB10</f>
        <v>129110099.95799999</v>
      </c>
      <c r="BH10" s="92" t="s">
        <v>6</v>
      </c>
      <c r="BJ10" s="95" t="str">
        <f>HYPERLINK("#내역서!A356","A010040 →")</f>
        <v>A010040 →</v>
      </c>
      <c r="CC10" s="92" t="s">
        <v>196</v>
      </c>
    </row>
    <row r="11" spans="1:100" ht="18.399999999999999" customHeight="1" x14ac:dyDescent="0.15">
      <c r="A11" s="91" t="s">
        <v>208</v>
      </c>
      <c r="B11" s="92" t="s">
        <v>209</v>
      </c>
      <c r="C11" s="93">
        <v>1</v>
      </c>
      <c r="D11" s="92" t="s">
        <v>188</v>
      </c>
      <c r="E11" s="93">
        <f t="shared" si="1"/>
        <v>0</v>
      </c>
      <c r="F11" s="93">
        <f t="shared" si="0"/>
        <v>129110099</v>
      </c>
      <c r="G11" s="90"/>
      <c r="H11" s="93">
        <v>0</v>
      </c>
      <c r="I11" s="90"/>
      <c r="J11" s="93">
        <f>TRUNC((J6*18.9/100),0)</f>
        <v>129110099</v>
      </c>
      <c r="K11" s="90"/>
      <c r="L11" s="93">
        <v>0</v>
      </c>
      <c r="M11" s="94" t="s">
        <v>6</v>
      </c>
      <c r="N11" t="s">
        <v>210</v>
      </c>
      <c r="P11" t="s">
        <v>211</v>
      </c>
      <c r="Q11" t="s">
        <v>6</v>
      </c>
      <c r="R11" t="s">
        <v>212</v>
      </c>
      <c r="X11" t="s">
        <v>213</v>
      </c>
      <c r="AA11" s="96" t="s">
        <v>214</v>
      </c>
      <c r="AB11" s="97">
        <f>(내역서!J6+내역서!J11)*3.56/100</f>
        <v>28915470.627600003</v>
      </c>
      <c r="AC11" s="96" t="s">
        <v>215</v>
      </c>
      <c r="AD11" s="98">
        <f t="shared" si="2"/>
        <v>28915470.627600003</v>
      </c>
      <c r="BH11" s="92" t="s">
        <v>6</v>
      </c>
      <c r="CC11" s="92" t="s">
        <v>192</v>
      </c>
    </row>
    <row r="12" spans="1:100" ht="18.399999999999999" customHeight="1" x14ac:dyDescent="0.15">
      <c r="A12" s="91" t="s">
        <v>216</v>
      </c>
      <c r="B12" s="92" t="s">
        <v>217</v>
      </c>
      <c r="C12" s="93">
        <v>1</v>
      </c>
      <c r="D12" s="92" t="s">
        <v>188</v>
      </c>
      <c r="E12" s="93">
        <f t="shared" si="1"/>
        <v>0</v>
      </c>
      <c r="F12" s="93">
        <f t="shared" si="0"/>
        <v>28915470</v>
      </c>
      <c r="G12" s="90"/>
      <c r="H12" s="93">
        <v>0</v>
      </c>
      <c r="I12" s="90"/>
      <c r="J12" s="93">
        <v>0</v>
      </c>
      <c r="K12" s="90"/>
      <c r="L12" s="93">
        <f>TRUNC(((J6+J11)*3.56/100),0)</f>
        <v>28915470</v>
      </c>
      <c r="M12" s="94" t="s">
        <v>6</v>
      </c>
      <c r="N12" t="s">
        <v>6</v>
      </c>
      <c r="P12" t="s">
        <v>218</v>
      </c>
      <c r="Q12" t="s">
        <v>6</v>
      </c>
      <c r="R12" t="s">
        <v>212</v>
      </c>
      <c r="X12" t="s">
        <v>219</v>
      </c>
      <c r="AA12" s="96" t="s">
        <v>214</v>
      </c>
      <c r="AB12" s="97">
        <f>(내역서!J6+내역서!J11)*1.01/100</f>
        <v>8203546.4421000006</v>
      </c>
      <c r="AC12" s="96" t="s">
        <v>215</v>
      </c>
      <c r="AD12" s="98">
        <f t="shared" si="2"/>
        <v>8203546.4421000006</v>
      </c>
      <c r="BH12" s="92" t="s">
        <v>6</v>
      </c>
      <c r="CC12" s="92" t="s">
        <v>192</v>
      </c>
    </row>
    <row r="13" spans="1:100" ht="18.399999999999999" customHeight="1" x14ac:dyDescent="0.15">
      <c r="A13" s="91" t="s">
        <v>220</v>
      </c>
      <c r="B13" s="92" t="s">
        <v>221</v>
      </c>
      <c r="C13" s="93">
        <v>1</v>
      </c>
      <c r="D13" s="92" t="s">
        <v>188</v>
      </c>
      <c r="E13" s="93">
        <f t="shared" si="1"/>
        <v>0</v>
      </c>
      <c r="F13" s="93">
        <f t="shared" si="0"/>
        <v>8203546</v>
      </c>
      <c r="G13" s="90"/>
      <c r="H13" s="93">
        <v>0</v>
      </c>
      <c r="I13" s="90"/>
      <c r="J13" s="93">
        <v>0</v>
      </c>
      <c r="K13" s="90"/>
      <c r="L13" s="93">
        <f>TRUNC(((J6+J11)*1.01/100),0)</f>
        <v>8203546</v>
      </c>
      <c r="M13" s="94" t="s">
        <v>6</v>
      </c>
      <c r="N13" t="s">
        <v>222</v>
      </c>
      <c r="P13" t="s">
        <v>223</v>
      </c>
      <c r="Q13" t="s">
        <v>6</v>
      </c>
      <c r="R13" t="s">
        <v>212</v>
      </c>
      <c r="X13" t="s">
        <v>224</v>
      </c>
      <c r="AA13" s="96" t="s">
        <v>214</v>
      </c>
      <c r="AB13" s="97">
        <f>내역서!J6*3.595/100</f>
        <v>24558243.880900003</v>
      </c>
      <c r="AC13" s="96" t="s">
        <v>215</v>
      </c>
      <c r="AD13" s="98">
        <f t="shared" si="2"/>
        <v>24558243.880900003</v>
      </c>
      <c r="BH13" s="92" t="s">
        <v>6</v>
      </c>
      <c r="CC13" s="92" t="s">
        <v>192</v>
      </c>
    </row>
    <row r="14" spans="1:100" ht="18.399999999999999" customHeight="1" x14ac:dyDescent="0.15">
      <c r="A14" s="91" t="s">
        <v>225</v>
      </c>
      <c r="B14" s="92" t="s">
        <v>226</v>
      </c>
      <c r="C14" s="93">
        <v>1</v>
      </c>
      <c r="D14" s="92" t="s">
        <v>188</v>
      </c>
      <c r="E14" s="93">
        <f t="shared" si="1"/>
        <v>0</v>
      </c>
      <c r="F14" s="93">
        <f t="shared" si="0"/>
        <v>24558243</v>
      </c>
      <c r="G14" s="90"/>
      <c r="H14" s="93">
        <v>0</v>
      </c>
      <c r="I14" s="90"/>
      <c r="J14" s="93">
        <v>0</v>
      </c>
      <c r="K14" s="90"/>
      <c r="L14" s="93">
        <f>TRUNC((J6*3.595/100),0)</f>
        <v>24558243</v>
      </c>
      <c r="M14" s="94" t="s">
        <v>6</v>
      </c>
      <c r="N14" t="s">
        <v>227</v>
      </c>
      <c r="P14" t="s">
        <v>228</v>
      </c>
      <c r="Q14" t="s">
        <v>6</v>
      </c>
      <c r="R14" t="s">
        <v>212</v>
      </c>
      <c r="X14" t="s">
        <v>229</v>
      </c>
      <c r="AA14" s="96" t="s">
        <v>214</v>
      </c>
      <c r="AB14" s="97">
        <f>내역서!J6*4.75/100</f>
        <v>32448305.545000002</v>
      </c>
      <c r="AC14" s="96" t="s">
        <v>215</v>
      </c>
      <c r="AD14" s="98">
        <f t="shared" si="2"/>
        <v>32448305.545000002</v>
      </c>
      <c r="BH14" s="92" t="s">
        <v>6</v>
      </c>
      <c r="CC14" s="92" t="s">
        <v>192</v>
      </c>
    </row>
    <row r="15" spans="1:100" ht="18.399999999999999" customHeight="1" x14ac:dyDescent="0.15">
      <c r="A15" s="91" t="s">
        <v>230</v>
      </c>
      <c r="B15" s="92" t="s">
        <v>231</v>
      </c>
      <c r="C15" s="93">
        <v>1</v>
      </c>
      <c r="D15" s="92" t="s">
        <v>188</v>
      </c>
      <c r="E15" s="93">
        <f t="shared" si="1"/>
        <v>0</v>
      </c>
      <c r="F15" s="93">
        <f t="shared" si="0"/>
        <v>32448305</v>
      </c>
      <c r="G15" s="90"/>
      <c r="H15" s="93">
        <v>0</v>
      </c>
      <c r="I15" s="90"/>
      <c r="J15" s="93">
        <v>0</v>
      </c>
      <c r="K15" s="90"/>
      <c r="L15" s="93">
        <f>TRUNC((J6*4.75/100),0)</f>
        <v>32448305</v>
      </c>
      <c r="M15" s="94" t="s">
        <v>6</v>
      </c>
      <c r="N15" t="s">
        <v>227</v>
      </c>
      <c r="P15" t="s">
        <v>232</v>
      </c>
      <c r="Q15" t="s">
        <v>6</v>
      </c>
      <c r="R15" t="s">
        <v>212</v>
      </c>
      <c r="X15" t="s">
        <v>233</v>
      </c>
      <c r="AA15" s="96" t="s">
        <v>214</v>
      </c>
      <c r="AB15" s="97">
        <f>내역서!L14*13.14/100</f>
        <v>3226953.1302000005</v>
      </c>
      <c r="AC15" s="96" t="s">
        <v>215</v>
      </c>
      <c r="AD15" s="98">
        <f t="shared" si="2"/>
        <v>3226953.1302000005</v>
      </c>
      <c r="BH15" s="92" t="s">
        <v>6</v>
      </c>
      <c r="CC15" s="92" t="s">
        <v>192</v>
      </c>
    </row>
    <row r="16" spans="1:100" ht="18.399999999999999" customHeight="1" x14ac:dyDescent="0.15">
      <c r="A16" s="91" t="s">
        <v>234</v>
      </c>
      <c r="B16" s="92" t="s">
        <v>235</v>
      </c>
      <c r="C16" s="93">
        <v>1</v>
      </c>
      <c r="D16" s="92" t="s">
        <v>188</v>
      </c>
      <c r="E16" s="93">
        <f t="shared" si="1"/>
        <v>0</v>
      </c>
      <c r="F16" s="93">
        <f t="shared" si="0"/>
        <v>3226953</v>
      </c>
      <c r="G16" s="90"/>
      <c r="H16" s="93">
        <v>0</v>
      </c>
      <c r="I16" s="90"/>
      <c r="J16" s="93">
        <v>0</v>
      </c>
      <c r="K16" s="90"/>
      <c r="L16" s="93">
        <f>TRUNC((L14*13.14/100),0)</f>
        <v>3226953</v>
      </c>
      <c r="M16" s="94" t="s">
        <v>6</v>
      </c>
      <c r="N16" t="s">
        <v>227</v>
      </c>
      <c r="P16" t="s">
        <v>236</v>
      </c>
      <c r="Q16" t="s">
        <v>6</v>
      </c>
      <c r="R16" t="s">
        <v>212</v>
      </c>
      <c r="X16" t="s">
        <v>237</v>
      </c>
      <c r="AA16" s="96" t="s">
        <v>214</v>
      </c>
      <c r="AB16" s="97">
        <f>내역서!J6*2.3/100</f>
        <v>15711811.105999999</v>
      </c>
      <c r="AC16" s="96" t="s">
        <v>215</v>
      </c>
      <c r="AD16" s="98">
        <f t="shared" si="2"/>
        <v>15711811.105999999</v>
      </c>
      <c r="BH16" s="92" t="s">
        <v>6</v>
      </c>
      <c r="CC16" s="92" t="s">
        <v>192</v>
      </c>
    </row>
    <row r="17" spans="1:81" ht="18.399999999999999" customHeight="1" x14ac:dyDescent="0.15">
      <c r="A17" s="91" t="s">
        <v>238</v>
      </c>
      <c r="B17" s="92" t="s">
        <v>239</v>
      </c>
      <c r="C17" s="93">
        <v>1</v>
      </c>
      <c r="D17" s="92" t="s">
        <v>188</v>
      </c>
      <c r="E17" s="93">
        <f t="shared" si="1"/>
        <v>0</v>
      </c>
      <c r="F17" s="93">
        <f t="shared" si="0"/>
        <v>15711811</v>
      </c>
      <c r="G17" s="90"/>
      <c r="H17" s="93">
        <v>0</v>
      </c>
      <c r="I17" s="90"/>
      <c r="J17" s="93">
        <v>0</v>
      </c>
      <c r="K17" s="90"/>
      <c r="L17" s="93">
        <f>TRUNC((J6*2.3/100),0)</f>
        <v>15711811</v>
      </c>
      <c r="M17" s="94" t="s">
        <v>6</v>
      </c>
      <c r="N17" t="s">
        <v>227</v>
      </c>
      <c r="P17" t="s">
        <v>240</v>
      </c>
      <c r="Q17" t="s">
        <v>6</v>
      </c>
      <c r="R17" t="s">
        <v>212</v>
      </c>
      <c r="X17" t="s">
        <v>241</v>
      </c>
      <c r="AA17" s="96" t="s">
        <v>214</v>
      </c>
      <c r="AB17" s="97">
        <f>(내역서!H6+내역서!J6+내역서!L6)*0.4/100</f>
        <v>6663122.9000000004</v>
      </c>
      <c r="AC17" s="96" t="s">
        <v>215</v>
      </c>
      <c r="AD17" s="98">
        <f t="shared" si="2"/>
        <v>6663122.9000000004</v>
      </c>
      <c r="BH17" s="92" t="s">
        <v>6</v>
      </c>
      <c r="CC17" s="92" t="s">
        <v>192</v>
      </c>
    </row>
    <row r="18" spans="1:81" ht="18.399999999999999" customHeight="1" x14ac:dyDescent="0.15">
      <c r="A18" s="91" t="s">
        <v>242</v>
      </c>
      <c r="B18" s="92" t="s">
        <v>243</v>
      </c>
      <c r="C18" s="93">
        <v>1</v>
      </c>
      <c r="D18" s="92" t="s">
        <v>188</v>
      </c>
      <c r="E18" s="93">
        <f t="shared" si="1"/>
        <v>0</v>
      </c>
      <c r="F18" s="93">
        <f t="shared" si="0"/>
        <v>6663122</v>
      </c>
      <c r="G18" s="90"/>
      <c r="H18" s="93">
        <v>0</v>
      </c>
      <c r="I18" s="90"/>
      <c r="J18" s="93">
        <v>0</v>
      </c>
      <c r="K18" s="90"/>
      <c r="L18" s="93">
        <f>TRUNC(((H6+J6+L6)*0.4/100),0)</f>
        <v>6663122</v>
      </c>
      <c r="M18" s="94" t="s">
        <v>6</v>
      </c>
      <c r="N18" t="s">
        <v>244</v>
      </c>
      <c r="P18" t="s">
        <v>245</v>
      </c>
      <c r="Q18" t="s">
        <v>6</v>
      </c>
      <c r="R18" t="s">
        <v>212</v>
      </c>
      <c r="X18" t="s">
        <v>246</v>
      </c>
      <c r="AA18" s="96" t="s">
        <v>214</v>
      </c>
      <c r="AB18" s="97">
        <f>ROUND((내역서!J6+내역서!H6)*2.53/100+3300000,3)</f>
        <v>40403856.553999998</v>
      </c>
      <c r="AC18" s="96" t="s">
        <v>215</v>
      </c>
      <c r="AD18" s="98">
        <f t="shared" si="2"/>
        <v>40403856.553999998</v>
      </c>
      <c r="AE18" s="99" t="s">
        <v>247</v>
      </c>
      <c r="AF18" s="97">
        <f>ROUND(ROUND((내역서!J6+내역서!H6)*2.53/100+3300000,3),3)</f>
        <v>40403856.553999998</v>
      </c>
      <c r="AG18" s="99" t="s">
        <v>248</v>
      </c>
      <c r="AH18" s="98">
        <f>$AF18</f>
        <v>40403856.553999998</v>
      </c>
      <c r="BH18" s="92" t="s">
        <v>6</v>
      </c>
      <c r="CC18" s="92" t="s">
        <v>192</v>
      </c>
    </row>
    <row r="19" spans="1:81" ht="18.399999999999999" customHeight="1" x14ac:dyDescent="0.15">
      <c r="A19" s="91" t="s">
        <v>249</v>
      </c>
      <c r="B19" s="92" t="s">
        <v>250</v>
      </c>
      <c r="C19" s="93">
        <v>1</v>
      </c>
      <c r="D19" s="92" t="s">
        <v>188</v>
      </c>
      <c r="E19" s="93">
        <f t="shared" si="1"/>
        <v>0</v>
      </c>
      <c r="F19" s="93">
        <f t="shared" si="0"/>
        <v>40403856</v>
      </c>
      <c r="G19" s="90"/>
      <c r="H19" s="93">
        <v>0</v>
      </c>
      <c r="I19" s="90"/>
      <c r="J19" s="93">
        <v>0</v>
      </c>
      <c r="K19" s="90"/>
      <c r="L19" s="93">
        <f>TRUNC((ROUND((J6+H6)*2.53/100+3300000,3)),0)</f>
        <v>40403856</v>
      </c>
      <c r="M19" s="94" t="s">
        <v>6</v>
      </c>
      <c r="N19" t="s">
        <v>251</v>
      </c>
      <c r="P19" t="s">
        <v>252</v>
      </c>
      <c r="Q19" t="s">
        <v>6</v>
      </c>
      <c r="R19" t="s">
        <v>212</v>
      </c>
      <c r="X19" t="s">
        <v>253</v>
      </c>
      <c r="AA19" s="96" t="s">
        <v>214</v>
      </c>
      <c r="AB19" s="97">
        <f>(내역서!H6+(내역서!J6+내역서!J11))*5.8/100</f>
        <v>92548610.251999989</v>
      </c>
      <c r="AC19" s="96" t="s">
        <v>215</v>
      </c>
      <c r="AD19" s="98">
        <f t="shared" si="2"/>
        <v>92548610.251999989</v>
      </c>
      <c r="BH19" s="92" t="s">
        <v>6</v>
      </c>
      <c r="CC19" s="92" t="s">
        <v>192</v>
      </c>
    </row>
    <row r="20" spans="1:81" ht="18.399999999999999" customHeight="1" x14ac:dyDescent="0.15">
      <c r="A20" s="91" t="s">
        <v>254</v>
      </c>
      <c r="B20" s="92" t="s">
        <v>255</v>
      </c>
      <c r="C20" s="93">
        <v>1</v>
      </c>
      <c r="D20" s="92" t="s">
        <v>188</v>
      </c>
      <c r="E20" s="93">
        <f t="shared" si="1"/>
        <v>0</v>
      </c>
      <c r="F20" s="93">
        <f t="shared" si="0"/>
        <v>92548610</v>
      </c>
      <c r="G20" s="90"/>
      <c r="H20" s="93">
        <v>0</v>
      </c>
      <c r="I20" s="90"/>
      <c r="J20" s="93">
        <v>0</v>
      </c>
      <c r="K20" s="90"/>
      <c r="L20" s="93">
        <f>TRUNC(((H6+(J6+J11))*5.8/100),0)</f>
        <v>92548610</v>
      </c>
      <c r="M20" s="94" t="s">
        <v>6</v>
      </c>
      <c r="N20" t="s">
        <v>210</v>
      </c>
      <c r="P20" t="s">
        <v>256</v>
      </c>
      <c r="Q20" t="s">
        <v>6</v>
      </c>
      <c r="R20" t="s">
        <v>212</v>
      </c>
      <c r="X20" t="s">
        <v>257</v>
      </c>
      <c r="BH20" s="92" t="s">
        <v>6</v>
      </c>
      <c r="CC20" s="92" t="s">
        <v>192</v>
      </c>
    </row>
    <row r="21" spans="1:81" ht="18.399999999999999" customHeight="1" x14ac:dyDescent="0.15">
      <c r="A21" s="91" t="s">
        <v>258</v>
      </c>
      <c r="B21" s="92" t="s">
        <v>259</v>
      </c>
      <c r="C21" s="92"/>
      <c r="D21" s="92" t="s">
        <v>188</v>
      </c>
      <c r="E21" s="93">
        <f t="shared" si="1"/>
        <v>0</v>
      </c>
      <c r="F21" s="93">
        <f t="shared" si="0"/>
        <v>0</v>
      </c>
      <c r="G21" s="90"/>
      <c r="H21" s="93">
        <v>0</v>
      </c>
      <c r="I21" s="90"/>
      <c r="J21" s="93">
        <v>0</v>
      </c>
      <c r="K21" s="90"/>
      <c r="L21" s="93">
        <f>TRUNC((((H6+J6+L6)*0.0108/100)*6/12*0),0)</f>
        <v>0</v>
      </c>
      <c r="M21" s="94" t="s">
        <v>6</v>
      </c>
      <c r="N21" t="s">
        <v>260</v>
      </c>
      <c r="P21" t="s">
        <v>261</v>
      </c>
      <c r="Q21" t="s">
        <v>6</v>
      </c>
      <c r="R21" t="s">
        <v>212</v>
      </c>
      <c r="X21" t="s">
        <v>262</v>
      </c>
      <c r="AA21" s="96" t="s">
        <v>214</v>
      </c>
      <c r="AB21" s="97">
        <f>(내역서!H6+내역서!J6+내역서!L6)*0.081/100</f>
        <v>1349282.3872499999</v>
      </c>
      <c r="AC21" s="96" t="s">
        <v>215</v>
      </c>
      <c r="AD21" s="98">
        <f>$AB21</f>
        <v>1349282.3872499999</v>
      </c>
      <c r="BH21" s="92" t="s">
        <v>6</v>
      </c>
      <c r="CC21" s="92" t="s">
        <v>192</v>
      </c>
    </row>
    <row r="22" spans="1:81" ht="18.399999999999999" customHeight="1" x14ac:dyDescent="0.15">
      <c r="A22" s="91" t="s">
        <v>263</v>
      </c>
      <c r="B22" s="92" t="s">
        <v>264</v>
      </c>
      <c r="C22" s="93">
        <v>1</v>
      </c>
      <c r="D22" s="92" t="s">
        <v>188</v>
      </c>
      <c r="E22" s="93">
        <f t="shared" si="1"/>
        <v>0</v>
      </c>
      <c r="F22" s="93">
        <f t="shared" si="0"/>
        <v>1349282</v>
      </c>
      <c r="G22" s="90"/>
      <c r="H22" s="93">
        <v>0</v>
      </c>
      <c r="I22" s="90"/>
      <c r="J22" s="93">
        <v>0</v>
      </c>
      <c r="K22" s="90"/>
      <c r="L22" s="93">
        <f>TRUNC(((H6+J6+L6)*0.081/100),0)</f>
        <v>1349282</v>
      </c>
      <c r="M22" s="94" t="s">
        <v>6</v>
      </c>
      <c r="N22" t="s">
        <v>265</v>
      </c>
      <c r="P22" t="s">
        <v>266</v>
      </c>
      <c r="Q22" t="s">
        <v>6</v>
      </c>
      <c r="R22" t="s">
        <v>212</v>
      </c>
      <c r="X22" t="s">
        <v>267</v>
      </c>
      <c r="AA22" s="96" t="s">
        <v>214</v>
      </c>
      <c r="AB22" s="97">
        <f>(내역서!H6+내역서!J6+내역서!L6)*0.8/100</f>
        <v>13326245.800000001</v>
      </c>
      <c r="AC22" s="96" t="s">
        <v>215</v>
      </c>
      <c r="AD22" s="98">
        <f>$AB22</f>
        <v>13326245.800000001</v>
      </c>
      <c r="BH22" s="92" t="s">
        <v>6</v>
      </c>
      <c r="CC22" s="92" t="s">
        <v>192</v>
      </c>
    </row>
    <row r="23" spans="1:81" ht="18.399999999999999" customHeight="1" x14ac:dyDescent="0.15">
      <c r="A23" s="91" t="s">
        <v>268</v>
      </c>
      <c r="B23" s="92" t="s">
        <v>269</v>
      </c>
      <c r="C23" s="93">
        <v>1</v>
      </c>
      <c r="D23" s="92" t="s">
        <v>188</v>
      </c>
      <c r="E23" s="93">
        <f t="shared" si="1"/>
        <v>0</v>
      </c>
      <c r="F23" s="93">
        <f t="shared" si="0"/>
        <v>13326245</v>
      </c>
      <c r="G23" s="90"/>
      <c r="H23" s="93">
        <v>0</v>
      </c>
      <c r="I23" s="90"/>
      <c r="J23" s="93">
        <v>0</v>
      </c>
      <c r="K23" s="90"/>
      <c r="L23" s="93">
        <f>TRUNC(((H6+J6+L6)*0.8/100),0)</f>
        <v>13326245</v>
      </c>
      <c r="M23" s="94" t="s">
        <v>6</v>
      </c>
      <c r="N23" t="s">
        <v>270</v>
      </c>
      <c r="P23" t="s">
        <v>271</v>
      </c>
      <c r="Q23" t="s">
        <v>6</v>
      </c>
      <c r="R23" t="s">
        <v>212</v>
      </c>
      <c r="X23" t="s">
        <v>272</v>
      </c>
      <c r="AA23" s="96" t="s">
        <v>214</v>
      </c>
      <c r="AB23" s="97">
        <f>(내역서!J6+내역서!J11)*0.006/100</f>
        <v>48733.939259999999</v>
      </c>
      <c r="AC23" s="96" t="s">
        <v>215</v>
      </c>
      <c r="AD23" s="98">
        <f>$AB23</f>
        <v>48733.939259999999</v>
      </c>
      <c r="BH23" s="92" t="s">
        <v>6</v>
      </c>
      <c r="CC23" s="92" t="s">
        <v>192</v>
      </c>
    </row>
    <row r="24" spans="1:81" ht="18.399999999999999" customHeight="1" x14ac:dyDescent="0.15">
      <c r="A24" s="91" t="s">
        <v>273</v>
      </c>
      <c r="B24" s="92" t="s">
        <v>274</v>
      </c>
      <c r="C24" s="93">
        <v>1</v>
      </c>
      <c r="D24" s="92" t="s">
        <v>188</v>
      </c>
      <c r="E24" s="93">
        <f t="shared" si="1"/>
        <v>0</v>
      </c>
      <c r="F24" s="93">
        <f t="shared" si="0"/>
        <v>48733</v>
      </c>
      <c r="G24" s="90"/>
      <c r="H24" s="93">
        <v>0</v>
      </c>
      <c r="I24" s="90"/>
      <c r="J24" s="93">
        <v>0</v>
      </c>
      <c r="K24" s="90"/>
      <c r="L24" s="93">
        <f>TRUNC(((J6+J11)*0.006/100),0)</f>
        <v>48733</v>
      </c>
      <c r="M24" s="94" t="s">
        <v>6</v>
      </c>
      <c r="N24" t="s">
        <v>227</v>
      </c>
      <c r="P24" t="s">
        <v>275</v>
      </c>
      <c r="Q24" t="s">
        <v>6</v>
      </c>
      <c r="R24" t="s">
        <v>212</v>
      </c>
      <c r="X24" t="s">
        <v>276</v>
      </c>
      <c r="AA24" s="96" t="s">
        <v>214</v>
      </c>
      <c r="AB24" s="97">
        <f>(내역서!J6+내역서!J11)*0.09/100</f>
        <v>731009.08889999997</v>
      </c>
      <c r="AC24" s="96" t="s">
        <v>215</v>
      </c>
      <c r="AD24" s="98">
        <f>$AB24</f>
        <v>731009.08889999997</v>
      </c>
      <c r="BH24" s="92" t="s">
        <v>6</v>
      </c>
      <c r="CC24" s="92" t="s">
        <v>192</v>
      </c>
    </row>
    <row r="25" spans="1:81" ht="18.399999999999999" customHeight="1" x14ac:dyDescent="0.15">
      <c r="A25" s="91" t="s">
        <v>277</v>
      </c>
      <c r="B25" s="92" t="s">
        <v>278</v>
      </c>
      <c r="C25" s="93">
        <v>1</v>
      </c>
      <c r="D25" s="92" t="s">
        <v>188</v>
      </c>
      <c r="E25" s="93">
        <f t="shared" si="1"/>
        <v>0</v>
      </c>
      <c r="F25" s="93">
        <f t="shared" si="0"/>
        <v>731009</v>
      </c>
      <c r="G25" s="90"/>
      <c r="H25" s="93">
        <v>0</v>
      </c>
      <c r="I25" s="90"/>
      <c r="J25" s="93">
        <v>0</v>
      </c>
      <c r="K25" s="90"/>
      <c r="L25" s="93">
        <f>TRUNC(((J6+J11)*0.09/100),0)</f>
        <v>731009</v>
      </c>
      <c r="M25" s="94" t="s">
        <v>6</v>
      </c>
      <c r="N25" t="s">
        <v>227</v>
      </c>
      <c r="P25" t="s">
        <v>279</v>
      </c>
      <c r="Q25" t="s">
        <v>6</v>
      </c>
      <c r="R25" t="s">
        <v>212</v>
      </c>
      <c r="X25" t="s">
        <v>280</v>
      </c>
      <c r="BH25" s="92" t="s">
        <v>6</v>
      </c>
      <c r="CC25" s="92" t="s">
        <v>192</v>
      </c>
    </row>
    <row r="26" spans="1:81" ht="18.399999999999999" customHeight="1" x14ac:dyDescent="0.15">
      <c r="A26" s="91" t="s">
        <v>281</v>
      </c>
      <c r="B26" s="92" t="s">
        <v>6</v>
      </c>
      <c r="C26" s="93">
        <v>1</v>
      </c>
      <c r="D26" s="92" t="s">
        <v>282</v>
      </c>
      <c r="E26" s="93">
        <f t="shared" si="1"/>
        <v>54844626</v>
      </c>
      <c r="F26" s="93">
        <f t="shared" si="0"/>
        <v>54844626</v>
      </c>
      <c r="G26" s="93">
        <f>H364</f>
        <v>0</v>
      </c>
      <c r="H26" s="93">
        <f>TRUNC(G26*C26,0)</f>
        <v>0</v>
      </c>
      <c r="I26" s="93">
        <f>J364</f>
        <v>0</v>
      </c>
      <c r="J26" s="93">
        <f>TRUNC(I26*C26,0)</f>
        <v>0</v>
      </c>
      <c r="K26" s="93">
        <f>L364</f>
        <v>54844626</v>
      </c>
      <c r="L26" s="93">
        <f>TRUNC(K26*C26,0)</f>
        <v>54844626</v>
      </c>
      <c r="M26" s="94" t="s">
        <v>6</v>
      </c>
      <c r="N26" t="s">
        <v>6</v>
      </c>
      <c r="P26" t="s">
        <v>283</v>
      </c>
      <c r="Q26" t="s">
        <v>6</v>
      </c>
      <c r="R26" t="s">
        <v>284</v>
      </c>
      <c r="BH26" s="92" t="s">
        <v>6</v>
      </c>
      <c r="BJ26" s="95" t="str">
        <f>HYPERLINK("#내역서!A361","A020010 →")</f>
        <v>A020010 →</v>
      </c>
      <c r="CC26" s="92" t="s">
        <v>192</v>
      </c>
    </row>
    <row r="27" spans="1:81" ht="18.399999999999999" customHeight="1" x14ac:dyDescent="0.15">
      <c r="A27" s="91" t="s">
        <v>285</v>
      </c>
      <c r="B27" s="92" t="s">
        <v>6</v>
      </c>
      <c r="C27" s="93">
        <v>1</v>
      </c>
      <c r="D27" s="92" t="s">
        <v>282</v>
      </c>
      <c r="E27" s="93">
        <f t="shared" si="1"/>
        <v>22000000</v>
      </c>
      <c r="F27" s="93">
        <f t="shared" si="0"/>
        <v>22000000</v>
      </c>
      <c r="G27" s="93">
        <f>H377</f>
        <v>0</v>
      </c>
      <c r="H27" s="93">
        <f>TRUNC(G27*C27,0)</f>
        <v>0</v>
      </c>
      <c r="I27" s="93">
        <f>J377</f>
        <v>0</v>
      </c>
      <c r="J27" s="93">
        <f>TRUNC(I27*C27,0)</f>
        <v>0</v>
      </c>
      <c r="K27" s="93">
        <f>L377</f>
        <v>22000000</v>
      </c>
      <c r="L27" s="93">
        <f>TRUNC(K27*C27,0)</f>
        <v>22000000</v>
      </c>
      <c r="M27" s="94" t="s">
        <v>6</v>
      </c>
      <c r="N27" t="s">
        <v>6</v>
      </c>
      <c r="P27" t="s">
        <v>286</v>
      </c>
      <c r="Q27" t="s">
        <v>6</v>
      </c>
      <c r="R27" t="s">
        <v>287</v>
      </c>
      <c r="AA27" s="96" t="s">
        <v>214</v>
      </c>
      <c r="AB27" s="97">
        <f>(내역서!H5+내역서!J5+내역서!L5)*8/100</f>
        <v>171189650.80000001</v>
      </c>
      <c r="AC27" s="96" t="s">
        <v>215</v>
      </c>
      <c r="AD27" s="98">
        <f>$AB27</f>
        <v>171189650.80000001</v>
      </c>
      <c r="BH27" s="92" t="s">
        <v>6</v>
      </c>
      <c r="BJ27" s="95" t="str">
        <f>HYPERLINK("#내역서!A374","A020020 →")</f>
        <v>A020020 →</v>
      </c>
      <c r="CC27" s="92" t="s">
        <v>192</v>
      </c>
    </row>
    <row r="28" spans="1:81" ht="18.399999999999999" customHeight="1" x14ac:dyDescent="0.15">
      <c r="A28" s="91" t="s">
        <v>288</v>
      </c>
      <c r="B28" s="92" t="s">
        <v>289</v>
      </c>
      <c r="C28" s="93">
        <v>1</v>
      </c>
      <c r="D28" s="92" t="s">
        <v>188</v>
      </c>
      <c r="E28" s="93">
        <f t="shared" si="1"/>
        <v>0</v>
      </c>
      <c r="F28" s="93">
        <f t="shared" si="0"/>
        <v>171189650</v>
      </c>
      <c r="G28" s="90"/>
      <c r="H28" s="93">
        <v>0</v>
      </c>
      <c r="I28" s="90"/>
      <c r="J28" s="93">
        <v>0</v>
      </c>
      <c r="K28" s="90"/>
      <c r="L28" s="93">
        <f>TRUNC(((H5+J5+L5)*8/100),0)</f>
        <v>171189650</v>
      </c>
      <c r="M28" s="94" t="s">
        <v>6</v>
      </c>
      <c r="N28" t="s">
        <v>290</v>
      </c>
      <c r="P28" t="s">
        <v>291</v>
      </c>
      <c r="Q28" t="s">
        <v>6</v>
      </c>
      <c r="R28" t="s">
        <v>212</v>
      </c>
      <c r="X28" t="s">
        <v>292</v>
      </c>
      <c r="AA28" s="96" t="s">
        <v>214</v>
      </c>
      <c r="AB28" s="97">
        <f>ROUND((내역서!J5+내역서!L5+내역서!L28)*15/100-0/1.1,2)</f>
        <v>229144036.80000001</v>
      </c>
      <c r="AC28" s="96" t="s">
        <v>215</v>
      </c>
      <c r="AD28" s="98">
        <f>$AB28</f>
        <v>229144036.80000001</v>
      </c>
      <c r="AE28" s="99" t="s">
        <v>293</v>
      </c>
      <c r="AF28" s="97">
        <f>ROUND(ROUND((내역서!J5+내역서!L5+내역서!L28)*15/100-0/1.1,2),2)</f>
        <v>229144036.80000001</v>
      </c>
      <c r="AG28" s="99" t="s">
        <v>294</v>
      </c>
      <c r="AH28" s="98">
        <f>$AF28</f>
        <v>229144036.80000001</v>
      </c>
      <c r="BH28" s="92" t="s">
        <v>6</v>
      </c>
      <c r="CC28" s="92" t="s">
        <v>189</v>
      </c>
    </row>
    <row r="29" spans="1:81" ht="18.399999999999999" customHeight="1" x14ac:dyDescent="0.15">
      <c r="A29" s="91" t="s">
        <v>295</v>
      </c>
      <c r="B29" s="92" t="s">
        <v>296</v>
      </c>
      <c r="C29" s="93">
        <v>1</v>
      </c>
      <c r="D29" s="92" t="s">
        <v>188</v>
      </c>
      <c r="E29" s="93">
        <f t="shared" si="1"/>
        <v>0</v>
      </c>
      <c r="F29" s="93">
        <f t="shared" si="0"/>
        <v>229142077</v>
      </c>
      <c r="G29" s="90"/>
      <c r="H29" s="93">
        <v>0</v>
      </c>
      <c r="I29" s="90"/>
      <c r="J29" s="93">
        <v>0</v>
      </c>
      <c r="K29" s="90"/>
      <c r="L29" s="93">
        <f>TRUNC((ROUND((J5+L5+L28)*15/100-1959/1,2)),0)</f>
        <v>229142077</v>
      </c>
      <c r="M29" s="94" t="s">
        <v>6</v>
      </c>
      <c r="N29" t="s">
        <v>290</v>
      </c>
      <c r="P29" t="s">
        <v>297</v>
      </c>
      <c r="Q29" t="s">
        <v>6</v>
      </c>
      <c r="R29" t="s">
        <v>212</v>
      </c>
      <c r="X29" t="s">
        <v>298</v>
      </c>
      <c r="BH29" s="92" t="s">
        <v>6</v>
      </c>
      <c r="CC29" s="92" t="s">
        <v>189</v>
      </c>
    </row>
    <row r="30" spans="1:81" ht="18.399999999999999" customHeight="1" x14ac:dyDescent="0.15">
      <c r="A30" s="91" t="s">
        <v>299</v>
      </c>
      <c r="B30" s="92" t="s">
        <v>300</v>
      </c>
      <c r="C30" s="93">
        <v>6</v>
      </c>
      <c r="D30" s="92" t="s">
        <v>301</v>
      </c>
      <c r="E30" s="93"/>
      <c r="F30" s="93">
        <f t="shared" si="0"/>
        <v>247638</v>
      </c>
      <c r="G30" s="90"/>
      <c r="H30" s="93"/>
      <c r="I30" s="90"/>
      <c r="J30" s="93"/>
      <c r="K30" s="100">
        <f>[4]경비!F10</f>
        <v>41273</v>
      </c>
      <c r="L30" s="93">
        <f>TRUNC(K30*C30,0)</f>
        <v>247638</v>
      </c>
      <c r="M30" s="94"/>
      <c r="BH30" s="92"/>
      <c r="CC30" s="92"/>
    </row>
    <row r="31" spans="1:81" ht="18.399999999999999" customHeight="1" x14ac:dyDescent="0.15">
      <c r="A31" s="91" t="s">
        <v>302</v>
      </c>
      <c r="B31" s="92" t="s">
        <v>300</v>
      </c>
      <c r="C31" s="93">
        <v>2</v>
      </c>
      <c r="D31" s="92" t="s">
        <v>303</v>
      </c>
      <c r="E31" s="93"/>
      <c r="F31" s="93">
        <f t="shared" si="0"/>
        <v>84000</v>
      </c>
      <c r="G31" s="90"/>
      <c r="H31" s="93"/>
      <c r="I31" s="90"/>
      <c r="J31" s="93"/>
      <c r="K31" s="100">
        <f>[4]경비!G11</f>
        <v>42000</v>
      </c>
      <c r="L31" s="93">
        <f>TRUNC(K31*C31,0)</f>
        <v>84000</v>
      </c>
      <c r="M31" s="94"/>
      <c r="BH31" s="92"/>
      <c r="CC31" s="92"/>
    </row>
    <row r="32" spans="1:81" ht="18.399999999999999" customHeight="1" x14ac:dyDescent="0.15">
      <c r="A32" s="91" t="s">
        <v>304</v>
      </c>
      <c r="B32" s="92"/>
      <c r="C32" s="93">
        <v>1</v>
      </c>
      <c r="D32" s="92" t="s">
        <v>305</v>
      </c>
      <c r="E32" s="93"/>
      <c r="F32" s="93">
        <f t="shared" si="0"/>
        <v>700000</v>
      </c>
      <c r="G32" s="90"/>
      <c r="H32" s="93"/>
      <c r="I32" s="90"/>
      <c r="J32" s="93"/>
      <c r="K32" s="100">
        <f>[4]경비!G12</f>
        <v>700000</v>
      </c>
      <c r="L32" s="93">
        <f>TRUNC(K32*C32,0)</f>
        <v>700000</v>
      </c>
      <c r="M32" s="94"/>
      <c r="BH32" s="92"/>
      <c r="CC32" s="92"/>
    </row>
    <row r="33" spans="1:100" ht="18.399999999999999" customHeight="1" x14ac:dyDescent="0.15">
      <c r="A33" s="91" t="s">
        <v>306</v>
      </c>
      <c r="B33" s="92" t="s">
        <v>6</v>
      </c>
      <c r="C33" s="93">
        <v>1</v>
      </c>
      <c r="D33" s="92" t="s">
        <v>282</v>
      </c>
      <c r="E33" s="93">
        <f t="shared" si="1"/>
        <v>996000</v>
      </c>
      <c r="F33" s="93">
        <f t="shared" si="0"/>
        <v>996000</v>
      </c>
      <c r="G33" s="93">
        <f>H383</f>
        <v>0</v>
      </c>
      <c r="H33" s="93">
        <f>TRUNC(G33*C33,0)</f>
        <v>0</v>
      </c>
      <c r="I33" s="93">
        <f>J383</f>
        <v>0</v>
      </c>
      <c r="J33" s="93">
        <f>TRUNC(I33*C33,0)</f>
        <v>0</v>
      </c>
      <c r="K33" s="93">
        <f>L383</f>
        <v>996000</v>
      </c>
      <c r="L33" s="93">
        <f>TRUNC(K33*C33,0)</f>
        <v>996000</v>
      </c>
      <c r="M33" s="94" t="s">
        <v>6</v>
      </c>
      <c r="N33" t="s">
        <v>6</v>
      </c>
      <c r="P33" t="s">
        <v>307</v>
      </c>
      <c r="Q33" t="s">
        <v>6</v>
      </c>
      <c r="R33" t="s">
        <v>308</v>
      </c>
      <c r="AA33" s="96" t="s">
        <v>206</v>
      </c>
      <c r="AB33" s="97">
        <f>내역서!J5+(내역서!J28+내역서!J29+내역서!J33)</f>
        <v>812232321</v>
      </c>
      <c r="AC33" s="96" t="s">
        <v>207</v>
      </c>
      <c r="AD33" s="98">
        <f t="shared" ref="AD33:AD38" si="3">$AB33</f>
        <v>812232321</v>
      </c>
      <c r="BH33" s="92" t="s">
        <v>6</v>
      </c>
      <c r="BJ33" s="95" t="str">
        <f>HYPERLINK("#내역서!A380","A030020 →")</f>
        <v>A030020 →</v>
      </c>
      <c r="CC33" s="92" t="s">
        <v>189</v>
      </c>
    </row>
    <row r="34" spans="1:100" ht="18.399999999999999" customHeight="1" x14ac:dyDescent="0.15">
      <c r="A34" s="91" t="s">
        <v>309</v>
      </c>
      <c r="B34" s="92" t="s">
        <v>310</v>
      </c>
      <c r="C34" s="93">
        <v>1</v>
      </c>
      <c r="D34" s="92" t="s">
        <v>188</v>
      </c>
      <c r="E34" s="93">
        <f t="shared" si="1"/>
        <v>0</v>
      </c>
      <c r="F34" s="93">
        <f t="shared" si="0"/>
        <v>2542230000</v>
      </c>
      <c r="G34" s="90"/>
      <c r="H34" s="93">
        <f>TRUNC((H5+(H28+H29+H33+H30+H31+H32)),0)</f>
        <v>783433373</v>
      </c>
      <c r="I34" s="90"/>
      <c r="J34" s="93">
        <f>TRUNC((J5+(J28+J29+J33+J30+J31+J32)),0)</f>
        <v>812232321</v>
      </c>
      <c r="K34" s="90"/>
      <c r="L34" s="93">
        <f>TRUNC((L5+(L28+L29+L33+L30+L31+L32)),0)</f>
        <v>946564306</v>
      </c>
      <c r="M34" s="94" t="s">
        <v>6</v>
      </c>
      <c r="N34" t="s">
        <v>6</v>
      </c>
      <c r="P34" t="s">
        <v>311</v>
      </c>
      <c r="Q34" t="s">
        <v>312</v>
      </c>
      <c r="R34" t="s">
        <v>212</v>
      </c>
      <c r="X34" t="s">
        <v>313</v>
      </c>
      <c r="AA34" s="96" t="s">
        <v>214</v>
      </c>
      <c r="AB34" s="97">
        <f>(내역서!H34+내역서!J34+내역서!L34)*10/100-1</f>
        <v>254222999</v>
      </c>
      <c r="AC34" s="96" t="s">
        <v>215</v>
      </c>
      <c r="AD34" s="98">
        <f t="shared" si="3"/>
        <v>254222999</v>
      </c>
      <c r="BH34" s="92" t="s">
        <v>6</v>
      </c>
      <c r="CC34" s="92" t="s">
        <v>189</v>
      </c>
    </row>
    <row r="35" spans="1:100" ht="18.399999999999999" customHeight="1" x14ac:dyDescent="0.15">
      <c r="A35" s="91" t="s">
        <v>314</v>
      </c>
      <c r="B35" s="92" t="s">
        <v>315</v>
      </c>
      <c r="C35" s="93">
        <v>1</v>
      </c>
      <c r="D35" s="92" t="s">
        <v>188</v>
      </c>
      <c r="E35" s="93">
        <f t="shared" si="1"/>
        <v>0</v>
      </c>
      <c r="F35" s="93">
        <f t="shared" si="0"/>
        <v>0</v>
      </c>
      <c r="G35" s="90"/>
      <c r="H35" s="93">
        <v>0</v>
      </c>
      <c r="I35" s="90"/>
      <c r="J35" s="93">
        <v>0</v>
      </c>
      <c r="K35" s="90"/>
      <c r="L35" s="93">
        <f>TRUNC(((H34+J34+L34)*0/100),0)</f>
        <v>0</v>
      </c>
      <c r="M35" s="94" t="s">
        <v>6</v>
      </c>
      <c r="N35" t="s">
        <v>6</v>
      </c>
      <c r="P35" t="s">
        <v>316</v>
      </c>
      <c r="Q35" t="s">
        <v>6</v>
      </c>
      <c r="R35" t="s">
        <v>212</v>
      </c>
      <c r="X35" t="s">
        <v>317</v>
      </c>
      <c r="AA35" s="96" t="s">
        <v>318</v>
      </c>
      <c r="AB35" s="97">
        <f>(내역서!H34+내역서!H35)</f>
        <v>783433373</v>
      </c>
      <c r="AC35" s="96" t="s">
        <v>319</v>
      </c>
      <c r="AD35" s="98">
        <f t="shared" si="3"/>
        <v>783433373</v>
      </c>
      <c r="BH35" s="92" t="s">
        <v>6</v>
      </c>
      <c r="CC35" s="92" t="s">
        <v>189</v>
      </c>
    </row>
    <row r="36" spans="1:100" ht="18.399999999999999" customHeight="1" x14ac:dyDescent="0.15">
      <c r="A36" s="91" t="s">
        <v>320</v>
      </c>
      <c r="B36" s="92" t="s">
        <v>321</v>
      </c>
      <c r="C36" s="93">
        <v>1</v>
      </c>
      <c r="D36" s="92" t="s">
        <v>188</v>
      </c>
      <c r="E36" s="93">
        <f t="shared" si="1"/>
        <v>0</v>
      </c>
      <c r="F36" s="93">
        <f t="shared" si="0"/>
        <v>2542230000</v>
      </c>
      <c r="G36" s="90"/>
      <c r="H36" s="93">
        <f>TRUNC((H34+H35),0)</f>
        <v>783433373</v>
      </c>
      <c r="I36" s="90"/>
      <c r="J36" s="93">
        <f>TRUNC((J34+J35),0)</f>
        <v>812232321</v>
      </c>
      <c r="K36" s="90"/>
      <c r="L36" s="93">
        <f>TRUNC((L34+L35),0)</f>
        <v>946564306</v>
      </c>
      <c r="M36" s="94" t="s">
        <v>6</v>
      </c>
      <c r="N36" t="s">
        <v>6</v>
      </c>
      <c r="P36" t="s">
        <v>322</v>
      </c>
      <c r="Q36" t="s">
        <v>312</v>
      </c>
      <c r="R36" t="s">
        <v>212</v>
      </c>
      <c r="X36" t="s">
        <v>323</v>
      </c>
      <c r="AA36" s="96" t="s">
        <v>318</v>
      </c>
      <c r="AB36" s="97">
        <f>내역서!H36</f>
        <v>783433373</v>
      </c>
      <c r="AC36" s="96" t="s">
        <v>319</v>
      </c>
      <c r="AD36" s="98">
        <f t="shared" si="3"/>
        <v>783433373</v>
      </c>
      <c r="BH36" s="92" t="s">
        <v>6</v>
      </c>
      <c r="CC36" s="92" t="s">
        <v>189</v>
      </c>
    </row>
    <row r="37" spans="1:100" ht="18.399999999999999" customHeight="1" x14ac:dyDescent="0.15">
      <c r="A37" s="91" t="s">
        <v>324</v>
      </c>
      <c r="B37" s="92" t="s">
        <v>325</v>
      </c>
      <c r="C37" s="93">
        <v>1</v>
      </c>
      <c r="D37" s="92" t="s">
        <v>188</v>
      </c>
      <c r="E37" s="93">
        <f t="shared" si="1"/>
        <v>0</v>
      </c>
      <c r="F37" s="93">
        <f t="shared" si="0"/>
        <v>2542230000</v>
      </c>
      <c r="G37" s="90"/>
      <c r="H37" s="93">
        <f>TRUNC(H36,0)</f>
        <v>783433373</v>
      </c>
      <c r="I37" s="90"/>
      <c r="J37" s="93">
        <f>TRUNC(J36,0)</f>
        <v>812232321</v>
      </c>
      <c r="K37" s="90"/>
      <c r="L37" s="93">
        <f>TRUNC(L36,0)</f>
        <v>946564306</v>
      </c>
      <c r="M37" s="94" t="s">
        <v>6</v>
      </c>
      <c r="N37" t="s">
        <v>6</v>
      </c>
      <c r="P37" t="s">
        <v>326</v>
      </c>
      <c r="Q37" t="s">
        <v>312</v>
      </c>
      <c r="R37" t="s">
        <v>212</v>
      </c>
      <c r="X37" t="s">
        <v>327</v>
      </c>
      <c r="AA37" s="96" t="s">
        <v>206</v>
      </c>
      <c r="AB37" s="97">
        <f>내역서!J36</f>
        <v>812232321</v>
      </c>
      <c r="AC37" s="96" t="s">
        <v>207</v>
      </c>
      <c r="AD37" s="98">
        <f t="shared" si="3"/>
        <v>812232321</v>
      </c>
      <c r="BH37" s="92" t="s">
        <v>6</v>
      </c>
      <c r="CC37" s="92" t="s">
        <v>189</v>
      </c>
    </row>
    <row r="38" spans="1:100" ht="18.399999999999999" customHeight="1" x14ac:dyDescent="0.15">
      <c r="A38" s="91" t="s">
        <v>6</v>
      </c>
      <c r="B38" s="92" t="s">
        <v>6</v>
      </c>
      <c r="C38" s="92"/>
      <c r="D38" s="92" t="s">
        <v>6</v>
      </c>
      <c r="E38" s="93">
        <f t="shared" si="1"/>
        <v>0</v>
      </c>
      <c r="F38" s="93">
        <f t="shared" si="0"/>
        <v>0</v>
      </c>
      <c r="G38" s="90"/>
      <c r="H38" s="93">
        <v>0</v>
      </c>
      <c r="I38" s="90"/>
      <c r="J38" s="93">
        <v>0</v>
      </c>
      <c r="K38" s="90"/>
      <c r="L38" s="93">
        <v>0</v>
      </c>
      <c r="M38" s="94" t="s">
        <v>6</v>
      </c>
      <c r="N38" t="s">
        <v>6</v>
      </c>
      <c r="P38" t="s">
        <v>328</v>
      </c>
      <c r="Q38" t="s">
        <v>329</v>
      </c>
      <c r="R38" t="s">
        <v>6</v>
      </c>
      <c r="AA38" s="96" t="s">
        <v>214</v>
      </c>
      <c r="AB38" s="97">
        <f>내역서!L36</f>
        <v>946564306</v>
      </c>
      <c r="AC38" s="96" t="s">
        <v>215</v>
      </c>
      <c r="AD38" s="98">
        <f t="shared" si="3"/>
        <v>946564306</v>
      </c>
      <c r="BH38" s="92" t="s">
        <v>6</v>
      </c>
      <c r="CC38" s="92" t="s">
        <v>6</v>
      </c>
    </row>
    <row r="39" spans="1:100" ht="18.399999999999999" customHeight="1" x14ac:dyDescent="0.15">
      <c r="A39" s="91" t="s">
        <v>330</v>
      </c>
      <c r="B39" s="92" t="s">
        <v>6</v>
      </c>
      <c r="C39" s="93">
        <v>0</v>
      </c>
      <c r="D39" s="92" t="s">
        <v>6</v>
      </c>
      <c r="E39" s="90"/>
      <c r="F39" s="93">
        <f t="shared" si="0"/>
        <v>1665780725</v>
      </c>
      <c r="G39" s="90"/>
      <c r="H39" s="93">
        <f>TRUNC(H40+H41+H42+H43,0)</f>
        <v>783433373</v>
      </c>
      <c r="I39" s="90"/>
      <c r="J39" s="93">
        <f>TRUNC(J40+J41+J42+J43,0)</f>
        <v>683122222</v>
      </c>
      <c r="K39" s="90"/>
      <c r="L39" s="93">
        <f>TRUNC(L40+L41+L42+L43,0)</f>
        <v>199225130</v>
      </c>
      <c r="M39" s="94" t="s">
        <v>6</v>
      </c>
      <c r="N39" t="s">
        <v>6</v>
      </c>
      <c r="O39" t="s">
        <v>331</v>
      </c>
      <c r="BH39" s="92" t="s">
        <v>6</v>
      </c>
      <c r="CV39" s="92" t="s">
        <v>6</v>
      </c>
    </row>
    <row r="40" spans="1:100" ht="18.399999999999999" customHeight="1" x14ac:dyDescent="0.15">
      <c r="A40" s="91" t="s">
        <v>332</v>
      </c>
      <c r="B40" s="92" t="s">
        <v>6</v>
      </c>
      <c r="C40" s="93">
        <v>1</v>
      </c>
      <c r="D40" s="92" t="s">
        <v>188</v>
      </c>
      <c r="E40" s="93">
        <f>G40+I40+K40</f>
        <v>911214767</v>
      </c>
      <c r="F40" s="93">
        <f t="shared" si="0"/>
        <v>911214767</v>
      </c>
      <c r="G40" s="93">
        <f>H45</f>
        <v>456006250</v>
      </c>
      <c r="H40" s="93">
        <f>TRUNC(G40*C40,0)</f>
        <v>456006250</v>
      </c>
      <c r="I40" s="93">
        <f>J45</f>
        <v>414499375</v>
      </c>
      <c r="J40" s="93">
        <f>TRUNC(I40*C40,0)</f>
        <v>414499375</v>
      </c>
      <c r="K40" s="93">
        <f>L45</f>
        <v>40709142</v>
      </c>
      <c r="L40" s="93">
        <f>TRUNC(K40*C40,0)</f>
        <v>40709142</v>
      </c>
      <c r="M40" s="94" t="s">
        <v>6</v>
      </c>
      <c r="N40" t="s">
        <v>6</v>
      </c>
      <c r="P40" t="s">
        <v>48</v>
      </c>
      <c r="Q40" t="s">
        <v>6</v>
      </c>
      <c r="R40" t="s">
        <v>195</v>
      </c>
      <c r="BH40" s="92" t="s">
        <v>6</v>
      </c>
      <c r="BJ40" s="95" t="str">
        <f>HYPERLINK("#내역서!A42","A010010 →")</f>
        <v>A010010 →</v>
      </c>
      <c r="CC40" s="92" t="s">
        <v>6</v>
      </c>
    </row>
    <row r="41" spans="1:100" ht="18.399999999999999" customHeight="1" x14ac:dyDescent="0.15">
      <c r="A41" s="91" t="s">
        <v>333</v>
      </c>
      <c r="B41" s="92" t="s">
        <v>6</v>
      </c>
      <c r="C41" s="93">
        <v>1</v>
      </c>
      <c r="D41" s="92" t="s">
        <v>188</v>
      </c>
      <c r="E41" s="93">
        <f>G41+I41+K41</f>
        <v>638421542</v>
      </c>
      <c r="F41" s="93">
        <f t="shared" si="0"/>
        <v>638421542</v>
      </c>
      <c r="G41" s="93">
        <f>H229</f>
        <v>327257793</v>
      </c>
      <c r="H41" s="93">
        <f>TRUNC(G41*C41,0)</f>
        <v>327257793</v>
      </c>
      <c r="I41" s="93">
        <f>J229</f>
        <v>266756937</v>
      </c>
      <c r="J41" s="93">
        <f>TRUNC(I41*C41,0)</f>
        <v>266756937</v>
      </c>
      <c r="K41" s="93">
        <f>L229</f>
        <v>44406812</v>
      </c>
      <c r="L41" s="93">
        <f>TRUNC(K41*C41,0)</f>
        <v>44406812</v>
      </c>
      <c r="M41" s="94" t="s">
        <v>6</v>
      </c>
      <c r="N41" t="s">
        <v>6</v>
      </c>
      <c r="P41" t="s">
        <v>191</v>
      </c>
      <c r="Q41" t="s">
        <v>6</v>
      </c>
      <c r="R41" t="s">
        <v>199</v>
      </c>
      <c r="BH41" s="92" t="s">
        <v>6</v>
      </c>
      <c r="BJ41" s="95" t="str">
        <f>HYPERLINK("#내역서!A226","A010020 →")</f>
        <v>A010020 →</v>
      </c>
      <c r="CC41" s="92" t="s">
        <v>6</v>
      </c>
    </row>
    <row r="42" spans="1:100" ht="18.399999999999999" customHeight="1" x14ac:dyDescent="0.15">
      <c r="A42" s="91" t="s">
        <v>334</v>
      </c>
      <c r="B42" s="92" t="s">
        <v>6</v>
      </c>
      <c r="C42" s="93">
        <v>1</v>
      </c>
      <c r="D42" s="92" t="s">
        <v>188</v>
      </c>
      <c r="E42" s="93">
        <f>G42+I42+K42</f>
        <v>115978416</v>
      </c>
      <c r="F42" s="93">
        <f t="shared" si="0"/>
        <v>115978416</v>
      </c>
      <c r="G42" s="93">
        <f>H347</f>
        <v>169330</v>
      </c>
      <c r="H42" s="93">
        <f>TRUNC(G42*C42,0)</f>
        <v>169330</v>
      </c>
      <c r="I42" s="93">
        <f>J347</f>
        <v>1865910</v>
      </c>
      <c r="J42" s="93">
        <f>TRUNC(I42*C42,0)</f>
        <v>1865910</v>
      </c>
      <c r="K42" s="93">
        <f>L347</f>
        <v>113943176</v>
      </c>
      <c r="L42" s="93">
        <f>TRUNC(K42*C42,0)</f>
        <v>113943176</v>
      </c>
      <c r="M42" s="94" t="s">
        <v>6</v>
      </c>
      <c r="N42" t="s">
        <v>6</v>
      </c>
      <c r="P42" t="s">
        <v>194</v>
      </c>
      <c r="Q42" t="s">
        <v>6</v>
      </c>
      <c r="R42" t="s">
        <v>202</v>
      </c>
      <c r="BH42" s="92" t="s">
        <v>6</v>
      </c>
      <c r="BJ42" s="95" t="str">
        <f>HYPERLINK("#내역서!A344","A010030 →")</f>
        <v>A010030 →</v>
      </c>
      <c r="CC42" s="92" t="s">
        <v>6</v>
      </c>
    </row>
    <row r="43" spans="1:100" ht="18.399999999999999" customHeight="1" x14ac:dyDescent="0.15">
      <c r="A43" s="91" t="s">
        <v>335</v>
      </c>
      <c r="B43" s="92" t="s">
        <v>6</v>
      </c>
      <c r="C43" s="93">
        <v>1</v>
      </c>
      <c r="D43" s="92" t="s">
        <v>188</v>
      </c>
      <c r="E43" s="93">
        <f>G43+I43+K43</f>
        <v>166000</v>
      </c>
      <c r="F43" s="93">
        <f t="shared" si="0"/>
        <v>166000</v>
      </c>
      <c r="G43" s="93">
        <f>H359</f>
        <v>0</v>
      </c>
      <c r="H43" s="93">
        <f>TRUNC(G43*C43,0)</f>
        <v>0</v>
      </c>
      <c r="I43" s="93">
        <f>J359</f>
        <v>0</v>
      </c>
      <c r="J43" s="93">
        <f>TRUNC(I43*C43,0)</f>
        <v>0</v>
      </c>
      <c r="K43" s="93">
        <f>L359</f>
        <v>166000</v>
      </c>
      <c r="L43" s="93">
        <f>TRUNC(K43*C43,0)</f>
        <v>166000</v>
      </c>
      <c r="M43" s="94" t="s">
        <v>6</v>
      </c>
      <c r="N43" t="s">
        <v>6</v>
      </c>
      <c r="P43" t="s">
        <v>198</v>
      </c>
      <c r="Q43" t="s">
        <v>6</v>
      </c>
      <c r="R43" t="s">
        <v>205</v>
      </c>
      <c r="BH43" s="92" t="s">
        <v>6</v>
      </c>
      <c r="BJ43" s="95" t="str">
        <f>HYPERLINK("#내역서!A356","A010040 →")</f>
        <v>A010040 →</v>
      </c>
      <c r="CC43" s="92" t="s">
        <v>6</v>
      </c>
    </row>
    <row r="44" spans="1:100" ht="18.399999999999999" customHeight="1" x14ac:dyDescent="0.15">
      <c r="A44" s="91" t="s">
        <v>6</v>
      </c>
      <c r="B44" s="92" t="s">
        <v>6</v>
      </c>
      <c r="C44" s="92"/>
      <c r="D44" s="92" t="s">
        <v>6</v>
      </c>
      <c r="E44" s="93">
        <f>G44+I44+K44</f>
        <v>0</v>
      </c>
      <c r="F44" s="93">
        <f t="shared" si="0"/>
        <v>0</v>
      </c>
      <c r="G44" s="90"/>
      <c r="H44" s="93">
        <v>0</v>
      </c>
      <c r="I44" s="90"/>
      <c r="J44" s="93">
        <v>0</v>
      </c>
      <c r="K44" s="90"/>
      <c r="L44" s="93">
        <v>0</v>
      </c>
      <c r="M44" s="94" t="s">
        <v>6</v>
      </c>
      <c r="N44" t="s">
        <v>6</v>
      </c>
      <c r="P44" t="s">
        <v>201</v>
      </c>
      <c r="Q44" t="s">
        <v>329</v>
      </c>
      <c r="R44" t="s">
        <v>6</v>
      </c>
      <c r="BH44" s="92" t="s">
        <v>6</v>
      </c>
      <c r="CC44" s="92" t="s">
        <v>6</v>
      </c>
    </row>
    <row r="45" spans="1:100" ht="18.399999999999999" customHeight="1" x14ac:dyDescent="0.15">
      <c r="A45" s="91" t="s">
        <v>332</v>
      </c>
      <c r="B45" s="92" t="s">
        <v>6</v>
      </c>
      <c r="C45" s="93">
        <v>0</v>
      </c>
      <c r="D45" s="92" t="s">
        <v>6</v>
      </c>
      <c r="E45" s="90"/>
      <c r="F45" s="93">
        <f t="shared" si="0"/>
        <v>911214767</v>
      </c>
      <c r="G45" s="90"/>
      <c r="H45" s="93">
        <f>TRUNC(H46+H47+H48+H49,0)</f>
        <v>456006250</v>
      </c>
      <c r="I45" s="90"/>
      <c r="J45" s="93">
        <f>TRUNC(J46+J47+J48+J49,0)</f>
        <v>414499375</v>
      </c>
      <c r="K45" s="90"/>
      <c r="L45" s="93">
        <f>TRUNC(L46+L47+L48+L49,0)</f>
        <v>40709142</v>
      </c>
      <c r="M45" s="94" t="s">
        <v>6</v>
      </c>
      <c r="N45" t="s">
        <v>6</v>
      </c>
      <c r="O45" t="s">
        <v>195</v>
      </c>
      <c r="BH45" s="92" t="s">
        <v>6</v>
      </c>
      <c r="CV45" s="92" t="s">
        <v>6</v>
      </c>
    </row>
    <row r="46" spans="1:100" ht="18.399999999999999" customHeight="1" x14ac:dyDescent="0.15">
      <c r="A46" s="91" t="s">
        <v>336</v>
      </c>
      <c r="B46" s="92" t="s">
        <v>6</v>
      </c>
      <c r="C46" s="93">
        <v>1</v>
      </c>
      <c r="D46" s="92" t="s">
        <v>188</v>
      </c>
      <c r="E46" s="93">
        <f>G46+I46+K46</f>
        <v>778460292</v>
      </c>
      <c r="F46" s="93">
        <f t="shared" si="0"/>
        <v>778460292</v>
      </c>
      <c r="G46" s="93">
        <f>H51</f>
        <v>386139107</v>
      </c>
      <c r="H46" s="93">
        <f>TRUNC(G46*C46,0)</f>
        <v>386139107</v>
      </c>
      <c r="I46" s="93">
        <f>J51</f>
        <v>362405069</v>
      </c>
      <c r="J46" s="93">
        <f>TRUNC(I46*C46,0)</f>
        <v>362405069</v>
      </c>
      <c r="K46" s="93">
        <f>L51</f>
        <v>29916116</v>
      </c>
      <c r="L46" s="93">
        <f>TRUNC(K46*C46,0)</f>
        <v>29916116</v>
      </c>
      <c r="M46" s="94" t="s">
        <v>6</v>
      </c>
      <c r="N46" t="s">
        <v>6</v>
      </c>
      <c r="P46" t="s">
        <v>48</v>
      </c>
      <c r="Q46" t="s">
        <v>6</v>
      </c>
      <c r="R46" t="s">
        <v>337</v>
      </c>
      <c r="BH46" s="92" t="s">
        <v>6</v>
      </c>
      <c r="BJ46" s="95" t="str">
        <f>HYPERLINK("#내역서!A48","A01001010 →")</f>
        <v>A01001010 →</v>
      </c>
      <c r="CC46" s="92" t="s">
        <v>6</v>
      </c>
    </row>
    <row r="47" spans="1:100" ht="18.399999999999999" customHeight="1" x14ac:dyDescent="0.15">
      <c r="A47" s="91" t="s">
        <v>338</v>
      </c>
      <c r="B47" s="92" t="s">
        <v>6</v>
      </c>
      <c r="C47" s="93">
        <v>1</v>
      </c>
      <c r="D47" s="92" t="s">
        <v>188</v>
      </c>
      <c r="E47" s="93">
        <f>G47+I47+K47</f>
        <v>21727912</v>
      </c>
      <c r="F47" s="93">
        <f t="shared" si="0"/>
        <v>21727912</v>
      </c>
      <c r="G47" s="93">
        <f>H97</f>
        <v>11911009</v>
      </c>
      <c r="H47" s="93">
        <f>TRUNC(G47*C47,0)</f>
        <v>11911009</v>
      </c>
      <c r="I47" s="93">
        <f>J97</f>
        <v>8413680</v>
      </c>
      <c r="J47" s="93">
        <f>TRUNC(I47*C47,0)</f>
        <v>8413680</v>
      </c>
      <c r="K47" s="93">
        <f>L97</f>
        <v>1403223</v>
      </c>
      <c r="L47" s="93">
        <f>TRUNC(K47*C47,0)</f>
        <v>1403223</v>
      </c>
      <c r="M47" s="94" t="s">
        <v>6</v>
      </c>
      <c r="N47" t="s">
        <v>6</v>
      </c>
      <c r="P47" t="s">
        <v>191</v>
      </c>
      <c r="Q47" t="s">
        <v>6</v>
      </c>
      <c r="R47" t="s">
        <v>339</v>
      </c>
      <c r="BH47" s="92" t="s">
        <v>6</v>
      </c>
      <c r="BJ47" s="95" t="str">
        <f>HYPERLINK("#내역서!A94","A01001020 →")</f>
        <v>A01001020 →</v>
      </c>
      <c r="CC47" s="92" t="s">
        <v>6</v>
      </c>
    </row>
    <row r="48" spans="1:100" ht="18.399999999999999" customHeight="1" x14ac:dyDescent="0.15">
      <c r="A48" s="91" t="s">
        <v>340</v>
      </c>
      <c r="B48" s="92" t="s">
        <v>6</v>
      </c>
      <c r="C48" s="93">
        <v>1</v>
      </c>
      <c r="D48" s="92" t="s">
        <v>188</v>
      </c>
      <c r="E48" s="93">
        <f>G48+I48+K48</f>
        <v>109790569</v>
      </c>
      <c r="F48" s="93">
        <f t="shared" si="0"/>
        <v>109790569</v>
      </c>
      <c r="G48" s="93">
        <f>H154</f>
        <v>56924876</v>
      </c>
      <c r="H48" s="93">
        <f>TRUNC(G48*C48,0)</f>
        <v>56924876</v>
      </c>
      <c r="I48" s="93">
        <f>J154</f>
        <v>43479528</v>
      </c>
      <c r="J48" s="93">
        <f>TRUNC(I48*C48,0)</f>
        <v>43479528</v>
      </c>
      <c r="K48" s="93">
        <f>L154</f>
        <v>9386165</v>
      </c>
      <c r="L48" s="93">
        <f>TRUNC(K48*C48,0)</f>
        <v>9386165</v>
      </c>
      <c r="M48" s="94" t="s">
        <v>6</v>
      </c>
      <c r="N48" t="s">
        <v>6</v>
      </c>
      <c r="P48" t="s">
        <v>194</v>
      </c>
      <c r="Q48" t="s">
        <v>6</v>
      </c>
      <c r="R48" t="s">
        <v>341</v>
      </c>
      <c r="BH48" s="92" t="s">
        <v>6</v>
      </c>
      <c r="BJ48" s="95" t="str">
        <f>HYPERLINK("#내역서!A151","A01001030 →")</f>
        <v>A01001030 →</v>
      </c>
      <c r="CC48" s="92" t="s">
        <v>6</v>
      </c>
    </row>
    <row r="49" spans="1:100" ht="18.399999999999999" customHeight="1" x14ac:dyDescent="0.15">
      <c r="A49" s="91" t="s">
        <v>342</v>
      </c>
      <c r="B49" s="92" t="s">
        <v>6</v>
      </c>
      <c r="C49" s="93">
        <v>1</v>
      </c>
      <c r="D49" s="92" t="s">
        <v>188</v>
      </c>
      <c r="E49" s="93">
        <f>G49+I49+K49</f>
        <v>1235994</v>
      </c>
      <c r="F49" s="93">
        <f t="shared" si="0"/>
        <v>1235994</v>
      </c>
      <c r="G49" s="93">
        <f>H223</f>
        <v>1031258</v>
      </c>
      <c r="H49" s="93">
        <f>TRUNC(G49*C49,0)</f>
        <v>1031258</v>
      </c>
      <c r="I49" s="93">
        <f>J223</f>
        <v>201098</v>
      </c>
      <c r="J49" s="93">
        <f>TRUNC(I49*C49,0)</f>
        <v>201098</v>
      </c>
      <c r="K49" s="93">
        <f>L223</f>
        <v>3638</v>
      </c>
      <c r="L49" s="93">
        <f>TRUNC(K49*C49,0)</f>
        <v>3638</v>
      </c>
      <c r="M49" s="94" t="s">
        <v>6</v>
      </c>
      <c r="N49" t="s">
        <v>6</v>
      </c>
      <c r="P49" t="s">
        <v>198</v>
      </c>
      <c r="Q49" t="s">
        <v>6</v>
      </c>
      <c r="R49" t="s">
        <v>343</v>
      </c>
      <c r="BH49" s="92" t="s">
        <v>6</v>
      </c>
      <c r="BJ49" s="95" t="str">
        <f>HYPERLINK("#내역서!A220","A01001040 →")</f>
        <v>A01001040 →</v>
      </c>
      <c r="CC49" s="92" t="s">
        <v>6</v>
      </c>
    </row>
    <row r="50" spans="1:100" ht="18.399999999999999" customHeight="1" x14ac:dyDescent="0.15">
      <c r="A50" s="91" t="s">
        <v>6</v>
      </c>
      <c r="B50" s="92" t="s">
        <v>6</v>
      </c>
      <c r="C50" s="92"/>
      <c r="D50" s="92" t="s">
        <v>6</v>
      </c>
      <c r="E50" s="93">
        <f>G50+I50+K50</f>
        <v>0</v>
      </c>
      <c r="F50" s="93">
        <f t="shared" si="0"/>
        <v>0</v>
      </c>
      <c r="G50" s="90"/>
      <c r="H50" s="93">
        <v>0</v>
      </c>
      <c r="I50" s="90"/>
      <c r="J50" s="93">
        <v>0</v>
      </c>
      <c r="K50" s="90"/>
      <c r="L50" s="93">
        <v>0</v>
      </c>
      <c r="M50" s="94" t="s">
        <v>6</v>
      </c>
      <c r="N50" t="s">
        <v>6</v>
      </c>
      <c r="P50" t="s">
        <v>201</v>
      </c>
      <c r="Q50" t="s">
        <v>6</v>
      </c>
      <c r="R50" t="s">
        <v>6</v>
      </c>
      <c r="BH50" s="92" t="s">
        <v>6</v>
      </c>
      <c r="CC50" s="92" t="s">
        <v>6</v>
      </c>
    </row>
    <row r="51" spans="1:100" ht="18.399999999999999" customHeight="1" x14ac:dyDescent="0.15">
      <c r="A51" s="91" t="s">
        <v>336</v>
      </c>
      <c r="B51" s="92" t="s">
        <v>6</v>
      </c>
      <c r="C51" s="93">
        <v>1</v>
      </c>
      <c r="D51" s="92" t="s">
        <v>188</v>
      </c>
      <c r="E51" s="90"/>
      <c r="F51" s="93">
        <f t="shared" si="0"/>
        <v>778460292</v>
      </c>
      <c r="G51" s="90"/>
      <c r="H51" s="93">
        <f>TRUNC(H53+H54+H55+H58+H59+H60+H61+H62+H64+H65+H66+H67+H68+H69+H71+H72+H73+H74+H75+H76+H79+H80+H81+H82+H83+H84+H86+H87+H88+H89+H90+H91+H92+H94+H95,0)</f>
        <v>386139107</v>
      </c>
      <c r="I51" s="90"/>
      <c r="J51" s="93">
        <f>TRUNC(J53+J54+J55+J58+J59+J60+J61+J62+J64+J65+J66+J67+J68+J69+J71+J72+J73+J74+J75+J76+J79+J80+J81+J82+J83+J84+J86+J87+J88+J89+J90+J91+J92+J94+J95,0)</f>
        <v>362405069</v>
      </c>
      <c r="K51" s="90"/>
      <c r="L51" s="93">
        <f>TRUNC(L53+L54+L55+L58+L59+L60+L61+L62+L64+L65+L66+L67+L68+L69+L71+L72+L73+L74+L75+L76+L79+L80+L81+L82+L83+L84+L86+L87+L88+L89+L90+L91+L92+L94+L95,0)</f>
        <v>29916116</v>
      </c>
      <c r="M51" s="94" t="s">
        <v>6</v>
      </c>
      <c r="N51" t="s">
        <v>6</v>
      </c>
      <c r="O51" t="s">
        <v>337</v>
      </c>
      <c r="BH51" s="92" t="s">
        <v>6</v>
      </c>
      <c r="CV51" s="92" t="s">
        <v>6</v>
      </c>
    </row>
    <row r="52" spans="1:100" ht="18.399999999999999" customHeight="1" x14ac:dyDescent="0.15">
      <c r="A52" s="91" t="s">
        <v>344</v>
      </c>
      <c r="B52" s="92" t="s">
        <v>6</v>
      </c>
      <c r="C52" s="92"/>
      <c r="D52" s="92" t="s">
        <v>6</v>
      </c>
      <c r="E52" s="93">
        <f t="shared" ref="E52:F96" si="4">G52+I52+K52</f>
        <v>0</v>
      </c>
      <c r="F52" s="93">
        <f t="shared" si="0"/>
        <v>35930403</v>
      </c>
      <c r="G52" s="90"/>
      <c r="H52" s="93">
        <f>TRUNC(H53+H54+H55,0)</f>
        <v>18909624</v>
      </c>
      <c r="I52" s="90"/>
      <c r="J52" s="93">
        <f>TRUNC(J53+J54+J55,0)</f>
        <v>17020779</v>
      </c>
      <c r="K52" s="90"/>
      <c r="L52" s="93">
        <f>TRUNC(L53+L54+L55,0)</f>
        <v>0</v>
      </c>
      <c r="M52" s="94" t="s">
        <v>6</v>
      </c>
      <c r="N52" t="s">
        <v>6</v>
      </c>
      <c r="P52" t="s">
        <v>48</v>
      </c>
      <c r="Q52" t="s">
        <v>6</v>
      </c>
      <c r="R52" t="s">
        <v>6</v>
      </c>
      <c r="BH52" s="92" t="s">
        <v>6</v>
      </c>
      <c r="CC52" s="92" t="s">
        <v>345</v>
      </c>
    </row>
    <row r="53" spans="1:100" ht="18.399999999999999" customHeight="1" x14ac:dyDescent="0.15">
      <c r="A53" s="91" t="s">
        <v>346</v>
      </c>
      <c r="B53" s="92" t="s">
        <v>6</v>
      </c>
      <c r="C53" s="93">
        <v>2746</v>
      </c>
      <c r="D53" s="92" t="s">
        <v>347</v>
      </c>
      <c r="E53" s="93">
        <f t="shared" si="4"/>
        <v>519</v>
      </c>
      <c r="F53" s="93">
        <f t="shared" si="0"/>
        <v>1425174</v>
      </c>
      <c r="G53" s="93">
        <f>[4]일위대가목록!F17</f>
        <v>29</v>
      </c>
      <c r="H53" s="93">
        <f>TRUNC(G53*C53,0)</f>
        <v>79634</v>
      </c>
      <c r="I53" s="93">
        <f>[4]일위대가목록!G17</f>
        <v>490</v>
      </c>
      <c r="J53" s="93">
        <f>TRUNC(I53*C53,0)</f>
        <v>1345540</v>
      </c>
      <c r="K53" s="93">
        <f>[4]일위대가목록!H17</f>
        <v>0</v>
      </c>
      <c r="L53" s="93">
        <f>TRUNC(K53*C53,0)</f>
        <v>0</v>
      </c>
      <c r="M53" s="94" t="s">
        <v>348</v>
      </c>
      <c r="N53" t="s">
        <v>6</v>
      </c>
      <c r="P53" t="s">
        <v>191</v>
      </c>
      <c r="Q53" t="s">
        <v>6</v>
      </c>
      <c r="R53" t="s">
        <v>349</v>
      </c>
      <c r="T53" t="s">
        <v>212</v>
      </c>
      <c r="BH53" s="92" t="s">
        <v>6</v>
      </c>
      <c r="BJ53" s="95" t="str">
        <f>HYPERLINK("#일위대가목록!A17","KU01390-0020 →")</f>
        <v>KU01390-0020 →</v>
      </c>
      <c r="CC53" s="92" t="s">
        <v>350</v>
      </c>
    </row>
    <row r="54" spans="1:100" ht="18.399999999999999" hidden="1" customHeight="1" x14ac:dyDescent="0.15">
      <c r="A54" s="91" t="s">
        <v>351</v>
      </c>
      <c r="B54" s="92" t="s">
        <v>352</v>
      </c>
      <c r="C54" s="93">
        <v>0</v>
      </c>
      <c r="D54" s="92" t="s">
        <v>353</v>
      </c>
      <c r="E54" s="93">
        <f t="shared" si="4"/>
        <v>24389</v>
      </c>
      <c r="F54" s="93">
        <f t="shared" si="0"/>
        <v>0</v>
      </c>
      <c r="G54" s="93">
        <f>[4]일위대가목록!F18</f>
        <v>531</v>
      </c>
      <c r="H54" s="93">
        <f>TRUNC(G54*C54,0)</f>
        <v>0</v>
      </c>
      <c r="I54" s="93">
        <f>[4]일위대가목록!G18</f>
        <v>23612</v>
      </c>
      <c r="J54" s="93">
        <f>TRUNC(I54*C54,0)</f>
        <v>0</v>
      </c>
      <c r="K54" s="93">
        <f>[4]일위대가목록!H18</f>
        <v>246</v>
      </c>
      <c r="L54" s="93">
        <f>TRUNC(K54*C54,0)</f>
        <v>0</v>
      </c>
      <c r="M54" s="94" t="s">
        <v>354</v>
      </c>
      <c r="N54" t="s">
        <v>6</v>
      </c>
      <c r="P54" t="s">
        <v>194</v>
      </c>
      <c r="Q54" t="s">
        <v>6</v>
      </c>
      <c r="R54" t="s">
        <v>355</v>
      </c>
      <c r="T54" t="s">
        <v>212</v>
      </c>
      <c r="BH54" s="92" t="s">
        <v>6</v>
      </c>
      <c r="BJ54" s="95" t="str">
        <f>HYPERLINK("#일위대가목록!A18","K01010032000 →")</f>
        <v>K01010032000 →</v>
      </c>
      <c r="CC54" s="92" t="s">
        <v>350</v>
      </c>
    </row>
    <row r="55" spans="1:100" ht="18.399999999999999" customHeight="1" x14ac:dyDescent="0.15">
      <c r="A55" s="91" t="s">
        <v>356</v>
      </c>
      <c r="B55" s="92" t="s">
        <v>357</v>
      </c>
      <c r="C55" s="93">
        <v>2239</v>
      </c>
      <c r="D55" s="92" t="s">
        <v>347</v>
      </c>
      <c r="E55" s="93">
        <f t="shared" si="4"/>
        <v>15411</v>
      </c>
      <c r="F55" s="93">
        <f t="shared" si="0"/>
        <v>34505229</v>
      </c>
      <c r="G55" s="93">
        <f>[4]일위대가목록!F52</f>
        <v>8410</v>
      </c>
      <c r="H55" s="93">
        <f>TRUNC(G55*C55,0)</f>
        <v>18829990</v>
      </c>
      <c r="I55" s="93">
        <f>[4]일위대가목록!G52</f>
        <v>7001</v>
      </c>
      <c r="J55" s="93">
        <f>TRUNC(I55*C55,0)</f>
        <v>15675239</v>
      </c>
      <c r="K55" s="93">
        <f>[4]일위대가목록!H52</f>
        <v>0</v>
      </c>
      <c r="L55" s="93">
        <f>TRUNC(K55*C55,0)</f>
        <v>0</v>
      </c>
      <c r="M55" s="94" t="s">
        <v>358</v>
      </c>
      <c r="N55" t="s">
        <v>359</v>
      </c>
      <c r="P55" t="s">
        <v>218</v>
      </c>
      <c r="Q55" t="s">
        <v>6</v>
      </c>
      <c r="R55" t="s">
        <v>360</v>
      </c>
      <c r="T55" t="s">
        <v>361</v>
      </c>
      <c r="BH55" s="92" t="s">
        <v>6</v>
      </c>
      <c r="BJ55" s="95" t="str">
        <f>HYPERLINK("#일위대가목록!A52","KRZ100010040 →")</f>
        <v>KRZ100010040 →</v>
      </c>
      <c r="CC55" s="92" t="s">
        <v>350</v>
      </c>
    </row>
    <row r="56" spans="1:100" ht="18.399999999999999" customHeight="1" x14ac:dyDescent="0.15">
      <c r="A56" s="91" t="s">
        <v>362</v>
      </c>
      <c r="B56" s="92" t="s">
        <v>6</v>
      </c>
      <c r="C56" s="92"/>
      <c r="D56" s="92" t="s">
        <v>6</v>
      </c>
      <c r="E56" s="93">
        <f t="shared" si="4"/>
        <v>0</v>
      </c>
      <c r="F56" s="93">
        <f t="shared" si="0"/>
        <v>466379962</v>
      </c>
      <c r="G56" s="90"/>
      <c r="H56" s="93">
        <f>TRUNC(H58+H59+H60+H61+H62+H64+H65+H66+H67+H68+H69+H71+H72+H73+H74+H75+H76,0)</f>
        <v>173524569</v>
      </c>
      <c r="I56" s="90"/>
      <c r="J56" s="93">
        <f>TRUNC(J58+J59+J60+J61+J62+J64+J65+J66+J67+J68+J69+J71+J72+J73+J74+J75+J76,0)</f>
        <v>271757310</v>
      </c>
      <c r="K56" s="90"/>
      <c r="L56" s="93">
        <f>TRUNC(L58+L59+L60+L61+L62+L64+L65+L66+L67+L68+L69+L71+L72+L73+L74+L75+L76,0)</f>
        <v>21098083</v>
      </c>
      <c r="M56" s="94" t="s">
        <v>6</v>
      </c>
      <c r="N56" t="s">
        <v>6</v>
      </c>
      <c r="P56" t="s">
        <v>223</v>
      </c>
      <c r="Q56" t="s">
        <v>6</v>
      </c>
      <c r="R56" t="s">
        <v>6</v>
      </c>
      <c r="BH56" s="92" t="s">
        <v>6</v>
      </c>
      <c r="CC56" s="92" t="s">
        <v>345</v>
      </c>
    </row>
    <row r="57" spans="1:100" ht="18.399999999999999" customHeight="1" x14ac:dyDescent="0.15">
      <c r="A57" s="91" t="s">
        <v>363</v>
      </c>
      <c r="B57" s="92" t="s">
        <v>6</v>
      </c>
      <c r="C57" s="92"/>
      <c r="D57" s="92" t="s">
        <v>6</v>
      </c>
      <c r="E57" s="93">
        <f t="shared" si="4"/>
        <v>0</v>
      </c>
      <c r="F57" s="93">
        <f t="shared" si="0"/>
        <v>127806147</v>
      </c>
      <c r="G57" s="90"/>
      <c r="H57" s="93">
        <f>TRUNC(H58+H59+H60+H61+H62,0)</f>
        <v>30458048</v>
      </c>
      <c r="I57" s="90"/>
      <c r="J57" s="93">
        <f>TRUNC(J58+J59+J60+J61+J62,0)</f>
        <v>94663258</v>
      </c>
      <c r="K57" s="90"/>
      <c r="L57" s="93">
        <f>TRUNC(L58+L59+L60+L61+L62,0)</f>
        <v>2684841</v>
      </c>
      <c r="M57" s="94" t="s">
        <v>6</v>
      </c>
      <c r="N57" t="s">
        <v>6</v>
      </c>
      <c r="P57" t="s">
        <v>228</v>
      </c>
      <c r="Q57" t="s">
        <v>6</v>
      </c>
      <c r="R57" t="s">
        <v>6</v>
      </c>
      <c r="BH57" s="92" t="s">
        <v>6</v>
      </c>
      <c r="CC57" s="92" t="s">
        <v>364</v>
      </c>
    </row>
    <row r="58" spans="1:100" ht="18.399999999999999" customHeight="1" x14ac:dyDescent="0.15">
      <c r="A58" s="91" t="s">
        <v>365</v>
      </c>
      <c r="B58" s="92" t="s">
        <v>366</v>
      </c>
      <c r="C58" s="93">
        <v>411</v>
      </c>
      <c r="D58" s="92" t="s">
        <v>347</v>
      </c>
      <c r="E58" s="93">
        <f t="shared" si="4"/>
        <v>246620</v>
      </c>
      <c r="F58" s="93">
        <f t="shared" si="0"/>
        <v>101360820</v>
      </c>
      <c r="G58" s="93">
        <f>[4]일위대가목록!F19</f>
        <v>54114</v>
      </c>
      <c r="H58" s="93">
        <f>TRUNC(G58*C58,0)</f>
        <v>22240854</v>
      </c>
      <c r="I58" s="93">
        <f>[4]일위대가목록!G19</f>
        <v>186358</v>
      </c>
      <c r="J58" s="93">
        <f>TRUNC(I58*C58,0)</f>
        <v>76593138</v>
      </c>
      <c r="K58" s="93">
        <f>[4]일위대가목록!H19</f>
        <v>6148</v>
      </c>
      <c r="L58" s="93">
        <f>TRUNC(K58*C58,0)</f>
        <v>2526828</v>
      </c>
      <c r="M58" s="94" t="s">
        <v>367</v>
      </c>
      <c r="N58" t="s">
        <v>6</v>
      </c>
      <c r="P58" t="s">
        <v>232</v>
      </c>
      <c r="Q58" t="s">
        <v>6</v>
      </c>
      <c r="R58" t="s">
        <v>368</v>
      </c>
      <c r="T58" t="s">
        <v>212</v>
      </c>
      <c r="BH58" s="92" t="s">
        <v>6</v>
      </c>
      <c r="BJ58" s="95" t="str">
        <f>HYPERLINK("#일위대가목록!A19","K01060073000 →")</f>
        <v>K01060073000 →</v>
      </c>
      <c r="CC58" s="92" t="s">
        <v>350</v>
      </c>
    </row>
    <row r="59" spans="1:100" ht="18.399999999999999" customHeight="1" x14ac:dyDescent="0.15">
      <c r="A59" s="91" t="s">
        <v>369</v>
      </c>
      <c r="B59" s="92" t="s">
        <v>6</v>
      </c>
      <c r="C59" s="93">
        <v>36</v>
      </c>
      <c r="D59" s="92" t="s">
        <v>353</v>
      </c>
      <c r="E59" s="93">
        <f t="shared" si="4"/>
        <v>374990</v>
      </c>
      <c r="F59" s="93">
        <f t="shared" si="0"/>
        <v>13499640</v>
      </c>
      <c r="G59" s="93">
        <f>[4]일위대가목록!F20</f>
        <v>225990</v>
      </c>
      <c r="H59" s="93">
        <f>TRUNC(G59*C59,0)</f>
        <v>8135640</v>
      </c>
      <c r="I59" s="93">
        <f>[4]일위대가목록!G20</f>
        <v>146940</v>
      </c>
      <c r="J59" s="93">
        <f>TRUNC(I59*C59,0)</f>
        <v>5289840</v>
      </c>
      <c r="K59" s="93">
        <f>[4]일위대가목록!H20</f>
        <v>2060</v>
      </c>
      <c r="L59" s="93">
        <f>TRUNC(K59*C59,0)</f>
        <v>74160</v>
      </c>
      <c r="M59" s="94" t="s">
        <v>370</v>
      </c>
      <c r="N59" t="s">
        <v>6</v>
      </c>
      <c r="P59" t="s">
        <v>236</v>
      </c>
      <c r="Q59" t="s">
        <v>6</v>
      </c>
      <c r="R59" t="s">
        <v>371</v>
      </c>
      <c r="T59" t="s">
        <v>212</v>
      </c>
      <c r="BH59" s="92" t="s">
        <v>6</v>
      </c>
      <c r="BJ59" s="95" t="str">
        <f>HYPERLINK("#일위대가목록!A20","KR08100-0040 →")</f>
        <v>KR08100-0040 →</v>
      </c>
      <c r="CC59" s="92" t="s">
        <v>350</v>
      </c>
    </row>
    <row r="60" spans="1:100" ht="18.399999999999999" customHeight="1" x14ac:dyDescent="0.15">
      <c r="A60" s="91" t="s">
        <v>372</v>
      </c>
      <c r="B60" s="92" t="s">
        <v>373</v>
      </c>
      <c r="C60" s="93">
        <v>157</v>
      </c>
      <c r="D60" s="92" t="s">
        <v>353</v>
      </c>
      <c r="E60" s="93">
        <f t="shared" si="4"/>
        <v>63532</v>
      </c>
      <c r="F60" s="93">
        <f t="shared" si="0"/>
        <v>9974524</v>
      </c>
      <c r="G60" s="93">
        <f>[4]일위대가목록!F21</f>
        <v>0</v>
      </c>
      <c r="H60" s="93">
        <f>TRUNC(G60*C60,0)</f>
        <v>0</v>
      </c>
      <c r="I60" s="93">
        <f>[4]일위대가목록!G21</f>
        <v>63532</v>
      </c>
      <c r="J60" s="93">
        <f>TRUNC(I60*C60,0)</f>
        <v>9974524</v>
      </c>
      <c r="K60" s="93">
        <f>[4]일위대가목록!H21</f>
        <v>0</v>
      </c>
      <c r="L60" s="93">
        <f>TRUNC(K60*C60,0)</f>
        <v>0</v>
      </c>
      <c r="M60" s="94" t="s">
        <v>374</v>
      </c>
      <c r="N60" t="s">
        <v>6</v>
      </c>
      <c r="P60" t="s">
        <v>240</v>
      </c>
      <c r="Q60" t="s">
        <v>6</v>
      </c>
      <c r="R60" t="s">
        <v>375</v>
      </c>
      <c r="T60" t="s">
        <v>212</v>
      </c>
      <c r="BH60" s="92" t="s">
        <v>6</v>
      </c>
      <c r="BJ60" s="95" t="str">
        <f>HYPERLINK("#일위대가목록!A21","K01010001000 →")</f>
        <v>K01010001000 →</v>
      </c>
      <c r="CC60" s="92" t="s">
        <v>350</v>
      </c>
    </row>
    <row r="61" spans="1:100" ht="18.399999999999999" customHeight="1" x14ac:dyDescent="0.15">
      <c r="A61" s="91" t="s">
        <v>376</v>
      </c>
      <c r="B61" s="92" t="s">
        <v>377</v>
      </c>
      <c r="C61" s="93">
        <v>121</v>
      </c>
      <c r="D61" s="92" t="s">
        <v>353</v>
      </c>
      <c r="E61" s="93">
        <f t="shared" si="4"/>
        <v>14279</v>
      </c>
      <c r="F61" s="93">
        <f t="shared" si="0"/>
        <v>1727759</v>
      </c>
      <c r="G61" s="93">
        <f>[4]일위대가목록!F22</f>
        <v>674</v>
      </c>
      <c r="H61" s="93">
        <f>TRUNC(G61*C61,0)</f>
        <v>81554</v>
      </c>
      <c r="I61" s="93">
        <f>[4]일위대가목록!G22</f>
        <v>12912</v>
      </c>
      <c r="J61" s="93">
        <f>TRUNC(I61*C61,0)</f>
        <v>1562352</v>
      </c>
      <c r="K61" s="93">
        <f>[4]일위대가목록!H22</f>
        <v>693</v>
      </c>
      <c r="L61" s="93">
        <f>TRUNC(K61*C61,0)</f>
        <v>83853</v>
      </c>
      <c r="M61" s="94" t="s">
        <v>378</v>
      </c>
      <c r="N61" t="s">
        <v>6</v>
      </c>
      <c r="P61" t="s">
        <v>245</v>
      </c>
      <c r="Q61" t="s">
        <v>6</v>
      </c>
      <c r="R61" t="s">
        <v>379</v>
      </c>
      <c r="T61" t="s">
        <v>212</v>
      </c>
      <c r="BH61" s="92" t="s">
        <v>6</v>
      </c>
      <c r="BJ61" s="95" t="str">
        <f>HYPERLINK("#일위대가목록!A22","K01010033000 →")</f>
        <v>K01010033000 →</v>
      </c>
      <c r="CC61" s="92" t="s">
        <v>350</v>
      </c>
    </row>
    <row r="62" spans="1:100" ht="18.399999999999999" customHeight="1" x14ac:dyDescent="0.15">
      <c r="A62" s="91" t="s">
        <v>380</v>
      </c>
      <c r="B62" s="92" t="s">
        <v>381</v>
      </c>
      <c r="C62" s="93">
        <v>36</v>
      </c>
      <c r="D62" s="92" t="s">
        <v>353</v>
      </c>
      <c r="E62" s="93">
        <f t="shared" si="4"/>
        <v>34539</v>
      </c>
      <c r="F62" s="93">
        <f t="shared" si="0"/>
        <v>1243404</v>
      </c>
      <c r="G62" s="93">
        <f>[4]일위대가목록!F23</f>
        <v>0</v>
      </c>
      <c r="H62" s="93">
        <f>TRUNC(G62*C62,0)</f>
        <v>0</v>
      </c>
      <c r="I62" s="93">
        <f>[4]일위대가목록!G23</f>
        <v>34539</v>
      </c>
      <c r="J62" s="93">
        <f>TRUNC(I62*C62,0)</f>
        <v>1243404</v>
      </c>
      <c r="K62" s="93">
        <f>[4]일위대가목록!H23</f>
        <v>0</v>
      </c>
      <c r="L62" s="93">
        <f>TRUNC(K62*C62,0)</f>
        <v>0</v>
      </c>
      <c r="M62" s="94" t="s">
        <v>382</v>
      </c>
      <c r="N62" t="s">
        <v>6</v>
      </c>
      <c r="P62" t="s">
        <v>252</v>
      </c>
      <c r="Q62" t="s">
        <v>6</v>
      </c>
      <c r="R62" t="s">
        <v>383</v>
      </c>
      <c r="T62" t="s">
        <v>212</v>
      </c>
      <c r="BH62" s="92" t="s">
        <v>6</v>
      </c>
      <c r="BJ62" s="95" t="str">
        <f>HYPERLINK("#일위대가목록!A23","K01010037000 →")</f>
        <v>K01010037000 →</v>
      </c>
      <c r="CC62" s="92" t="s">
        <v>350</v>
      </c>
    </row>
    <row r="63" spans="1:100" ht="18.399999999999999" customHeight="1" x14ac:dyDescent="0.15">
      <c r="A63" s="91" t="s">
        <v>384</v>
      </c>
      <c r="B63" s="92" t="s">
        <v>6</v>
      </c>
      <c r="C63" s="92"/>
      <c r="D63" s="92" t="s">
        <v>6</v>
      </c>
      <c r="E63" s="93">
        <f t="shared" si="4"/>
        <v>0</v>
      </c>
      <c r="F63" s="93">
        <f t="shared" si="0"/>
        <v>202206786</v>
      </c>
      <c r="G63" s="90"/>
      <c r="H63" s="93">
        <f>TRUNC(H64+H65+H66+H67+H68+H69,0)</f>
        <v>6699492</v>
      </c>
      <c r="I63" s="90"/>
      <c r="J63" s="93">
        <f>TRUNC(J64+J65+J66+J67+J68+J69,0)</f>
        <v>177094052</v>
      </c>
      <c r="K63" s="90"/>
      <c r="L63" s="93">
        <f>TRUNC(L64+L65+L66+L67+L68+L69,0)</f>
        <v>18413242</v>
      </c>
      <c r="M63" s="94" t="s">
        <v>6</v>
      </c>
      <c r="N63" t="s">
        <v>6</v>
      </c>
      <c r="P63" t="s">
        <v>256</v>
      </c>
      <c r="Q63" t="s">
        <v>6</v>
      </c>
      <c r="R63" t="s">
        <v>6</v>
      </c>
      <c r="BH63" s="92" t="s">
        <v>6</v>
      </c>
      <c r="CC63" s="92" t="s">
        <v>364</v>
      </c>
    </row>
    <row r="64" spans="1:100" ht="18.399999999999999" customHeight="1" x14ac:dyDescent="0.15">
      <c r="A64" s="91" t="s">
        <v>385</v>
      </c>
      <c r="B64" s="92" t="s">
        <v>386</v>
      </c>
      <c r="C64" s="101" t="s">
        <v>387</v>
      </c>
      <c r="D64" s="92" t="s">
        <v>388</v>
      </c>
      <c r="E64" s="93">
        <f t="shared" si="4"/>
        <v>2472509</v>
      </c>
      <c r="F64" s="93">
        <f t="shared" si="0"/>
        <v>45259276</v>
      </c>
      <c r="G64" s="93">
        <f>[4]일위대가목록!F24</f>
        <v>68680</v>
      </c>
      <c r="H64" s="93">
        <f t="shared" ref="H64:H69" si="5">TRUNC(G64*C64,0)</f>
        <v>1257187</v>
      </c>
      <c r="I64" s="93">
        <f>[4]일위대가목록!G24</f>
        <v>2289361</v>
      </c>
      <c r="J64" s="93">
        <f t="shared" ref="J64:J69" si="6">TRUNC(I64*C64,0)</f>
        <v>41906753</v>
      </c>
      <c r="K64" s="93">
        <f>[4]일위대가목록!H24</f>
        <v>114468</v>
      </c>
      <c r="L64" s="93">
        <f t="shared" ref="L64:L69" si="7">TRUNC(K64*C64,0)</f>
        <v>2095336</v>
      </c>
      <c r="M64" s="94" t="s">
        <v>389</v>
      </c>
      <c r="N64" t="s">
        <v>6</v>
      </c>
      <c r="P64" t="s">
        <v>261</v>
      </c>
      <c r="Q64" t="s">
        <v>6</v>
      </c>
      <c r="R64" t="s">
        <v>390</v>
      </c>
      <c r="T64" t="s">
        <v>212</v>
      </c>
      <c r="BH64" s="92" t="s">
        <v>6</v>
      </c>
      <c r="BJ64" s="95" t="str">
        <f>HYPERLINK("#일위대가목록!A24","K01090028000 →")</f>
        <v>K01090028000 →</v>
      </c>
      <c r="CC64" s="92" t="s">
        <v>350</v>
      </c>
    </row>
    <row r="65" spans="1:81" ht="18.399999999999999" customHeight="1" x14ac:dyDescent="0.15">
      <c r="A65" s="91" t="s">
        <v>391</v>
      </c>
      <c r="B65" s="92" t="s">
        <v>392</v>
      </c>
      <c r="C65" s="101" t="s">
        <v>387</v>
      </c>
      <c r="D65" s="92" t="s">
        <v>388</v>
      </c>
      <c r="E65" s="93">
        <f t="shared" si="4"/>
        <v>6090492</v>
      </c>
      <c r="F65" s="93">
        <f t="shared" si="0"/>
        <v>111486454</v>
      </c>
      <c r="G65" s="93">
        <f>[4]일위대가목록!F25</f>
        <v>93460</v>
      </c>
      <c r="H65" s="93">
        <f t="shared" si="5"/>
        <v>1710785</v>
      </c>
      <c r="I65" s="93">
        <f>[4]일위대가목록!G25</f>
        <v>5841265</v>
      </c>
      <c r="J65" s="93">
        <f t="shared" si="6"/>
        <v>106924355</v>
      </c>
      <c r="K65" s="93">
        <f>[4]일위대가목록!H25</f>
        <v>155767</v>
      </c>
      <c r="L65" s="93">
        <f t="shared" si="7"/>
        <v>2851314</v>
      </c>
      <c r="M65" s="94" t="s">
        <v>393</v>
      </c>
      <c r="N65" t="s">
        <v>6</v>
      </c>
      <c r="P65" t="s">
        <v>266</v>
      </c>
      <c r="Q65" t="s">
        <v>6</v>
      </c>
      <c r="R65" t="s">
        <v>394</v>
      </c>
      <c r="T65" t="s">
        <v>212</v>
      </c>
      <c r="BH65" s="92" t="s">
        <v>6</v>
      </c>
      <c r="BJ65" s="95" t="str">
        <f>HYPERLINK("#일위대가목록!A25","K01090029010 →")</f>
        <v>K01090029010 →</v>
      </c>
      <c r="CC65" s="92" t="s">
        <v>350</v>
      </c>
    </row>
    <row r="66" spans="1:81" ht="18.399999999999999" customHeight="1" x14ac:dyDescent="0.15">
      <c r="A66" s="91" t="s">
        <v>395</v>
      </c>
      <c r="B66" s="92" t="s">
        <v>396</v>
      </c>
      <c r="C66" s="93">
        <v>46</v>
      </c>
      <c r="D66" s="92" t="s">
        <v>397</v>
      </c>
      <c r="E66" s="93">
        <f t="shared" si="4"/>
        <v>946634</v>
      </c>
      <c r="F66" s="93">
        <f t="shared" si="0"/>
        <v>43545164</v>
      </c>
      <c r="G66" s="93">
        <f>[4]일위대가목록!F26</f>
        <v>81120</v>
      </c>
      <c r="H66" s="93">
        <f t="shared" si="5"/>
        <v>3731520</v>
      </c>
      <c r="I66" s="93">
        <f>[4]일위대가목록!G26</f>
        <v>572762</v>
      </c>
      <c r="J66" s="93">
        <f t="shared" si="6"/>
        <v>26347052</v>
      </c>
      <c r="K66" s="93">
        <f>[4]일위대가목록!H26</f>
        <v>292752</v>
      </c>
      <c r="L66" s="93">
        <f t="shared" si="7"/>
        <v>13466592</v>
      </c>
      <c r="M66" s="94" t="s">
        <v>398</v>
      </c>
      <c r="N66" t="s">
        <v>6</v>
      </c>
      <c r="P66" t="s">
        <v>271</v>
      </c>
      <c r="Q66" t="s">
        <v>6</v>
      </c>
      <c r="R66" t="s">
        <v>399</v>
      </c>
      <c r="T66" t="s">
        <v>212</v>
      </c>
      <c r="BH66" s="92" t="s">
        <v>6</v>
      </c>
      <c r="BJ66" s="95" t="str">
        <f>HYPERLINK("#일위대가목록!A26","KR012601 →")</f>
        <v>KR012601 →</v>
      </c>
      <c r="CC66" s="92" t="s">
        <v>350</v>
      </c>
    </row>
    <row r="67" spans="1:81" ht="18.399999999999999" hidden="1" customHeight="1" x14ac:dyDescent="0.15">
      <c r="A67" s="91" t="s">
        <v>400</v>
      </c>
      <c r="B67" s="92" t="s">
        <v>401</v>
      </c>
      <c r="C67" s="93">
        <v>0</v>
      </c>
      <c r="D67" s="92" t="s">
        <v>402</v>
      </c>
      <c r="E67" s="93">
        <f t="shared" si="4"/>
        <v>60173</v>
      </c>
      <c r="F67" s="93">
        <f t="shared" si="0"/>
        <v>0</v>
      </c>
      <c r="G67" s="93">
        <f>[4]일위대가목록!F27</f>
        <v>0</v>
      </c>
      <c r="H67" s="93">
        <f t="shared" si="5"/>
        <v>0</v>
      </c>
      <c r="I67" s="93">
        <f>[4]일위대가목록!G27</f>
        <v>60173</v>
      </c>
      <c r="J67" s="93">
        <f t="shared" si="6"/>
        <v>0</v>
      </c>
      <c r="K67" s="93">
        <f>[4]일위대가목록!H27</f>
        <v>0</v>
      </c>
      <c r="L67" s="93">
        <f t="shared" si="7"/>
        <v>0</v>
      </c>
      <c r="M67" s="94" t="s">
        <v>403</v>
      </c>
      <c r="N67" t="s">
        <v>6</v>
      </c>
      <c r="P67" t="s">
        <v>275</v>
      </c>
      <c r="Q67" t="s">
        <v>6</v>
      </c>
      <c r="R67" t="s">
        <v>404</v>
      </c>
      <c r="T67" t="s">
        <v>212</v>
      </c>
      <c r="BH67" s="92" t="s">
        <v>6</v>
      </c>
      <c r="BJ67" s="95" t="str">
        <f>HYPERLINK("#일위대가목록!A27","KR012602 →")</f>
        <v>KR012602 →</v>
      </c>
      <c r="CC67" s="92" t="s">
        <v>350</v>
      </c>
    </row>
    <row r="68" spans="1:81" ht="18.399999999999999" customHeight="1" x14ac:dyDescent="0.15">
      <c r="A68" s="91" t="s">
        <v>400</v>
      </c>
      <c r="B68" s="92" t="s">
        <v>405</v>
      </c>
      <c r="C68" s="101" t="s">
        <v>387</v>
      </c>
      <c r="D68" s="92" t="s">
        <v>402</v>
      </c>
      <c r="E68" s="93">
        <f t="shared" si="4"/>
        <v>104665</v>
      </c>
      <c r="F68" s="93">
        <f t="shared" si="0"/>
        <v>1915892</v>
      </c>
      <c r="G68" s="93">
        <f>[4]일위대가목록!F28</f>
        <v>0</v>
      </c>
      <c r="H68" s="93">
        <f t="shared" si="5"/>
        <v>0</v>
      </c>
      <c r="I68" s="93">
        <f>[4]일위대가목록!G28</f>
        <v>104665</v>
      </c>
      <c r="J68" s="93">
        <f t="shared" si="6"/>
        <v>1915892</v>
      </c>
      <c r="K68" s="93">
        <f>[4]일위대가목록!H28</f>
        <v>0</v>
      </c>
      <c r="L68" s="93">
        <f t="shared" si="7"/>
        <v>0</v>
      </c>
      <c r="M68" s="94" t="s">
        <v>406</v>
      </c>
      <c r="N68" t="s">
        <v>6</v>
      </c>
      <c r="P68" t="s">
        <v>279</v>
      </c>
      <c r="Q68" t="s">
        <v>6</v>
      </c>
      <c r="R68" t="s">
        <v>407</v>
      </c>
      <c r="T68" t="s">
        <v>212</v>
      </c>
      <c r="BH68" s="92" t="s">
        <v>6</v>
      </c>
      <c r="BJ68" s="95" t="str">
        <f>HYPERLINK("#일위대가목록!A28","KR012603 →")</f>
        <v>KR012603 →</v>
      </c>
      <c r="CC68" s="92" t="s">
        <v>350</v>
      </c>
    </row>
    <row r="69" spans="1:81" ht="18.399999999999999" hidden="1" customHeight="1" x14ac:dyDescent="0.15">
      <c r="A69" s="91" t="s">
        <v>408</v>
      </c>
      <c r="B69" s="92" t="s">
        <v>409</v>
      </c>
      <c r="C69" s="93">
        <v>0</v>
      </c>
      <c r="D69" s="92" t="s">
        <v>410</v>
      </c>
      <c r="E69" s="93">
        <f t="shared" si="4"/>
        <v>80234</v>
      </c>
      <c r="F69" s="93">
        <f t="shared" si="0"/>
        <v>0</v>
      </c>
      <c r="G69" s="93">
        <f>[4]일위대가목록!F29</f>
        <v>9900</v>
      </c>
      <c r="H69" s="93">
        <f t="shared" si="5"/>
        <v>0</v>
      </c>
      <c r="I69" s="93">
        <f>[4]일위대가목록!G29</f>
        <v>70334</v>
      </c>
      <c r="J69" s="93">
        <f t="shared" si="6"/>
        <v>0</v>
      </c>
      <c r="K69" s="93">
        <f>[4]일위대가목록!H29</f>
        <v>0</v>
      </c>
      <c r="L69" s="93">
        <f t="shared" si="7"/>
        <v>0</v>
      </c>
      <c r="M69" s="94" t="s">
        <v>411</v>
      </c>
      <c r="N69" t="s">
        <v>6</v>
      </c>
      <c r="P69" t="s">
        <v>283</v>
      </c>
      <c r="Q69" t="s">
        <v>6</v>
      </c>
      <c r="R69" t="s">
        <v>412</v>
      </c>
      <c r="T69" t="s">
        <v>212</v>
      </c>
      <c r="BH69" s="92" t="s">
        <v>6</v>
      </c>
      <c r="BJ69" s="95" t="str">
        <f>HYPERLINK("#일위대가목록!A29","K03H1H202650 →")</f>
        <v>K03H1H202650 →</v>
      </c>
      <c r="CC69" s="92" t="s">
        <v>350</v>
      </c>
    </row>
    <row r="70" spans="1:81" ht="18.399999999999999" customHeight="1" x14ac:dyDescent="0.15">
      <c r="A70" s="91" t="s">
        <v>413</v>
      </c>
      <c r="B70" s="92" t="s">
        <v>6</v>
      </c>
      <c r="C70" s="92"/>
      <c r="D70" s="92" t="s">
        <v>6</v>
      </c>
      <c r="E70" s="93">
        <f t="shared" si="4"/>
        <v>0</v>
      </c>
      <c r="F70" s="93">
        <f t="shared" si="0"/>
        <v>136367029</v>
      </c>
      <c r="G70" s="90"/>
      <c r="H70" s="93">
        <f>TRUNC(H71+H72+H73+H74+H75+H76,0)</f>
        <v>136367029</v>
      </c>
      <c r="I70" s="90"/>
      <c r="J70" s="93">
        <f>TRUNC(J71+J72+J73+J74+J75+J76,0)</f>
        <v>0</v>
      </c>
      <c r="K70" s="90"/>
      <c r="L70" s="93">
        <f>TRUNC(L71+L72+L73+L74+L75+L76,0)</f>
        <v>0</v>
      </c>
      <c r="M70" s="94" t="s">
        <v>6</v>
      </c>
      <c r="N70" t="s">
        <v>6</v>
      </c>
      <c r="P70" t="s">
        <v>286</v>
      </c>
      <c r="Q70" t="s">
        <v>6</v>
      </c>
      <c r="R70" t="s">
        <v>6</v>
      </c>
      <c r="BH70" s="92" t="s">
        <v>6</v>
      </c>
      <c r="CC70" s="92" t="s">
        <v>364</v>
      </c>
    </row>
    <row r="71" spans="1:81" ht="18.399999999999999" customHeight="1" x14ac:dyDescent="0.15">
      <c r="A71" s="91" t="s">
        <v>414</v>
      </c>
      <c r="B71" s="92" t="s">
        <v>415</v>
      </c>
      <c r="C71" s="92">
        <v>8.6609999999999996</v>
      </c>
      <c r="D71" s="92" t="s">
        <v>402</v>
      </c>
      <c r="E71" s="93">
        <f t="shared" si="4"/>
        <v>1437500</v>
      </c>
      <c r="F71" s="93">
        <f t="shared" si="4"/>
        <v>12450187</v>
      </c>
      <c r="G71" s="93">
        <f>[4]자재조서!E12</f>
        <v>1437500</v>
      </c>
      <c r="H71" s="93">
        <f t="shared" ref="H71:H76" si="8">TRUNC(G71*C71,0)</f>
        <v>12450187</v>
      </c>
      <c r="I71" s="93">
        <v>0</v>
      </c>
      <c r="J71" s="93"/>
      <c r="K71" s="93">
        <v>0</v>
      </c>
      <c r="L71" s="93"/>
      <c r="M71" s="94" t="s">
        <v>416</v>
      </c>
      <c r="N71" t="s">
        <v>6</v>
      </c>
      <c r="P71" t="s">
        <v>291</v>
      </c>
      <c r="Q71" t="s">
        <v>6</v>
      </c>
      <c r="R71" t="s">
        <v>416</v>
      </c>
      <c r="BH71" s="92" t="s">
        <v>6</v>
      </c>
      <c r="BJ71" s="95" t="str">
        <f>HYPERLINK("#자재조서!A12","M0132120C →")</f>
        <v>M0132120C →</v>
      </c>
      <c r="CC71" s="92" t="s">
        <v>350</v>
      </c>
    </row>
    <row r="72" spans="1:81" ht="18.399999999999999" customHeight="1" x14ac:dyDescent="0.15">
      <c r="A72" s="91" t="s">
        <v>417</v>
      </c>
      <c r="B72" s="92" t="s">
        <v>418</v>
      </c>
      <c r="C72" s="101" t="s">
        <v>419</v>
      </c>
      <c r="D72" s="92" t="s">
        <v>402</v>
      </c>
      <c r="E72" s="93">
        <f t="shared" si="4"/>
        <v>1437500</v>
      </c>
      <c r="F72" s="93">
        <f t="shared" si="4"/>
        <v>5760062</v>
      </c>
      <c r="G72" s="93">
        <f>[4]자재조서!E11</f>
        <v>1437500</v>
      </c>
      <c r="H72" s="93">
        <f t="shared" si="8"/>
        <v>5760062</v>
      </c>
      <c r="I72" s="93">
        <v>0</v>
      </c>
      <c r="J72" s="93"/>
      <c r="K72" s="93">
        <v>0</v>
      </c>
      <c r="L72" s="93"/>
      <c r="M72" s="94" t="s">
        <v>420</v>
      </c>
      <c r="N72" t="s">
        <v>6</v>
      </c>
      <c r="P72" t="s">
        <v>297</v>
      </c>
      <c r="Q72" t="s">
        <v>6</v>
      </c>
      <c r="R72" t="s">
        <v>420</v>
      </c>
      <c r="BH72" s="92" t="s">
        <v>6</v>
      </c>
      <c r="BJ72" s="95" t="str">
        <f>HYPERLINK("#자재조서!A11","M0132120A →")</f>
        <v>M0132120A →</v>
      </c>
      <c r="CC72" s="92" t="s">
        <v>350</v>
      </c>
    </row>
    <row r="73" spans="1:81" ht="18.399999999999999" customHeight="1" x14ac:dyDescent="0.15">
      <c r="A73" s="91" t="s">
        <v>421</v>
      </c>
      <c r="B73" s="92" t="s">
        <v>422</v>
      </c>
      <c r="C73" s="93">
        <v>2408</v>
      </c>
      <c r="D73" s="92" t="s">
        <v>303</v>
      </c>
      <c r="E73" s="93">
        <f t="shared" si="4"/>
        <v>48000</v>
      </c>
      <c r="F73" s="93">
        <f t="shared" si="4"/>
        <v>115584000</v>
      </c>
      <c r="G73" s="93">
        <f>[4]자재조서!E61</f>
        <v>48000</v>
      </c>
      <c r="H73" s="93">
        <f t="shared" si="8"/>
        <v>115584000</v>
      </c>
      <c r="I73" s="93">
        <v>0</v>
      </c>
      <c r="J73" s="93"/>
      <c r="K73" s="93">
        <v>0</v>
      </c>
      <c r="L73" s="93"/>
      <c r="M73" s="94" t="s">
        <v>423</v>
      </c>
      <c r="N73" t="s">
        <v>6</v>
      </c>
      <c r="P73" t="s">
        <v>307</v>
      </c>
      <c r="Q73" t="s">
        <v>6</v>
      </c>
      <c r="R73" t="s">
        <v>423</v>
      </c>
      <c r="BH73" s="92" t="s">
        <v>6</v>
      </c>
      <c r="BJ73" s="95" t="str">
        <f>HYPERLINK("#자재조서!A61","MZZ00050B →")</f>
        <v>MZZ00050B →</v>
      </c>
      <c r="CC73" s="92" t="s">
        <v>350</v>
      </c>
    </row>
    <row r="74" spans="1:81" ht="18.399999999999999" customHeight="1" x14ac:dyDescent="0.15">
      <c r="A74" s="91" t="s">
        <v>424</v>
      </c>
      <c r="B74" s="92" t="s">
        <v>425</v>
      </c>
      <c r="C74" s="102">
        <v>2.7370000000000001</v>
      </c>
      <c r="D74" s="92" t="s">
        <v>402</v>
      </c>
      <c r="E74" s="93">
        <f t="shared" si="4"/>
        <v>940000</v>
      </c>
      <c r="F74" s="93">
        <f t="shared" si="4"/>
        <v>2572780</v>
      </c>
      <c r="G74" s="93">
        <f>[4]자재조서!E5</f>
        <v>940000</v>
      </c>
      <c r="H74" s="93">
        <f t="shared" si="8"/>
        <v>2572780</v>
      </c>
      <c r="I74" s="93">
        <v>0</v>
      </c>
      <c r="J74" s="93"/>
      <c r="K74" s="93">
        <v>0</v>
      </c>
      <c r="L74" s="93"/>
      <c r="M74" s="94" t="s">
        <v>426</v>
      </c>
      <c r="N74" t="s">
        <v>427</v>
      </c>
      <c r="P74" t="s">
        <v>311</v>
      </c>
      <c r="Q74" t="s">
        <v>6</v>
      </c>
      <c r="R74" t="s">
        <v>426</v>
      </c>
      <c r="BH74" s="92" t="s">
        <v>6</v>
      </c>
      <c r="BJ74" s="95" t="str">
        <f>HYPERLINK("#자재조서!A5","M0030020A →")</f>
        <v>M0030020A →</v>
      </c>
      <c r="CC74" s="92" t="s">
        <v>350</v>
      </c>
    </row>
    <row r="75" spans="1:81" ht="18.399999999999999" hidden="1" customHeight="1" x14ac:dyDescent="0.15">
      <c r="A75" s="91" t="s">
        <v>428</v>
      </c>
      <c r="B75" s="92" t="s">
        <v>429</v>
      </c>
      <c r="C75" s="93">
        <v>0</v>
      </c>
      <c r="D75" s="92" t="s">
        <v>402</v>
      </c>
      <c r="E75" s="93">
        <f t="shared" si="4"/>
        <v>851400</v>
      </c>
      <c r="F75" s="93">
        <f t="shared" si="4"/>
        <v>0</v>
      </c>
      <c r="G75" s="93">
        <f>[4]자재조서!E7</f>
        <v>851400</v>
      </c>
      <c r="H75" s="93">
        <f t="shared" si="8"/>
        <v>0</v>
      </c>
      <c r="I75" s="93">
        <v>0</v>
      </c>
      <c r="J75" s="93"/>
      <c r="K75" s="93">
        <v>0</v>
      </c>
      <c r="L75" s="93"/>
      <c r="M75" s="94" t="s">
        <v>430</v>
      </c>
      <c r="N75" t="s">
        <v>431</v>
      </c>
      <c r="P75" t="s">
        <v>316</v>
      </c>
      <c r="Q75" t="s">
        <v>6</v>
      </c>
      <c r="R75" t="s">
        <v>430</v>
      </c>
      <c r="BH75" s="92" t="s">
        <v>6</v>
      </c>
      <c r="BJ75" s="95" t="str">
        <f>HYPERLINK("#자재조서!A7","M0060024A0 →")</f>
        <v>M0060024A0 →</v>
      </c>
      <c r="CC75" s="92" t="s">
        <v>350</v>
      </c>
    </row>
    <row r="76" spans="1:81" ht="18.399999999999999" hidden="1" customHeight="1" x14ac:dyDescent="0.15">
      <c r="A76" s="91" t="s">
        <v>414</v>
      </c>
      <c r="B76" s="92" t="s">
        <v>432</v>
      </c>
      <c r="C76" s="93">
        <v>0</v>
      </c>
      <c r="D76" s="92" t="s">
        <v>402</v>
      </c>
      <c r="E76" s="93">
        <f t="shared" si="4"/>
        <v>1861351</v>
      </c>
      <c r="F76" s="93">
        <f t="shared" si="4"/>
        <v>0</v>
      </c>
      <c r="G76" s="93">
        <f>[4]자재조서!E10</f>
        <v>1861351</v>
      </c>
      <c r="H76" s="93">
        <f t="shared" si="8"/>
        <v>0</v>
      </c>
      <c r="I76" s="93">
        <v>0</v>
      </c>
      <c r="J76" s="93"/>
      <c r="K76" s="93">
        <v>0</v>
      </c>
      <c r="L76" s="93"/>
      <c r="M76" s="94" t="s">
        <v>433</v>
      </c>
      <c r="N76" t="s">
        <v>6</v>
      </c>
      <c r="P76" t="s">
        <v>322</v>
      </c>
      <c r="Q76" t="s">
        <v>6</v>
      </c>
      <c r="R76" t="s">
        <v>433</v>
      </c>
      <c r="BH76" s="92" t="s">
        <v>6</v>
      </c>
      <c r="BJ76" s="95" t="str">
        <f>HYPERLINK("#자재조서!A10","M0129024 →")</f>
        <v>M0129024 →</v>
      </c>
      <c r="CC76" s="92" t="s">
        <v>350</v>
      </c>
    </row>
    <row r="77" spans="1:81" ht="18.399999999999999" customHeight="1" x14ac:dyDescent="0.15">
      <c r="A77" s="91" t="s">
        <v>434</v>
      </c>
      <c r="B77" s="92" t="s">
        <v>6</v>
      </c>
      <c r="C77" s="92"/>
      <c r="D77" s="92" t="s">
        <v>6</v>
      </c>
      <c r="E77" s="93">
        <f t="shared" si="4"/>
        <v>0</v>
      </c>
      <c r="F77" s="93">
        <f t="shared" si="4"/>
        <v>138299927</v>
      </c>
      <c r="G77" s="90"/>
      <c r="H77" s="93">
        <f>TRUNC(H79+H80+H81+H82+H83+H84+H86+H87+H88+H89+H90+H91+H92,0)</f>
        <v>55854914</v>
      </c>
      <c r="I77" s="90"/>
      <c r="J77" s="93">
        <f>TRUNC(J79+J80+J81+J82+J83+J84+J86+J87+J88+J89+J90+J91+J92,0)</f>
        <v>73626980</v>
      </c>
      <c r="K77" s="90"/>
      <c r="L77" s="93">
        <f>TRUNC(L79+L80+L81+L82+L83+L84+L86+L87+L88+L89+L90+L91+L92,0)</f>
        <v>8818033</v>
      </c>
      <c r="M77" s="94" t="s">
        <v>6</v>
      </c>
      <c r="N77" t="s">
        <v>6</v>
      </c>
      <c r="P77" t="s">
        <v>326</v>
      </c>
      <c r="Q77" t="s">
        <v>6</v>
      </c>
      <c r="R77" t="s">
        <v>6</v>
      </c>
      <c r="BH77" s="92" t="s">
        <v>6</v>
      </c>
      <c r="CC77" s="92" t="s">
        <v>345</v>
      </c>
    </row>
    <row r="78" spans="1:81" ht="18.399999999999999" customHeight="1" x14ac:dyDescent="0.15">
      <c r="A78" s="91" t="s">
        <v>435</v>
      </c>
      <c r="B78" s="92" t="s">
        <v>6</v>
      </c>
      <c r="C78" s="92"/>
      <c r="D78" s="92" t="s">
        <v>6</v>
      </c>
      <c r="E78" s="93">
        <f t="shared" si="4"/>
        <v>0</v>
      </c>
      <c r="F78" s="93">
        <f t="shared" si="4"/>
        <v>85517397</v>
      </c>
      <c r="G78" s="90"/>
      <c r="H78" s="93">
        <f>TRUNC(H79+H80+H81+H82+H83+H84,0)</f>
        <v>3072384</v>
      </c>
      <c r="I78" s="90"/>
      <c r="J78" s="93">
        <f>TRUNC(J79+J80+J81+J82+J83+J84,0)</f>
        <v>73626980</v>
      </c>
      <c r="K78" s="90"/>
      <c r="L78" s="93">
        <f>TRUNC(L79+L80+L81+L82+L83+L84,0)</f>
        <v>8818033</v>
      </c>
      <c r="M78" s="94" t="s">
        <v>6</v>
      </c>
      <c r="N78" t="s">
        <v>6</v>
      </c>
      <c r="P78" t="s">
        <v>328</v>
      </c>
      <c r="Q78" t="s">
        <v>6</v>
      </c>
      <c r="R78" t="s">
        <v>6</v>
      </c>
      <c r="BH78" s="92" t="s">
        <v>6</v>
      </c>
      <c r="CC78" s="92" t="s">
        <v>364</v>
      </c>
    </row>
    <row r="79" spans="1:81" ht="18.399999999999999" customHeight="1" x14ac:dyDescent="0.15">
      <c r="A79" s="91" t="s">
        <v>385</v>
      </c>
      <c r="B79" s="92" t="s">
        <v>436</v>
      </c>
      <c r="C79" s="92">
        <v>8.4610000000000003</v>
      </c>
      <c r="D79" s="92" t="s">
        <v>388</v>
      </c>
      <c r="E79" s="93">
        <f t="shared" si="4"/>
        <v>3152180</v>
      </c>
      <c r="F79" s="93">
        <f t="shared" si="4"/>
        <v>26670593</v>
      </c>
      <c r="G79" s="93">
        <f>[4]일위대가목록!F30</f>
        <v>59475</v>
      </c>
      <c r="H79" s="93">
        <f t="shared" ref="H79:H84" si="9">TRUNC(G79*C79,0)</f>
        <v>503217</v>
      </c>
      <c r="I79" s="93">
        <f>[4]일위대가목록!G30</f>
        <v>2973755</v>
      </c>
      <c r="J79" s="93">
        <f t="shared" ref="J79:J84" si="10">TRUNC(I79*C79,0)</f>
        <v>25160941</v>
      </c>
      <c r="K79" s="93">
        <f>[4]일위대가목록!H30</f>
        <v>118950</v>
      </c>
      <c r="L79" s="93">
        <f t="shared" ref="L79:L84" si="11">TRUNC(K79*C79,0)</f>
        <v>1006435</v>
      </c>
      <c r="M79" s="94" t="s">
        <v>437</v>
      </c>
      <c r="N79" t="s">
        <v>6</v>
      </c>
      <c r="P79" t="s">
        <v>438</v>
      </c>
      <c r="Q79" t="s">
        <v>6</v>
      </c>
      <c r="R79" t="s">
        <v>439</v>
      </c>
      <c r="T79" t="s">
        <v>212</v>
      </c>
      <c r="BH79" s="92" t="s">
        <v>6</v>
      </c>
      <c r="BJ79" s="95" t="str">
        <f>HYPERLINK("#일위대가목록!A30","K01090034000 →")</f>
        <v>K01090034000 →</v>
      </c>
      <c r="CC79" s="92" t="s">
        <v>350</v>
      </c>
    </row>
    <row r="80" spans="1:81" ht="18.399999999999999" customHeight="1" x14ac:dyDescent="0.15">
      <c r="A80" s="91" t="s">
        <v>391</v>
      </c>
      <c r="B80" s="92" t="s">
        <v>436</v>
      </c>
      <c r="C80" s="92">
        <v>8.4610000000000003</v>
      </c>
      <c r="D80" s="92" t="s">
        <v>388</v>
      </c>
      <c r="E80" s="93">
        <f t="shared" si="4"/>
        <v>4294167</v>
      </c>
      <c r="F80" s="93">
        <f t="shared" si="4"/>
        <v>36332946</v>
      </c>
      <c r="G80" s="93">
        <f>[4]일위대가목록!F31</f>
        <v>81022</v>
      </c>
      <c r="H80" s="93">
        <f t="shared" si="9"/>
        <v>685527</v>
      </c>
      <c r="I80" s="93">
        <f>[4]일위대가목록!G31</f>
        <v>4051101</v>
      </c>
      <c r="J80" s="93">
        <f t="shared" si="10"/>
        <v>34276365</v>
      </c>
      <c r="K80" s="93">
        <f>[4]일위대가목록!H31</f>
        <v>162044</v>
      </c>
      <c r="L80" s="93">
        <f t="shared" si="11"/>
        <v>1371054</v>
      </c>
      <c r="M80" s="94" t="s">
        <v>440</v>
      </c>
      <c r="N80" t="s">
        <v>6</v>
      </c>
      <c r="P80" t="s">
        <v>441</v>
      </c>
      <c r="Q80" t="s">
        <v>6</v>
      </c>
      <c r="R80" t="s">
        <v>442</v>
      </c>
      <c r="T80" t="s">
        <v>212</v>
      </c>
      <c r="BH80" s="92" t="s">
        <v>6</v>
      </c>
      <c r="BJ80" s="95" t="str">
        <f>HYPERLINK("#일위대가목록!A31","K01090035000 →")</f>
        <v>K01090035000 →</v>
      </c>
      <c r="CC80" s="92" t="s">
        <v>350</v>
      </c>
    </row>
    <row r="81" spans="1:81" ht="18.399999999999999" customHeight="1" x14ac:dyDescent="0.15">
      <c r="A81" s="91" t="s">
        <v>395</v>
      </c>
      <c r="B81" s="92" t="s">
        <v>396</v>
      </c>
      <c r="C81" s="93">
        <v>22</v>
      </c>
      <c r="D81" s="92" t="s">
        <v>397</v>
      </c>
      <c r="E81" s="93">
        <f t="shared" si="4"/>
        <v>946634</v>
      </c>
      <c r="F81" s="93">
        <f t="shared" si="4"/>
        <v>20825948</v>
      </c>
      <c r="G81" s="93">
        <f>[4]일위대가목록!F26</f>
        <v>81120</v>
      </c>
      <c r="H81" s="93">
        <f t="shared" si="9"/>
        <v>1784640</v>
      </c>
      <c r="I81" s="93">
        <f>[4]일위대가목록!G26</f>
        <v>572762</v>
      </c>
      <c r="J81" s="93">
        <f t="shared" si="10"/>
        <v>12600764</v>
      </c>
      <c r="K81" s="93">
        <f>[4]일위대가목록!H26</f>
        <v>292752</v>
      </c>
      <c r="L81" s="93">
        <f t="shared" si="11"/>
        <v>6440544</v>
      </c>
      <c r="M81" s="94" t="s">
        <v>398</v>
      </c>
      <c r="N81" t="s">
        <v>6</v>
      </c>
      <c r="P81" t="s">
        <v>443</v>
      </c>
      <c r="Q81" t="s">
        <v>6</v>
      </c>
      <c r="R81" t="s">
        <v>399</v>
      </c>
      <c r="T81" t="s">
        <v>212</v>
      </c>
      <c r="BH81" s="92" t="s">
        <v>6</v>
      </c>
      <c r="BJ81" s="95" t="str">
        <f>HYPERLINK("#일위대가목록!A26","KR012601 →")</f>
        <v>KR012601 →</v>
      </c>
      <c r="CC81" s="92" t="s">
        <v>350</v>
      </c>
    </row>
    <row r="82" spans="1:81" ht="18.399999999999999" hidden="1" customHeight="1" x14ac:dyDescent="0.15">
      <c r="A82" s="91" t="s">
        <v>400</v>
      </c>
      <c r="B82" s="92" t="s">
        <v>401</v>
      </c>
      <c r="C82" s="93">
        <v>0</v>
      </c>
      <c r="D82" s="92" t="s">
        <v>402</v>
      </c>
      <c r="E82" s="93">
        <f t="shared" si="4"/>
        <v>60173</v>
      </c>
      <c r="F82" s="93">
        <f t="shared" si="4"/>
        <v>0</v>
      </c>
      <c r="G82" s="93">
        <f>[4]일위대가목록!F27</f>
        <v>0</v>
      </c>
      <c r="H82" s="93">
        <f t="shared" si="9"/>
        <v>0</v>
      </c>
      <c r="I82" s="93">
        <f>[4]일위대가목록!G27</f>
        <v>60173</v>
      </c>
      <c r="J82" s="93">
        <f t="shared" si="10"/>
        <v>0</v>
      </c>
      <c r="K82" s="93">
        <f>[4]일위대가목록!H27</f>
        <v>0</v>
      </c>
      <c r="L82" s="93">
        <f t="shared" si="11"/>
        <v>0</v>
      </c>
      <c r="M82" s="94" t="s">
        <v>403</v>
      </c>
      <c r="N82" t="s">
        <v>6</v>
      </c>
      <c r="P82" t="s">
        <v>444</v>
      </c>
      <c r="Q82" t="s">
        <v>6</v>
      </c>
      <c r="R82" t="s">
        <v>404</v>
      </c>
      <c r="T82" t="s">
        <v>212</v>
      </c>
      <c r="BH82" s="92" t="s">
        <v>6</v>
      </c>
      <c r="BJ82" s="95" t="str">
        <f>HYPERLINK("#일위대가목록!A27","KR012602 →")</f>
        <v>KR012602 →</v>
      </c>
      <c r="CC82" s="92" t="s">
        <v>350</v>
      </c>
    </row>
    <row r="83" spans="1:81" ht="18.399999999999999" customHeight="1" x14ac:dyDescent="0.15">
      <c r="A83" s="91" t="s">
        <v>400</v>
      </c>
      <c r="B83" s="92" t="s">
        <v>405</v>
      </c>
      <c r="C83" s="92">
        <v>8.4610000000000003</v>
      </c>
      <c r="D83" s="92" t="s">
        <v>402</v>
      </c>
      <c r="E83" s="93">
        <f t="shared" si="4"/>
        <v>104665</v>
      </c>
      <c r="F83" s="93">
        <f t="shared" si="4"/>
        <v>885570</v>
      </c>
      <c r="G83" s="93">
        <f>[4]일위대가목록!F28</f>
        <v>0</v>
      </c>
      <c r="H83" s="93">
        <f t="shared" si="9"/>
        <v>0</v>
      </c>
      <c r="I83" s="93">
        <f>[4]일위대가목록!G28</f>
        <v>104665</v>
      </c>
      <c r="J83" s="93">
        <f t="shared" si="10"/>
        <v>885570</v>
      </c>
      <c r="K83" s="93">
        <f>[4]일위대가목록!H28</f>
        <v>0</v>
      </c>
      <c r="L83" s="93">
        <f t="shared" si="11"/>
        <v>0</v>
      </c>
      <c r="M83" s="94" t="s">
        <v>406</v>
      </c>
      <c r="N83" t="s">
        <v>6</v>
      </c>
      <c r="P83" t="s">
        <v>445</v>
      </c>
      <c r="Q83" t="s">
        <v>6</v>
      </c>
      <c r="R83" t="s">
        <v>407</v>
      </c>
      <c r="T83" t="s">
        <v>212</v>
      </c>
      <c r="BH83" s="92" t="s">
        <v>6</v>
      </c>
      <c r="BJ83" s="95" t="str">
        <f>HYPERLINK("#일위대가목록!A28","KR012603 →")</f>
        <v>KR012603 →</v>
      </c>
      <c r="CC83" s="92" t="s">
        <v>350</v>
      </c>
    </row>
    <row r="84" spans="1:81" ht="18.399999999999999" customHeight="1" x14ac:dyDescent="0.15">
      <c r="A84" s="91" t="s">
        <v>408</v>
      </c>
      <c r="B84" s="92" t="s">
        <v>409</v>
      </c>
      <c r="C84" s="93">
        <v>10</v>
      </c>
      <c r="D84" s="92" t="s">
        <v>410</v>
      </c>
      <c r="E84" s="93">
        <f t="shared" si="4"/>
        <v>80234</v>
      </c>
      <c r="F84" s="93">
        <f t="shared" si="4"/>
        <v>802340</v>
      </c>
      <c r="G84" s="93">
        <f>[4]일위대가목록!F29</f>
        <v>9900</v>
      </c>
      <c r="H84" s="93">
        <f t="shared" si="9"/>
        <v>99000</v>
      </c>
      <c r="I84" s="93">
        <f>[4]일위대가목록!G29</f>
        <v>70334</v>
      </c>
      <c r="J84" s="93">
        <f t="shared" si="10"/>
        <v>703340</v>
      </c>
      <c r="K84" s="93">
        <f>[4]일위대가목록!H29</f>
        <v>0</v>
      </c>
      <c r="L84" s="93">
        <f t="shared" si="11"/>
        <v>0</v>
      </c>
      <c r="M84" s="94" t="s">
        <v>411</v>
      </c>
      <c r="N84" t="s">
        <v>6</v>
      </c>
      <c r="P84" t="s">
        <v>446</v>
      </c>
      <c r="Q84" t="s">
        <v>6</v>
      </c>
      <c r="R84" t="s">
        <v>412</v>
      </c>
      <c r="T84" t="s">
        <v>212</v>
      </c>
      <c r="BH84" s="92" t="s">
        <v>6</v>
      </c>
      <c r="BJ84" s="95" t="str">
        <f>HYPERLINK("#일위대가목록!A29","K03H1H202650 →")</f>
        <v>K03H1H202650 →</v>
      </c>
      <c r="CC84" s="92" t="s">
        <v>350</v>
      </c>
    </row>
    <row r="85" spans="1:81" ht="18.399999999999999" customHeight="1" x14ac:dyDescent="0.15">
      <c r="A85" s="91" t="s">
        <v>447</v>
      </c>
      <c r="B85" s="92" t="s">
        <v>6</v>
      </c>
      <c r="C85" s="92"/>
      <c r="D85" s="92" t="s">
        <v>6</v>
      </c>
      <c r="E85" s="93">
        <f t="shared" si="4"/>
        <v>0</v>
      </c>
      <c r="F85" s="93">
        <f t="shared" si="4"/>
        <v>52782530</v>
      </c>
      <c r="G85" s="90"/>
      <c r="H85" s="93">
        <f>TRUNC(H86+H87+H88+H89+H90+H91+H92,0)</f>
        <v>52782530</v>
      </c>
      <c r="I85" s="90"/>
      <c r="J85" s="93">
        <f>TRUNC(J86+J87+J88+J89+J90+J91+J92,0)</f>
        <v>0</v>
      </c>
      <c r="K85" s="90"/>
      <c r="L85" s="93">
        <f>TRUNC(L86+L87+L88+L89+L90+L91+L92,0)</f>
        <v>0</v>
      </c>
      <c r="M85" s="94" t="s">
        <v>6</v>
      </c>
      <c r="N85" t="s">
        <v>6</v>
      </c>
      <c r="P85" t="s">
        <v>448</v>
      </c>
      <c r="Q85" t="s">
        <v>6</v>
      </c>
      <c r="R85" t="s">
        <v>6</v>
      </c>
      <c r="BH85" s="92" t="s">
        <v>6</v>
      </c>
      <c r="CC85" s="92" t="s">
        <v>364</v>
      </c>
    </row>
    <row r="86" spans="1:81" ht="18.399999999999999" hidden="1" customHeight="1" x14ac:dyDescent="0.15">
      <c r="A86" s="91" t="s">
        <v>449</v>
      </c>
      <c r="B86" s="92" t="s">
        <v>450</v>
      </c>
      <c r="C86" s="93">
        <v>0</v>
      </c>
      <c r="D86" s="92" t="s">
        <v>402</v>
      </c>
      <c r="E86" s="93">
        <f t="shared" si="4"/>
        <v>3550000</v>
      </c>
      <c r="F86" s="93">
        <f t="shared" si="4"/>
        <v>0</v>
      </c>
      <c r="G86" s="93">
        <f>[4]자재조서!E19</f>
        <v>3550000</v>
      </c>
      <c r="H86" s="93">
        <f t="shared" ref="H86:H92" si="12">TRUNC(G86*C86,0)</f>
        <v>0</v>
      </c>
      <c r="I86" s="93">
        <v>0</v>
      </c>
      <c r="J86" s="93"/>
      <c r="K86" s="93">
        <v>0</v>
      </c>
      <c r="L86" s="93"/>
      <c r="M86" s="94" t="s">
        <v>451</v>
      </c>
      <c r="N86" t="s">
        <v>6</v>
      </c>
      <c r="P86" t="s">
        <v>452</v>
      </c>
      <c r="Q86" t="s">
        <v>6</v>
      </c>
      <c r="R86" t="s">
        <v>451</v>
      </c>
      <c r="BH86" s="92" t="s">
        <v>6</v>
      </c>
      <c r="BJ86" s="95" t="str">
        <f>HYPERLINK("#자재조서!A19","M0195057 →")</f>
        <v>M0195057 →</v>
      </c>
      <c r="CC86" s="92" t="s">
        <v>350</v>
      </c>
    </row>
    <row r="87" spans="1:81" ht="18.399999999999999" customHeight="1" x14ac:dyDescent="0.15">
      <c r="A87" s="91" t="s">
        <v>453</v>
      </c>
      <c r="B87" s="92" t="s">
        <v>454</v>
      </c>
      <c r="C87" s="93">
        <v>1227</v>
      </c>
      <c r="D87" s="92" t="s">
        <v>410</v>
      </c>
      <c r="E87" s="93">
        <f t="shared" si="4"/>
        <v>14420</v>
      </c>
      <c r="F87" s="93">
        <f t="shared" si="4"/>
        <v>17693340</v>
      </c>
      <c r="G87" s="93">
        <f>[4]자재조서!E23</f>
        <v>14420</v>
      </c>
      <c r="H87" s="93">
        <f t="shared" si="12"/>
        <v>17693340</v>
      </c>
      <c r="I87" s="93">
        <v>0</v>
      </c>
      <c r="J87" s="93"/>
      <c r="K87" s="93">
        <v>0</v>
      </c>
      <c r="L87" s="93"/>
      <c r="M87" s="94" t="s">
        <v>455</v>
      </c>
      <c r="N87" t="s">
        <v>431</v>
      </c>
      <c r="P87" t="s">
        <v>456</v>
      </c>
      <c r="Q87" t="s">
        <v>6</v>
      </c>
      <c r="R87" t="s">
        <v>455</v>
      </c>
      <c r="BH87" s="92" t="s">
        <v>6</v>
      </c>
      <c r="BJ87" s="95" t="str">
        <f>HYPERLINK("#자재조서!A23","M0240087 →")</f>
        <v>M0240087 →</v>
      </c>
      <c r="CC87" s="92" t="s">
        <v>350</v>
      </c>
    </row>
    <row r="88" spans="1:81" ht="18.399999999999999" customHeight="1" x14ac:dyDescent="0.15">
      <c r="A88" s="91" t="s">
        <v>453</v>
      </c>
      <c r="B88" s="92" t="s">
        <v>454</v>
      </c>
      <c r="C88" s="93">
        <v>697</v>
      </c>
      <c r="D88" s="92" t="s">
        <v>410</v>
      </c>
      <c r="E88" s="93">
        <f t="shared" si="4"/>
        <v>14420</v>
      </c>
      <c r="F88" s="93">
        <f t="shared" si="4"/>
        <v>10050740</v>
      </c>
      <c r="G88" s="93">
        <f>[4]자재조서!E23</f>
        <v>14420</v>
      </c>
      <c r="H88" s="93">
        <f t="shared" si="12"/>
        <v>10050740</v>
      </c>
      <c r="I88" s="93">
        <v>0</v>
      </c>
      <c r="J88" s="93"/>
      <c r="K88" s="93">
        <v>0</v>
      </c>
      <c r="L88" s="93"/>
      <c r="M88" s="94" t="s">
        <v>455</v>
      </c>
      <c r="N88" t="s">
        <v>431</v>
      </c>
      <c r="P88" t="s">
        <v>457</v>
      </c>
      <c r="Q88" t="s">
        <v>6</v>
      </c>
      <c r="R88" t="s">
        <v>455</v>
      </c>
      <c r="BH88" s="92" t="s">
        <v>6</v>
      </c>
      <c r="BJ88" s="95" t="str">
        <f>HYPERLINK("#자재조서!A23","M0240087 →")</f>
        <v>M0240087 →</v>
      </c>
      <c r="CC88" s="92" t="s">
        <v>350</v>
      </c>
    </row>
    <row r="89" spans="1:81" ht="18.399999999999999" customHeight="1" x14ac:dyDescent="0.15">
      <c r="A89" s="91" t="s">
        <v>453</v>
      </c>
      <c r="B89" s="92" t="s">
        <v>458</v>
      </c>
      <c r="C89" s="93">
        <v>2330</v>
      </c>
      <c r="D89" s="92" t="s">
        <v>410</v>
      </c>
      <c r="E89" s="93">
        <f t="shared" si="4"/>
        <v>10710</v>
      </c>
      <c r="F89" s="93">
        <f t="shared" si="4"/>
        <v>24954300</v>
      </c>
      <c r="G89" s="93">
        <f>[4]자재조서!E21</f>
        <v>10710</v>
      </c>
      <c r="H89" s="93">
        <f t="shared" si="12"/>
        <v>24954300</v>
      </c>
      <c r="I89" s="93">
        <v>0</v>
      </c>
      <c r="J89" s="93"/>
      <c r="K89" s="93">
        <v>0</v>
      </c>
      <c r="L89" s="93"/>
      <c r="M89" s="94" t="s">
        <v>459</v>
      </c>
      <c r="N89" t="s">
        <v>431</v>
      </c>
      <c r="P89" t="s">
        <v>460</v>
      </c>
      <c r="Q89" t="s">
        <v>6</v>
      </c>
      <c r="R89" t="s">
        <v>459</v>
      </c>
      <c r="BH89" s="92" t="s">
        <v>6</v>
      </c>
      <c r="BJ89" s="95" t="str">
        <f>HYPERLINK("#자재조서!A21","M0240075 →")</f>
        <v>M0240075 →</v>
      </c>
      <c r="CC89" s="92" t="s">
        <v>350</v>
      </c>
    </row>
    <row r="90" spans="1:81" ht="18.399999999999999" customHeight="1" x14ac:dyDescent="0.15">
      <c r="A90" s="91" t="s">
        <v>453</v>
      </c>
      <c r="B90" s="92" t="s">
        <v>461</v>
      </c>
      <c r="C90" s="93">
        <v>5</v>
      </c>
      <c r="D90" s="92" t="s">
        <v>410</v>
      </c>
      <c r="E90" s="93">
        <f t="shared" si="4"/>
        <v>7510</v>
      </c>
      <c r="F90" s="93">
        <f t="shared" si="4"/>
        <v>37550</v>
      </c>
      <c r="G90" s="93">
        <f>[4]자재조서!E22</f>
        <v>7510</v>
      </c>
      <c r="H90" s="93">
        <f t="shared" si="12"/>
        <v>37550</v>
      </c>
      <c r="I90" s="93">
        <v>0</v>
      </c>
      <c r="J90" s="93"/>
      <c r="K90" s="93">
        <v>0</v>
      </c>
      <c r="L90" s="93"/>
      <c r="M90" s="94" t="s">
        <v>462</v>
      </c>
      <c r="N90" t="s">
        <v>6</v>
      </c>
      <c r="P90" t="s">
        <v>463</v>
      </c>
      <c r="Q90" t="s">
        <v>6</v>
      </c>
      <c r="R90" t="s">
        <v>462</v>
      </c>
      <c r="BH90" s="92" t="s">
        <v>6</v>
      </c>
      <c r="BJ90" s="95" t="str">
        <f>HYPERLINK("#자재조서!A22","M0240078 →")</f>
        <v>M0240078 →</v>
      </c>
      <c r="CC90" s="92" t="s">
        <v>350</v>
      </c>
    </row>
    <row r="91" spans="1:81" ht="18.399999999999999" customHeight="1" x14ac:dyDescent="0.15">
      <c r="A91" s="91" t="s">
        <v>453</v>
      </c>
      <c r="B91" s="92" t="s">
        <v>464</v>
      </c>
      <c r="C91" s="93">
        <v>10</v>
      </c>
      <c r="D91" s="92" t="s">
        <v>410</v>
      </c>
      <c r="E91" s="93">
        <f t="shared" si="4"/>
        <v>4660</v>
      </c>
      <c r="F91" s="93">
        <f t="shared" si="4"/>
        <v>46600</v>
      </c>
      <c r="G91" s="93">
        <f>[4]자재조서!E20</f>
        <v>4660</v>
      </c>
      <c r="H91" s="93">
        <f t="shared" si="12"/>
        <v>46600</v>
      </c>
      <c r="I91" s="93">
        <v>0</v>
      </c>
      <c r="J91" s="93"/>
      <c r="K91" s="93">
        <v>0</v>
      </c>
      <c r="L91" s="93"/>
      <c r="M91" s="94" t="s">
        <v>465</v>
      </c>
      <c r="N91" t="s">
        <v>6</v>
      </c>
      <c r="P91" t="s">
        <v>466</v>
      </c>
      <c r="Q91" t="s">
        <v>6</v>
      </c>
      <c r="R91" t="s">
        <v>465</v>
      </c>
      <c r="BH91" s="92" t="s">
        <v>6</v>
      </c>
      <c r="BJ91" s="95" t="str">
        <f>HYPERLINK("#자재조서!A20","M0240056 →")</f>
        <v>M0240056 →</v>
      </c>
      <c r="CC91" s="92" t="s">
        <v>350</v>
      </c>
    </row>
    <row r="92" spans="1:81" ht="18.399999999999999" hidden="1" customHeight="1" x14ac:dyDescent="0.15">
      <c r="A92" s="91" t="s">
        <v>467</v>
      </c>
      <c r="B92" s="92" t="s">
        <v>468</v>
      </c>
      <c r="C92" s="93">
        <v>0</v>
      </c>
      <c r="D92" s="92" t="s">
        <v>469</v>
      </c>
      <c r="E92" s="93">
        <f t="shared" si="4"/>
        <v>32730</v>
      </c>
      <c r="F92" s="93">
        <f t="shared" si="4"/>
        <v>0</v>
      </c>
      <c r="G92" s="93">
        <f>[4]자재조서!E26</f>
        <v>32730</v>
      </c>
      <c r="H92" s="93">
        <f t="shared" si="12"/>
        <v>0</v>
      </c>
      <c r="I92" s="93">
        <v>0</v>
      </c>
      <c r="J92" s="93"/>
      <c r="K92" s="93">
        <v>0</v>
      </c>
      <c r="L92" s="93"/>
      <c r="M92" s="94" t="s">
        <v>470</v>
      </c>
      <c r="N92" t="s">
        <v>471</v>
      </c>
      <c r="P92" t="s">
        <v>472</v>
      </c>
      <c r="Q92" t="s">
        <v>6</v>
      </c>
      <c r="R92" t="s">
        <v>470</v>
      </c>
      <c r="BH92" s="92" t="s">
        <v>6</v>
      </c>
      <c r="BJ92" s="95" t="str">
        <f>HYPERLINK("#자재조서!A26","M0687017 →")</f>
        <v>M0687017 →</v>
      </c>
      <c r="CC92" s="92" t="s">
        <v>350</v>
      </c>
    </row>
    <row r="93" spans="1:81" ht="18.399999999999999" customHeight="1" x14ac:dyDescent="0.15">
      <c r="A93" s="91" t="s">
        <v>473</v>
      </c>
      <c r="B93" s="92" t="s">
        <v>6</v>
      </c>
      <c r="C93" s="92"/>
      <c r="D93" s="92" t="s">
        <v>6</v>
      </c>
      <c r="E93" s="93">
        <f t="shared" si="4"/>
        <v>0</v>
      </c>
      <c r="F93" s="93">
        <f t="shared" si="4"/>
        <v>137850000</v>
      </c>
      <c r="G93" s="90"/>
      <c r="H93" s="93">
        <f>TRUNC(H94+H95,0)</f>
        <v>137850000</v>
      </c>
      <c r="I93" s="90"/>
      <c r="J93" s="93">
        <f>TRUNC(J94+J95,0)</f>
        <v>0</v>
      </c>
      <c r="K93" s="90"/>
      <c r="L93" s="93">
        <f>TRUNC(L94+L95,0)</f>
        <v>0</v>
      </c>
      <c r="M93" s="94" t="s">
        <v>6</v>
      </c>
      <c r="N93" t="s">
        <v>6</v>
      </c>
      <c r="P93" t="s">
        <v>474</v>
      </c>
      <c r="Q93" t="s">
        <v>6</v>
      </c>
      <c r="R93" t="s">
        <v>6</v>
      </c>
      <c r="BH93" s="92" t="s">
        <v>6</v>
      </c>
      <c r="CC93" s="92" t="s">
        <v>345</v>
      </c>
    </row>
    <row r="94" spans="1:81" ht="18.399999999999999" customHeight="1" x14ac:dyDescent="0.15">
      <c r="A94" s="91" t="s">
        <v>475</v>
      </c>
      <c r="B94" s="92" t="s">
        <v>476</v>
      </c>
      <c r="C94" s="93">
        <v>585</v>
      </c>
      <c r="D94" s="92" t="s">
        <v>410</v>
      </c>
      <c r="E94" s="93">
        <f t="shared" si="4"/>
        <v>210000</v>
      </c>
      <c r="F94" s="93">
        <f t="shared" si="4"/>
        <v>122850000</v>
      </c>
      <c r="G94" s="93">
        <f>[4]자재조서!E66</f>
        <v>210000</v>
      </c>
      <c r="H94" s="93">
        <f>TRUNC(G94*C94,0)</f>
        <v>122850000</v>
      </c>
      <c r="I94" s="93">
        <v>0</v>
      </c>
      <c r="J94" s="93"/>
      <c r="K94" s="93">
        <v>0</v>
      </c>
      <c r="L94" s="93"/>
      <c r="M94" s="94" t="s">
        <v>477</v>
      </c>
      <c r="N94" t="s">
        <v>6</v>
      </c>
      <c r="P94" t="s">
        <v>478</v>
      </c>
      <c r="Q94" t="s">
        <v>6</v>
      </c>
      <c r="R94" t="s">
        <v>477</v>
      </c>
      <c r="BH94" s="92" t="s">
        <v>6</v>
      </c>
      <c r="BJ94" s="95" t="str">
        <f>HYPERLINK("#자재조서!A66","MZZ10010 →")</f>
        <v>MZZ10010 →</v>
      </c>
      <c r="CC94" s="92" t="s">
        <v>350</v>
      </c>
    </row>
    <row r="95" spans="1:81" ht="18.399999999999999" customHeight="1" x14ac:dyDescent="0.15">
      <c r="A95" s="91" t="s">
        <v>479</v>
      </c>
      <c r="B95" s="92" t="s">
        <v>480</v>
      </c>
      <c r="C95" s="93">
        <v>20</v>
      </c>
      <c r="D95" s="92" t="s">
        <v>305</v>
      </c>
      <c r="E95" s="93">
        <f t="shared" si="4"/>
        <v>750000</v>
      </c>
      <c r="F95" s="93">
        <f t="shared" si="4"/>
        <v>15000000</v>
      </c>
      <c r="G95" s="93">
        <f>[4]자재조서!E67</f>
        <v>750000</v>
      </c>
      <c r="H95" s="93">
        <f>TRUNC(G95*C95,0)</f>
        <v>15000000</v>
      </c>
      <c r="I95" s="93">
        <v>0</v>
      </c>
      <c r="J95" s="93"/>
      <c r="K95" s="93">
        <v>0</v>
      </c>
      <c r="L95" s="93"/>
      <c r="M95" s="94" t="s">
        <v>481</v>
      </c>
      <c r="N95" t="s">
        <v>6</v>
      </c>
      <c r="P95" t="s">
        <v>482</v>
      </c>
      <c r="Q95" t="s">
        <v>6</v>
      </c>
      <c r="R95" t="s">
        <v>481</v>
      </c>
      <c r="BH95" s="92" t="s">
        <v>6</v>
      </c>
      <c r="BJ95" s="95" t="str">
        <f>HYPERLINK("#자재조서!A67","MZZ10025 →")</f>
        <v>MZZ10025 →</v>
      </c>
      <c r="CC95" s="92" t="s">
        <v>350</v>
      </c>
    </row>
    <row r="96" spans="1:81" ht="18.399999999999999" customHeight="1" x14ac:dyDescent="0.15">
      <c r="A96" s="91" t="s">
        <v>6</v>
      </c>
      <c r="B96" s="92" t="s">
        <v>6</v>
      </c>
      <c r="C96" s="92"/>
      <c r="D96" s="92" t="s">
        <v>6</v>
      </c>
      <c r="E96" s="93">
        <f t="shared" si="4"/>
        <v>0</v>
      </c>
      <c r="F96" s="93">
        <f t="shared" si="4"/>
        <v>0</v>
      </c>
      <c r="G96" s="90"/>
      <c r="H96" s="93">
        <v>0</v>
      </c>
      <c r="I96" s="90"/>
      <c r="J96" s="93">
        <v>0</v>
      </c>
      <c r="K96" s="90"/>
      <c r="L96" s="93">
        <v>0</v>
      </c>
      <c r="M96" s="94" t="s">
        <v>6</v>
      </c>
      <c r="N96" t="s">
        <v>6</v>
      </c>
      <c r="P96" t="s">
        <v>483</v>
      </c>
      <c r="Q96" t="s">
        <v>6</v>
      </c>
      <c r="R96" t="s">
        <v>6</v>
      </c>
      <c r="BH96" s="92" t="s">
        <v>6</v>
      </c>
      <c r="CC96" s="92" t="s">
        <v>6</v>
      </c>
    </row>
    <row r="97" spans="1:100" ht="18.399999999999999" customHeight="1" x14ac:dyDescent="0.15">
      <c r="A97" s="91" t="s">
        <v>338</v>
      </c>
      <c r="B97" s="92" t="s">
        <v>6</v>
      </c>
      <c r="C97" s="93">
        <v>1</v>
      </c>
      <c r="D97" s="92" t="s">
        <v>188</v>
      </c>
      <c r="E97" s="90"/>
      <c r="F97" s="93">
        <f t="shared" ref="F97:F160" si="13">H97+J97+L97</f>
        <v>21727912</v>
      </c>
      <c r="G97" s="90"/>
      <c r="H97" s="93">
        <f>TRUNC(SUM(Z97:Z98),0)</f>
        <v>11911009</v>
      </c>
      <c r="I97" s="90"/>
      <c r="J97" s="93">
        <f>TRUNC(SUM(AA97:AA98),0)</f>
        <v>8413680</v>
      </c>
      <c r="K97" s="90"/>
      <c r="L97" s="93">
        <f>TRUNC(SUM(AB97:AB98),0)</f>
        <v>1403223</v>
      </c>
      <c r="M97" s="94" t="s">
        <v>6</v>
      </c>
      <c r="N97" t="s">
        <v>6</v>
      </c>
      <c r="O97" t="s">
        <v>339</v>
      </c>
      <c r="Z97" s="93">
        <f>H100+H101+H102+H103+H104+H105+H106+H107+H108+H109+H110+H112+H113+H114+H115+H116+H117+H118+H119+H121+H122+H123+H126+H127+H128+H129+H130+H131+H133+H134</f>
        <v>6995672</v>
      </c>
      <c r="AA97" s="93">
        <f>J100+J101+J102+J103+J104+J105+J106+J107+J108+J109+J110+J112+J113+J114+J115+J116+J117+J118+J119+J121+J122+J123+J126+J127+J128+J129+J130+J131+J133+J134</f>
        <v>7522911</v>
      </c>
      <c r="AB97" s="93">
        <f>L100+L101+L102+L103+L104+L105+L106+L107+L108+L109+L110+L112+L113+L114+L115+L116+L117+L118+L119+L121+L122+L123+L126+L127+L128+L129+L130+L131+L133+L134</f>
        <v>1110242</v>
      </c>
      <c r="BH97" s="92" t="s">
        <v>6</v>
      </c>
      <c r="CV97" s="92" t="s">
        <v>6</v>
      </c>
    </row>
    <row r="98" spans="1:100" ht="18.399999999999999" customHeight="1" x14ac:dyDescent="0.15">
      <c r="A98" s="91" t="s">
        <v>484</v>
      </c>
      <c r="B98" s="92" t="s">
        <v>6</v>
      </c>
      <c r="C98" s="92"/>
      <c r="D98" s="92" t="s">
        <v>6</v>
      </c>
      <c r="E98" s="93">
        <f t="shared" ref="E98:E153" si="14">G98+I98+K98</f>
        <v>0</v>
      </c>
      <c r="F98" s="93">
        <f t="shared" si="13"/>
        <v>12566611</v>
      </c>
      <c r="G98" s="90"/>
      <c r="H98" s="93">
        <f>TRUNC(H100+H101+H102+H103+H104+H105+H106+H107+H108+H109+H110+H112+H113+H114+H115+H116+H117+H118+H119+H121+H122+H123,0)</f>
        <v>6621298</v>
      </c>
      <c r="I98" s="90"/>
      <c r="J98" s="93">
        <f>TRUNC(J100+J101+J102+J103+J104+J105+J106+J107+J108+J109+J110+J112+J113+J114+J115+J116+J117+J118+J119+J121+J122+J123,0)</f>
        <v>5170252</v>
      </c>
      <c r="K98" s="90"/>
      <c r="L98" s="93">
        <f>TRUNC(L100+L101+L102+L103+L104+L105+L106+L107+L108+L109+L110+L112+L113+L114+L115+L116+L117+L118+L119+L121+L122+L123,0)</f>
        <v>775061</v>
      </c>
      <c r="M98" s="94" t="s">
        <v>6</v>
      </c>
      <c r="N98" t="s">
        <v>6</v>
      </c>
      <c r="P98" t="s">
        <v>48</v>
      </c>
      <c r="Q98" t="s">
        <v>6</v>
      </c>
      <c r="R98" t="s">
        <v>6</v>
      </c>
      <c r="Z98" s="93">
        <f>H135+H136+H137+H138+H139+H140+H141+H143+H144+H146+H147+H148+H149+H150+H152</f>
        <v>4915337</v>
      </c>
      <c r="AA98" s="93">
        <f>J135+J136+J137+J138+J139+J140+J141+J143+J144+J146+J147+J148+J149+J150+J152</f>
        <v>890769</v>
      </c>
      <c r="AB98" s="93">
        <f>L135+L136+L137+L138+L139+L140+L141+L143+L144+L146+L147+L148+L149+L150+L152</f>
        <v>292981</v>
      </c>
      <c r="BH98" s="92" t="s">
        <v>6</v>
      </c>
      <c r="CC98" s="92" t="s">
        <v>345</v>
      </c>
    </row>
    <row r="99" spans="1:100" ht="18.399999999999999" customHeight="1" x14ac:dyDescent="0.15">
      <c r="A99" s="91" t="s">
        <v>485</v>
      </c>
      <c r="B99" s="92" t="s">
        <v>6</v>
      </c>
      <c r="C99" s="92"/>
      <c r="D99" s="92" t="s">
        <v>6</v>
      </c>
      <c r="E99" s="93">
        <f t="shared" si="14"/>
        <v>0</v>
      </c>
      <c r="F99" s="93">
        <f t="shared" si="13"/>
        <v>2708694</v>
      </c>
      <c r="G99" s="90"/>
      <c r="H99" s="93">
        <f>TRUNC(H100+H101+H102+H103+H104+H105+H106+H107+H108+H109+H110,0)</f>
        <v>763604</v>
      </c>
      <c r="I99" s="90"/>
      <c r="J99" s="93">
        <f>TRUNC(J100+J101+J102+J103+J104+J105+J106+J107+J108+J109+J110,0)</f>
        <v>1592000</v>
      </c>
      <c r="K99" s="90"/>
      <c r="L99" s="93">
        <f>TRUNC(L100+L101+L102+L103+L104+L105+L106+L107+L108+L109+L110,0)</f>
        <v>353090</v>
      </c>
      <c r="M99" s="94" t="s">
        <v>6</v>
      </c>
      <c r="N99" t="s">
        <v>6</v>
      </c>
      <c r="P99" t="s">
        <v>191</v>
      </c>
      <c r="Q99" t="s">
        <v>6</v>
      </c>
      <c r="R99" t="s">
        <v>6</v>
      </c>
      <c r="BH99" s="92" t="s">
        <v>6</v>
      </c>
      <c r="CC99" s="92" t="s">
        <v>364</v>
      </c>
    </row>
    <row r="100" spans="1:100" ht="18.399999999999999" customHeight="1" x14ac:dyDescent="0.15">
      <c r="A100" s="91" t="s">
        <v>385</v>
      </c>
      <c r="B100" s="92" t="s">
        <v>386</v>
      </c>
      <c r="C100" s="92">
        <v>0.22</v>
      </c>
      <c r="D100" s="92" t="s">
        <v>388</v>
      </c>
      <c r="E100" s="93">
        <f t="shared" si="14"/>
        <v>2472509</v>
      </c>
      <c r="F100" s="93">
        <f t="shared" si="13"/>
        <v>543950</v>
      </c>
      <c r="G100" s="93">
        <f>[4]일위대가목록!F24</f>
        <v>68680</v>
      </c>
      <c r="H100" s="93">
        <f t="shared" ref="H100:H110" si="15">TRUNC(G100*C100,0)</f>
        <v>15109</v>
      </c>
      <c r="I100" s="93">
        <f>[4]일위대가목록!G24</f>
        <v>2289361</v>
      </c>
      <c r="J100" s="93">
        <f>TRUNC(I100*C100,0)</f>
        <v>503659</v>
      </c>
      <c r="K100" s="93">
        <f>[4]일위대가목록!H24</f>
        <v>114468</v>
      </c>
      <c r="L100" s="93">
        <f>TRUNC(K100*C100,0)</f>
        <v>25182</v>
      </c>
      <c r="M100" s="94" t="s">
        <v>389</v>
      </c>
      <c r="N100" t="s">
        <v>6</v>
      </c>
      <c r="P100" t="s">
        <v>194</v>
      </c>
      <c r="Q100" t="s">
        <v>6</v>
      </c>
      <c r="R100" t="s">
        <v>390</v>
      </c>
      <c r="T100" t="s">
        <v>212</v>
      </c>
      <c r="BH100" s="92" t="s">
        <v>6</v>
      </c>
      <c r="BJ100" s="95" t="str">
        <f>HYPERLINK("#일위대가목록!A24","K01090028000 →")</f>
        <v>K01090028000 →</v>
      </c>
      <c r="CC100" s="92" t="s">
        <v>350</v>
      </c>
    </row>
    <row r="101" spans="1:100" ht="18.399999999999999" customHeight="1" x14ac:dyDescent="0.15">
      <c r="A101" s="91" t="s">
        <v>391</v>
      </c>
      <c r="B101" s="92" t="s">
        <v>386</v>
      </c>
      <c r="C101" s="92">
        <v>0.22</v>
      </c>
      <c r="D101" s="92" t="s">
        <v>388</v>
      </c>
      <c r="E101" s="93">
        <f t="shared" si="14"/>
        <v>3364568</v>
      </c>
      <c r="F101" s="93">
        <f t="shared" si="13"/>
        <v>740204</v>
      </c>
      <c r="G101" s="93">
        <f>[4]일위대가목록!F32</f>
        <v>93460</v>
      </c>
      <c r="H101" s="93">
        <f t="shared" si="15"/>
        <v>20561</v>
      </c>
      <c r="I101" s="93">
        <f>[4]일위대가목록!G32</f>
        <v>3115341</v>
      </c>
      <c r="J101" s="93">
        <f>TRUNC(I101*C101,0)</f>
        <v>685375</v>
      </c>
      <c r="K101" s="93">
        <f>[4]일위대가목록!H32</f>
        <v>155767</v>
      </c>
      <c r="L101" s="93">
        <f>TRUNC(K101*C101,0)</f>
        <v>34268</v>
      </c>
      <c r="M101" s="94" t="s">
        <v>486</v>
      </c>
      <c r="N101" t="s">
        <v>6</v>
      </c>
      <c r="P101" t="s">
        <v>198</v>
      </c>
      <c r="Q101" t="s">
        <v>6</v>
      </c>
      <c r="R101" t="s">
        <v>487</v>
      </c>
      <c r="T101" t="s">
        <v>212</v>
      </c>
      <c r="BH101" s="92" t="s">
        <v>6</v>
      </c>
      <c r="BJ101" s="95" t="str">
        <f>HYPERLINK("#일위대가목록!A32","K01090029000 →")</f>
        <v>K01090029000 →</v>
      </c>
      <c r="CC101" s="92" t="s">
        <v>350</v>
      </c>
    </row>
    <row r="102" spans="1:100" ht="18.399999999999999" customHeight="1" x14ac:dyDescent="0.15">
      <c r="A102" s="91" t="s">
        <v>488</v>
      </c>
      <c r="B102" s="92" t="s">
        <v>6</v>
      </c>
      <c r="C102" s="93">
        <v>182</v>
      </c>
      <c r="D102" s="92" t="s">
        <v>489</v>
      </c>
      <c r="E102" s="93">
        <f t="shared" si="14"/>
        <v>950</v>
      </c>
      <c r="F102" s="93">
        <f t="shared" si="13"/>
        <v>172900</v>
      </c>
      <c r="G102" s="93">
        <f>[4]자재조서!E55</f>
        <v>950</v>
      </c>
      <c r="H102" s="93">
        <f t="shared" si="15"/>
        <v>172900</v>
      </c>
      <c r="I102" s="93">
        <v>0</v>
      </c>
      <c r="J102" s="93"/>
      <c r="K102" s="93">
        <v>0</v>
      </c>
      <c r="L102" s="93"/>
      <c r="M102" s="94" t="s">
        <v>490</v>
      </c>
      <c r="N102" t="s">
        <v>6</v>
      </c>
      <c r="P102" t="s">
        <v>201</v>
      </c>
      <c r="Q102" t="s">
        <v>6</v>
      </c>
      <c r="R102" t="s">
        <v>490</v>
      </c>
      <c r="BH102" s="92" t="s">
        <v>6</v>
      </c>
      <c r="BJ102" s="95" t="str">
        <f>HYPERLINK("#자재조서!A55","M9384010 →")</f>
        <v>M9384010 →</v>
      </c>
      <c r="CC102" s="92" t="s">
        <v>350</v>
      </c>
    </row>
    <row r="103" spans="1:100" ht="18.399999999999999" customHeight="1" x14ac:dyDescent="0.15">
      <c r="A103" s="91" t="s">
        <v>491</v>
      </c>
      <c r="B103" s="92" t="s">
        <v>492</v>
      </c>
      <c r="C103" s="93">
        <v>11</v>
      </c>
      <c r="D103" s="92" t="s">
        <v>493</v>
      </c>
      <c r="E103" s="93">
        <f t="shared" si="14"/>
        <v>-251</v>
      </c>
      <c r="F103" s="93">
        <f t="shared" si="13"/>
        <v>-2761</v>
      </c>
      <c r="G103" s="93">
        <f>[4]자재조서!E56</f>
        <v>-251</v>
      </c>
      <c r="H103" s="93">
        <f t="shared" si="15"/>
        <v>-2761</v>
      </c>
      <c r="I103" s="93">
        <v>0</v>
      </c>
      <c r="J103" s="93"/>
      <c r="K103" s="93">
        <v>0</v>
      </c>
      <c r="L103" s="93"/>
      <c r="M103" s="94" t="s">
        <v>494</v>
      </c>
      <c r="N103" t="s">
        <v>431</v>
      </c>
      <c r="P103" t="s">
        <v>204</v>
      </c>
      <c r="Q103" t="s">
        <v>6</v>
      </c>
      <c r="R103" t="s">
        <v>494</v>
      </c>
      <c r="BH103" s="92" t="s">
        <v>6</v>
      </c>
      <c r="BJ103" s="95" t="str">
        <f>HYPERLINK("#자재조서!A56","M9531005A →")</f>
        <v>M9531005A →</v>
      </c>
      <c r="CC103" s="92" t="s">
        <v>350</v>
      </c>
    </row>
    <row r="104" spans="1:100" ht="18.399999999999999" customHeight="1" x14ac:dyDescent="0.15">
      <c r="A104" s="91" t="s">
        <v>495</v>
      </c>
      <c r="B104" s="92" t="s">
        <v>6</v>
      </c>
      <c r="C104" s="92">
        <v>0.22</v>
      </c>
      <c r="D104" s="92" t="s">
        <v>388</v>
      </c>
      <c r="E104" s="93">
        <f t="shared" si="14"/>
        <v>23537</v>
      </c>
      <c r="F104" s="93">
        <f t="shared" si="13"/>
        <v>5177</v>
      </c>
      <c r="G104" s="93">
        <f>[4]일위대가목록!F33</f>
        <v>6305</v>
      </c>
      <c r="H104" s="93">
        <f t="shared" si="15"/>
        <v>1387</v>
      </c>
      <c r="I104" s="93">
        <f>[4]일위대가목록!G33</f>
        <v>13194</v>
      </c>
      <c r="J104" s="93">
        <f>TRUNC(I104*C104,0)</f>
        <v>2902</v>
      </c>
      <c r="K104" s="93">
        <f>[4]일위대가목록!H33</f>
        <v>4038</v>
      </c>
      <c r="L104" s="93">
        <f>TRUNC(K104*C104,0)</f>
        <v>888</v>
      </c>
      <c r="M104" s="94" t="s">
        <v>496</v>
      </c>
      <c r="N104" t="s">
        <v>6</v>
      </c>
      <c r="P104" t="s">
        <v>211</v>
      </c>
      <c r="Q104" t="s">
        <v>6</v>
      </c>
      <c r="R104" t="s">
        <v>497</v>
      </c>
      <c r="T104" t="s">
        <v>212</v>
      </c>
      <c r="BH104" s="92" t="s">
        <v>6</v>
      </c>
      <c r="BJ104" s="95" t="str">
        <f>HYPERLINK("#일위대가목록!A33","K03H1H204850 →")</f>
        <v>K03H1H204850 →</v>
      </c>
      <c r="CC104" s="92" t="s">
        <v>350</v>
      </c>
    </row>
    <row r="105" spans="1:100" ht="18.399999999999999" customHeight="1" x14ac:dyDescent="0.15">
      <c r="A105" s="91" t="s">
        <v>498</v>
      </c>
      <c r="B105" s="92" t="s">
        <v>499</v>
      </c>
      <c r="C105" s="93">
        <v>1</v>
      </c>
      <c r="D105" s="92" t="s">
        <v>500</v>
      </c>
      <c r="E105" s="93">
        <f t="shared" si="14"/>
        <v>773936</v>
      </c>
      <c r="F105" s="93">
        <f t="shared" si="13"/>
        <v>773936</v>
      </c>
      <c r="G105" s="93">
        <f>[4]일위대가목록!F34</f>
        <v>81120</v>
      </c>
      <c r="H105" s="93">
        <f t="shared" si="15"/>
        <v>81120</v>
      </c>
      <c r="I105" s="93">
        <f>[4]일위대가목록!G34</f>
        <v>400064</v>
      </c>
      <c r="J105" s="93">
        <f>TRUNC(I105*C105,0)</f>
        <v>400064</v>
      </c>
      <c r="K105" s="93">
        <f>[4]일위대가목록!H34</f>
        <v>292752</v>
      </c>
      <c r="L105" s="93">
        <f>TRUNC(K105*C105,0)</f>
        <v>292752</v>
      </c>
      <c r="M105" s="94" t="s">
        <v>501</v>
      </c>
      <c r="N105" t="s">
        <v>6</v>
      </c>
      <c r="P105" t="s">
        <v>218</v>
      </c>
      <c r="Q105" t="s">
        <v>6</v>
      </c>
      <c r="R105" t="s">
        <v>502</v>
      </c>
      <c r="T105" t="s">
        <v>212</v>
      </c>
      <c r="BH105" s="92" t="s">
        <v>6</v>
      </c>
      <c r="BJ105" s="95" t="str">
        <f>HYPERLINK("#일위대가목록!A34","K015080D120A →")</f>
        <v>K015080D120A →</v>
      </c>
      <c r="CC105" s="92" t="s">
        <v>350</v>
      </c>
    </row>
    <row r="106" spans="1:100" ht="18.399999999999999" customHeight="1" x14ac:dyDescent="0.15">
      <c r="A106" s="91" t="s">
        <v>503</v>
      </c>
      <c r="B106" s="92" t="s">
        <v>504</v>
      </c>
      <c r="C106" s="93">
        <v>11</v>
      </c>
      <c r="D106" s="92" t="s">
        <v>410</v>
      </c>
      <c r="E106" s="93">
        <f t="shared" si="14"/>
        <v>8840</v>
      </c>
      <c r="F106" s="93">
        <f t="shared" si="13"/>
        <v>97240</v>
      </c>
      <c r="G106" s="93">
        <f>[4]자재조서!E14</f>
        <v>8840</v>
      </c>
      <c r="H106" s="93">
        <f t="shared" si="15"/>
        <v>97240</v>
      </c>
      <c r="I106" s="93">
        <v>0</v>
      </c>
      <c r="J106" s="93"/>
      <c r="K106" s="93">
        <v>0</v>
      </c>
      <c r="L106" s="93"/>
      <c r="M106" s="94" t="s">
        <v>505</v>
      </c>
      <c r="N106" t="s">
        <v>506</v>
      </c>
      <c r="P106" t="s">
        <v>223</v>
      </c>
      <c r="Q106" t="s">
        <v>6</v>
      </c>
      <c r="R106" t="s">
        <v>505</v>
      </c>
      <c r="BH106" s="92" t="s">
        <v>6</v>
      </c>
      <c r="BJ106" s="95" t="str">
        <f>HYPERLINK("#자재조서!A14","M0132121F →")</f>
        <v>M0132121F →</v>
      </c>
      <c r="CC106" s="92" t="s">
        <v>350</v>
      </c>
    </row>
    <row r="107" spans="1:100" ht="18.399999999999999" customHeight="1" x14ac:dyDescent="0.15">
      <c r="A107" s="91" t="s">
        <v>503</v>
      </c>
      <c r="B107" s="92" t="s">
        <v>507</v>
      </c>
      <c r="C107" s="93">
        <v>42</v>
      </c>
      <c r="D107" s="92" t="s">
        <v>410</v>
      </c>
      <c r="E107" s="93">
        <f t="shared" si="14"/>
        <v>4234</v>
      </c>
      <c r="F107" s="93">
        <f t="shared" si="13"/>
        <v>177828</v>
      </c>
      <c r="G107" s="93">
        <f>[4]자재조서!E15</f>
        <v>4234</v>
      </c>
      <c r="H107" s="93">
        <f t="shared" si="15"/>
        <v>177828</v>
      </c>
      <c r="I107" s="93">
        <v>0</v>
      </c>
      <c r="J107" s="93"/>
      <c r="K107" s="93">
        <v>0</v>
      </c>
      <c r="L107" s="93"/>
      <c r="M107" s="94" t="s">
        <v>508</v>
      </c>
      <c r="N107" t="s">
        <v>6</v>
      </c>
      <c r="P107" t="s">
        <v>228</v>
      </c>
      <c r="Q107" t="s">
        <v>6</v>
      </c>
      <c r="R107" t="s">
        <v>508</v>
      </c>
      <c r="BH107" s="92" t="s">
        <v>6</v>
      </c>
      <c r="BJ107" s="95" t="str">
        <f>HYPERLINK("#자재조서!A15","M0132121G →")</f>
        <v>M0132121G →</v>
      </c>
      <c r="CC107" s="92" t="s">
        <v>350</v>
      </c>
    </row>
    <row r="108" spans="1:100" ht="18.399999999999999" customHeight="1" x14ac:dyDescent="0.15">
      <c r="A108" s="91" t="s">
        <v>509</v>
      </c>
      <c r="B108" s="92" t="s">
        <v>510</v>
      </c>
      <c r="C108" s="93">
        <v>7</v>
      </c>
      <c r="D108" s="92" t="s">
        <v>511</v>
      </c>
      <c r="E108" s="93">
        <f t="shared" si="14"/>
        <v>20000</v>
      </c>
      <c r="F108" s="93">
        <f t="shared" si="13"/>
        <v>140000</v>
      </c>
      <c r="G108" s="93">
        <f>[4]자재조서!E40</f>
        <v>20000</v>
      </c>
      <c r="H108" s="93">
        <f t="shared" si="15"/>
        <v>140000</v>
      </c>
      <c r="I108" s="93">
        <v>0</v>
      </c>
      <c r="J108" s="93"/>
      <c r="K108" s="93">
        <v>0</v>
      </c>
      <c r="L108" s="93"/>
      <c r="M108" s="94" t="s">
        <v>512</v>
      </c>
      <c r="N108" t="s">
        <v>513</v>
      </c>
      <c r="P108" t="s">
        <v>232</v>
      </c>
      <c r="Q108" t="s">
        <v>6</v>
      </c>
      <c r="R108" t="s">
        <v>512</v>
      </c>
      <c r="BH108" s="92" t="s">
        <v>6</v>
      </c>
      <c r="BJ108" s="95" t="str">
        <f>HYPERLINK("#자재조서!A40","M1663037 →")</f>
        <v>M1663037 →</v>
      </c>
      <c r="CC108" s="92" t="s">
        <v>350</v>
      </c>
    </row>
    <row r="109" spans="1:100" ht="18.399999999999999" customHeight="1" x14ac:dyDescent="0.15">
      <c r="A109" s="91" t="s">
        <v>509</v>
      </c>
      <c r="B109" s="92" t="s">
        <v>514</v>
      </c>
      <c r="C109" s="93">
        <v>2</v>
      </c>
      <c r="D109" s="92" t="s">
        <v>511</v>
      </c>
      <c r="E109" s="93">
        <f t="shared" si="14"/>
        <v>10000</v>
      </c>
      <c r="F109" s="93">
        <f t="shared" si="13"/>
        <v>20000</v>
      </c>
      <c r="G109" s="93">
        <f>[4]자재조서!E39</f>
        <v>10000</v>
      </c>
      <c r="H109" s="93">
        <f t="shared" si="15"/>
        <v>20000</v>
      </c>
      <c r="I109" s="93">
        <v>0</v>
      </c>
      <c r="J109" s="93"/>
      <c r="K109" s="93">
        <v>0</v>
      </c>
      <c r="L109" s="93"/>
      <c r="M109" s="94" t="s">
        <v>515</v>
      </c>
      <c r="N109" t="s">
        <v>6</v>
      </c>
      <c r="P109" t="s">
        <v>236</v>
      </c>
      <c r="Q109" t="s">
        <v>6</v>
      </c>
      <c r="R109" t="s">
        <v>515</v>
      </c>
      <c r="BH109" s="92" t="s">
        <v>6</v>
      </c>
      <c r="BJ109" s="95" t="str">
        <f>HYPERLINK("#자재조서!A39","M1663035 →")</f>
        <v>M1663035 →</v>
      </c>
      <c r="CC109" s="92" t="s">
        <v>350</v>
      </c>
    </row>
    <row r="110" spans="1:100" ht="18.399999999999999" customHeight="1" x14ac:dyDescent="0.15">
      <c r="A110" s="91" t="s">
        <v>516</v>
      </c>
      <c r="B110" s="92" t="s">
        <v>517</v>
      </c>
      <c r="C110" s="93">
        <v>10</v>
      </c>
      <c r="D110" s="92" t="s">
        <v>410</v>
      </c>
      <c r="E110" s="93">
        <f t="shared" si="14"/>
        <v>4022</v>
      </c>
      <c r="F110" s="93">
        <f t="shared" si="13"/>
        <v>40220</v>
      </c>
      <c r="G110" s="93">
        <f>[4]자재조서!E8</f>
        <v>4022</v>
      </c>
      <c r="H110" s="93">
        <f t="shared" si="15"/>
        <v>40220</v>
      </c>
      <c r="I110" s="93">
        <v>0</v>
      </c>
      <c r="J110" s="93"/>
      <c r="K110" s="93">
        <v>0</v>
      </c>
      <c r="L110" s="93"/>
      <c r="M110" s="94" t="s">
        <v>518</v>
      </c>
      <c r="N110" t="s">
        <v>6</v>
      </c>
      <c r="P110" t="s">
        <v>240</v>
      </c>
      <c r="Q110" t="s">
        <v>6</v>
      </c>
      <c r="R110" t="s">
        <v>518</v>
      </c>
      <c r="BH110" s="92" t="s">
        <v>6</v>
      </c>
      <c r="BJ110" s="95" t="str">
        <f>HYPERLINK("#자재조서!A8","M0060024B →")</f>
        <v>M0060024B →</v>
      </c>
      <c r="CC110" s="92" t="s">
        <v>350</v>
      </c>
    </row>
    <row r="111" spans="1:100" ht="18.399999999999999" customHeight="1" x14ac:dyDescent="0.15">
      <c r="A111" s="91" t="s">
        <v>519</v>
      </c>
      <c r="B111" s="92" t="s">
        <v>6</v>
      </c>
      <c r="C111" s="92"/>
      <c r="D111" s="92" t="s">
        <v>6</v>
      </c>
      <c r="E111" s="93">
        <f t="shared" si="14"/>
        <v>0</v>
      </c>
      <c r="F111" s="93">
        <f t="shared" si="13"/>
        <v>7541160</v>
      </c>
      <c r="G111" s="90"/>
      <c r="H111" s="93">
        <f>TRUNC(H112+H113+H114+H115+H116+H117+H118+H119,0)</f>
        <v>3861505</v>
      </c>
      <c r="I111" s="90"/>
      <c r="J111" s="93">
        <f>TRUNC(J112+J113+J114+J115+J116+J117+J118+J119,0)</f>
        <v>3272949</v>
      </c>
      <c r="K111" s="90"/>
      <c r="L111" s="93">
        <f>TRUNC(L112+L113+L114+L115+L116+L117+L118+L119,0)</f>
        <v>406706</v>
      </c>
      <c r="M111" s="94" t="s">
        <v>6</v>
      </c>
      <c r="N111" t="s">
        <v>6</v>
      </c>
      <c r="P111" t="s">
        <v>245</v>
      </c>
      <c r="Q111" t="s">
        <v>6</v>
      </c>
      <c r="R111" t="s">
        <v>6</v>
      </c>
      <c r="BH111" s="92" t="s">
        <v>6</v>
      </c>
      <c r="CC111" s="92" t="s">
        <v>364</v>
      </c>
    </row>
    <row r="112" spans="1:100" ht="18.399999999999999" customHeight="1" x14ac:dyDescent="0.15">
      <c r="A112" s="91" t="s">
        <v>391</v>
      </c>
      <c r="B112" s="92" t="s">
        <v>386</v>
      </c>
      <c r="C112" s="92">
        <v>0.34799999999999998</v>
      </c>
      <c r="D112" s="92" t="s">
        <v>388</v>
      </c>
      <c r="E112" s="93">
        <f t="shared" si="14"/>
        <v>3364568</v>
      </c>
      <c r="F112" s="93">
        <f t="shared" si="13"/>
        <v>1170868</v>
      </c>
      <c r="G112" s="93">
        <f>[4]일위대가목록!F32</f>
        <v>93460</v>
      </c>
      <c r="H112" s="93">
        <f t="shared" ref="H112:H119" si="16">TRUNC(G112*C112,0)</f>
        <v>32524</v>
      </c>
      <c r="I112" s="93">
        <f>[4]일위대가목록!G32</f>
        <v>3115341</v>
      </c>
      <c r="J112" s="93">
        <f>TRUNC(I112*C112,0)</f>
        <v>1084138</v>
      </c>
      <c r="K112" s="93">
        <f>[4]일위대가목록!H32</f>
        <v>155767</v>
      </c>
      <c r="L112" s="93">
        <f>TRUNC(K112*C112,0)</f>
        <v>54206</v>
      </c>
      <c r="M112" s="94" t="s">
        <v>486</v>
      </c>
      <c r="N112" t="s">
        <v>6</v>
      </c>
      <c r="P112" t="s">
        <v>252</v>
      </c>
      <c r="Q112" t="s">
        <v>6</v>
      </c>
      <c r="R112" t="s">
        <v>487</v>
      </c>
      <c r="T112" t="s">
        <v>212</v>
      </c>
      <c r="BH112" s="92" t="s">
        <v>6</v>
      </c>
      <c r="BJ112" s="95" t="str">
        <f>HYPERLINK("#일위대가목록!A32","K01090029000 →")</f>
        <v>K01090029000 →</v>
      </c>
      <c r="CC112" s="92" t="s">
        <v>350</v>
      </c>
    </row>
    <row r="113" spans="1:81" ht="18.399999999999999" customHeight="1" x14ac:dyDescent="0.15">
      <c r="A113" s="91" t="s">
        <v>488</v>
      </c>
      <c r="B113" s="92" t="s">
        <v>6</v>
      </c>
      <c r="C113" s="93">
        <v>351</v>
      </c>
      <c r="D113" s="92" t="s">
        <v>489</v>
      </c>
      <c r="E113" s="93">
        <f t="shared" si="14"/>
        <v>950</v>
      </c>
      <c r="F113" s="93">
        <f t="shared" si="13"/>
        <v>333450</v>
      </c>
      <c r="G113" s="93">
        <f>[4]자재조서!E55</f>
        <v>950</v>
      </c>
      <c r="H113" s="93">
        <f t="shared" si="16"/>
        <v>333450</v>
      </c>
      <c r="I113" s="93">
        <v>0</v>
      </c>
      <c r="J113" s="93"/>
      <c r="K113" s="93">
        <v>0</v>
      </c>
      <c r="L113" s="93"/>
      <c r="M113" s="94" t="s">
        <v>490</v>
      </c>
      <c r="N113" t="s">
        <v>6</v>
      </c>
      <c r="P113" t="s">
        <v>256</v>
      </c>
      <c r="Q113" t="s">
        <v>6</v>
      </c>
      <c r="R113" t="s">
        <v>490</v>
      </c>
      <c r="BH113" s="92" t="s">
        <v>6</v>
      </c>
      <c r="BJ113" s="95" t="str">
        <f>HYPERLINK("#자재조서!A55","M9384010 →")</f>
        <v>M9384010 →</v>
      </c>
      <c r="CC113" s="92" t="s">
        <v>350</v>
      </c>
    </row>
    <row r="114" spans="1:81" ht="18.399999999999999" customHeight="1" x14ac:dyDescent="0.15">
      <c r="A114" s="91" t="s">
        <v>520</v>
      </c>
      <c r="B114" s="92" t="s">
        <v>521</v>
      </c>
      <c r="C114" s="93">
        <v>41</v>
      </c>
      <c r="D114" s="92" t="s">
        <v>522</v>
      </c>
      <c r="E114" s="93">
        <f t="shared" si="14"/>
        <v>36324</v>
      </c>
      <c r="F114" s="93">
        <f t="shared" si="13"/>
        <v>1489284</v>
      </c>
      <c r="G114" s="93">
        <f>[4]일위대가목록!F35</f>
        <v>1258</v>
      </c>
      <c r="H114" s="93">
        <f t="shared" si="16"/>
        <v>51578</v>
      </c>
      <c r="I114" s="93">
        <f>[4]일위대가목록!G35</f>
        <v>33643</v>
      </c>
      <c r="J114" s="93">
        <f>TRUNC(I114*C114,0)</f>
        <v>1379363</v>
      </c>
      <c r="K114" s="93">
        <f>[4]일위대가목록!H35</f>
        <v>1423</v>
      </c>
      <c r="L114" s="93">
        <f>TRUNC(K114*C114,0)</f>
        <v>58343</v>
      </c>
      <c r="M114" s="94" t="s">
        <v>523</v>
      </c>
      <c r="N114" t="s">
        <v>6</v>
      </c>
      <c r="P114" t="s">
        <v>261</v>
      </c>
      <c r="Q114" t="s">
        <v>6</v>
      </c>
      <c r="R114" t="s">
        <v>524</v>
      </c>
      <c r="T114" t="s">
        <v>212</v>
      </c>
      <c r="BH114" s="92" t="s">
        <v>6</v>
      </c>
      <c r="BJ114" s="95" t="str">
        <f>HYPERLINK("#일위대가목록!A35","KR09030-0020 →")</f>
        <v>KR09030-0020 →</v>
      </c>
      <c r="CC114" s="92" t="s">
        <v>350</v>
      </c>
    </row>
    <row r="115" spans="1:81" ht="18.399999999999999" customHeight="1" x14ac:dyDescent="0.15">
      <c r="A115" s="91" t="s">
        <v>495</v>
      </c>
      <c r="B115" s="92" t="s">
        <v>6</v>
      </c>
      <c r="C115" s="92">
        <v>0.34799999999999998</v>
      </c>
      <c r="D115" s="92" t="s">
        <v>388</v>
      </c>
      <c r="E115" s="93">
        <f t="shared" si="14"/>
        <v>23537</v>
      </c>
      <c r="F115" s="93">
        <f t="shared" si="13"/>
        <v>8190</v>
      </c>
      <c r="G115" s="93">
        <f>[4]일위대가목록!F33</f>
        <v>6305</v>
      </c>
      <c r="H115" s="93">
        <f t="shared" si="16"/>
        <v>2194</v>
      </c>
      <c r="I115" s="93">
        <f>[4]일위대가목록!G33</f>
        <v>13194</v>
      </c>
      <c r="J115" s="93">
        <f>TRUNC(I115*C115,0)</f>
        <v>4591</v>
      </c>
      <c r="K115" s="93">
        <f>[4]일위대가목록!H33</f>
        <v>4038</v>
      </c>
      <c r="L115" s="93">
        <f>TRUNC(K115*C115,0)</f>
        <v>1405</v>
      </c>
      <c r="M115" s="94" t="s">
        <v>496</v>
      </c>
      <c r="N115" t="s">
        <v>6</v>
      </c>
      <c r="P115" t="s">
        <v>266</v>
      </c>
      <c r="Q115" t="s">
        <v>6</v>
      </c>
      <c r="R115" t="s">
        <v>497</v>
      </c>
      <c r="T115" t="s">
        <v>212</v>
      </c>
      <c r="BH115" s="92" t="s">
        <v>6</v>
      </c>
      <c r="BJ115" s="95" t="str">
        <f>HYPERLINK("#일위대가목록!A33","K03H1H204850 →")</f>
        <v>K03H1H204850 →</v>
      </c>
      <c r="CC115" s="92" t="s">
        <v>350</v>
      </c>
    </row>
    <row r="116" spans="1:81" ht="18.399999999999999" customHeight="1" x14ac:dyDescent="0.15">
      <c r="A116" s="91" t="s">
        <v>525</v>
      </c>
      <c r="B116" s="92" t="s">
        <v>499</v>
      </c>
      <c r="C116" s="93">
        <v>1</v>
      </c>
      <c r="D116" s="92" t="s">
        <v>500</v>
      </c>
      <c r="E116" s="93">
        <f t="shared" si="14"/>
        <v>773936</v>
      </c>
      <c r="F116" s="93">
        <f t="shared" si="13"/>
        <v>773936</v>
      </c>
      <c r="G116" s="93">
        <f>[4]일위대가목록!F36</f>
        <v>81120</v>
      </c>
      <c r="H116" s="93">
        <f t="shared" si="16"/>
        <v>81120</v>
      </c>
      <c r="I116" s="93">
        <f>[4]일위대가목록!G36</f>
        <v>400064</v>
      </c>
      <c r="J116" s="93">
        <f>TRUNC(I116*C116,0)</f>
        <v>400064</v>
      </c>
      <c r="K116" s="93">
        <f>[4]일위대가목록!H36</f>
        <v>292752</v>
      </c>
      <c r="L116" s="93">
        <f>TRUNC(K116*C116,0)</f>
        <v>292752</v>
      </c>
      <c r="M116" s="94" t="s">
        <v>526</v>
      </c>
      <c r="N116" t="s">
        <v>6</v>
      </c>
      <c r="P116" t="s">
        <v>271</v>
      </c>
      <c r="Q116" t="s">
        <v>6</v>
      </c>
      <c r="R116" t="s">
        <v>527</v>
      </c>
      <c r="T116" t="s">
        <v>212</v>
      </c>
      <c r="BH116" s="92" t="s">
        <v>6</v>
      </c>
      <c r="BJ116" s="95" t="str">
        <f>HYPERLINK("#일위대가목록!A36","K015080D110A →")</f>
        <v>K015080D110A →</v>
      </c>
      <c r="CC116" s="92" t="s">
        <v>350</v>
      </c>
    </row>
    <row r="117" spans="1:81" ht="18.399999999999999" customHeight="1" x14ac:dyDescent="0.15">
      <c r="A117" s="91" t="s">
        <v>528</v>
      </c>
      <c r="B117" s="92" t="s">
        <v>529</v>
      </c>
      <c r="C117" s="93">
        <v>7</v>
      </c>
      <c r="D117" s="92" t="s">
        <v>522</v>
      </c>
      <c r="E117" s="93">
        <f t="shared" si="14"/>
        <v>402285</v>
      </c>
      <c r="F117" s="93">
        <f t="shared" si="13"/>
        <v>2815995</v>
      </c>
      <c r="G117" s="93">
        <f>[4]자재조서!E68</f>
        <v>402285</v>
      </c>
      <c r="H117" s="93">
        <f t="shared" si="16"/>
        <v>2815995</v>
      </c>
      <c r="I117" s="93">
        <v>0</v>
      </c>
      <c r="J117" s="93"/>
      <c r="K117" s="93">
        <v>0</v>
      </c>
      <c r="L117" s="93"/>
      <c r="M117" s="94" t="s">
        <v>530</v>
      </c>
      <c r="N117" t="s">
        <v>6</v>
      </c>
      <c r="P117" t="s">
        <v>275</v>
      </c>
      <c r="Q117" t="s">
        <v>6</v>
      </c>
      <c r="R117" t="s">
        <v>530</v>
      </c>
      <c r="BH117" s="92" t="s">
        <v>6</v>
      </c>
      <c r="BJ117" s="95" t="str">
        <f>HYPERLINK("#자재조서!A68","MZZ10030 →")</f>
        <v>MZZ10030 →</v>
      </c>
      <c r="CC117" s="92" t="s">
        <v>350</v>
      </c>
    </row>
    <row r="118" spans="1:81" ht="18.399999999999999" customHeight="1" x14ac:dyDescent="0.15">
      <c r="A118" s="91" t="s">
        <v>531</v>
      </c>
      <c r="B118" s="92" t="s">
        <v>532</v>
      </c>
      <c r="C118" s="93">
        <v>41</v>
      </c>
      <c r="D118" s="92" t="s">
        <v>303</v>
      </c>
      <c r="E118" s="93">
        <f t="shared" si="14"/>
        <v>19757</v>
      </c>
      <c r="F118" s="93">
        <f t="shared" si="13"/>
        <v>810037</v>
      </c>
      <c r="G118" s="93">
        <f>[4]일위대가목록!F37</f>
        <v>9884</v>
      </c>
      <c r="H118" s="93">
        <f t="shared" si="16"/>
        <v>405244</v>
      </c>
      <c r="I118" s="93">
        <f>[4]일위대가목록!G37</f>
        <v>9873</v>
      </c>
      <c r="J118" s="93">
        <f>TRUNC(I118*C118,0)</f>
        <v>404793</v>
      </c>
      <c r="K118" s="93">
        <f>[4]일위대가목록!H37</f>
        <v>0</v>
      </c>
      <c r="L118" s="93">
        <f>TRUNC(K118*C118,0)</f>
        <v>0</v>
      </c>
      <c r="M118" s="94" t="s">
        <v>533</v>
      </c>
      <c r="N118" t="s">
        <v>6</v>
      </c>
      <c r="P118" t="s">
        <v>279</v>
      </c>
      <c r="Q118" t="s">
        <v>6</v>
      </c>
      <c r="R118" t="s">
        <v>534</v>
      </c>
      <c r="T118" t="s">
        <v>212</v>
      </c>
      <c r="BH118" s="92" t="s">
        <v>6</v>
      </c>
      <c r="BJ118" s="95" t="str">
        <f>HYPERLINK("#일위대가목록!A37","KR02062-0190 →")</f>
        <v>KR02062-0190 →</v>
      </c>
      <c r="CC118" s="92" t="s">
        <v>350</v>
      </c>
    </row>
    <row r="119" spans="1:81" ht="18.399999999999999" customHeight="1" x14ac:dyDescent="0.15">
      <c r="A119" s="91" t="s">
        <v>535</v>
      </c>
      <c r="B119" s="92" t="s">
        <v>536</v>
      </c>
      <c r="C119" s="93">
        <v>41</v>
      </c>
      <c r="D119" s="92" t="s">
        <v>511</v>
      </c>
      <c r="E119" s="93">
        <f t="shared" si="14"/>
        <v>3400</v>
      </c>
      <c r="F119" s="93">
        <f t="shared" si="13"/>
        <v>139400</v>
      </c>
      <c r="G119" s="93">
        <f>[4]자재조서!E38</f>
        <v>3400</v>
      </c>
      <c r="H119" s="93">
        <f t="shared" si="16"/>
        <v>139400</v>
      </c>
      <c r="I119" s="93">
        <v>0</v>
      </c>
      <c r="J119" s="93"/>
      <c r="K119" s="93">
        <v>0</v>
      </c>
      <c r="L119" s="93"/>
      <c r="M119" s="94" t="s">
        <v>537</v>
      </c>
      <c r="N119" t="s">
        <v>6</v>
      </c>
      <c r="P119" t="s">
        <v>283</v>
      </c>
      <c r="Q119" t="s">
        <v>6</v>
      </c>
      <c r="R119" t="s">
        <v>537</v>
      </c>
      <c r="BH119" s="92" t="s">
        <v>6</v>
      </c>
      <c r="BJ119" s="95" t="str">
        <f>HYPERLINK("#자재조서!A38","M1663027 →")</f>
        <v>M1663027 →</v>
      </c>
      <c r="CC119" s="92" t="s">
        <v>350</v>
      </c>
    </row>
    <row r="120" spans="1:81" ht="18.399999999999999" customHeight="1" x14ac:dyDescent="0.15">
      <c r="A120" s="91" t="s">
        <v>538</v>
      </c>
      <c r="B120" s="92" t="s">
        <v>6</v>
      </c>
      <c r="C120" s="92"/>
      <c r="D120" s="92" t="s">
        <v>6</v>
      </c>
      <c r="E120" s="93">
        <f t="shared" si="14"/>
        <v>0</v>
      </c>
      <c r="F120" s="93">
        <f t="shared" si="13"/>
        <v>2316757</v>
      </c>
      <c r="G120" s="90"/>
      <c r="H120" s="93">
        <f>TRUNC(H121+H122+H123,0)</f>
        <v>1996189</v>
      </c>
      <c r="I120" s="90"/>
      <c r="J120" s="93">
        <f>TRUNC(J121+J122+J123,0)</f>
        <v>305303</v>
      </c>
      <c r="K120" s="90"/>
      <c r="L120" s="93">
        <f>TRUNC(L121+L122+L123,0)</f>
        <v>15265</v>
      </c>
      <c r="M120" s="94" t="s">
        <v>6</v>
      </c>
      <c r="N120" t="s">
        <v>6</v>
      </c>
      <c r="P120" t="s">
        <v>286</v>
      </c>
      <c r="Q120" t="s">
        <v>6</v>
      </c>
      <c r="R120" t="s">
        <v>6</v>
      </c>
      <c r="BH120" s="92" t="s">
        <v>6</v>
      </c>
      <c r="CC120" s="92" t="s">
        <v>364</v>
      </c>
    </row>
    <row r="121" spans="1:81" ht="18.399999999999999" customHeight="1" x14ac:dyDescent="0.15">
      <c r="A121" s="91" t="s">
        <v>391</v>
      </c>
      <c r="B121" s="92" t="s">
        <v>386</v>
      </c>
      <c r="C121" s="92">
        <v>9.8000000000000004E-2</v>
      </c>
      <c r="D121" s="92" t="s">
        <v>388</v>
      </c>
      <c r="E121" s="93">
        <f t="shared" si="14"/>
        <v>3364568</v>
      </c>
      <c r="F121" s="93">
        <f t="shared" si="13"/>
        <v>329727</v>
      </c>
      <c r="G121" s="93">
        <f>[4]일위대가목록!F32</f>
        <v>93460</v>
      </c>
      <c r="H121" s="93">
        <f>TRUNC(G121*C121,0)</f>
        <v>9159</v>
      </c>
      <c r="I121" s="93">
        <f>[4]일위대가목록!G32</f>
        <v>3115341</v>
      </c>
      <c r="J121" s="93">
        <f>TRUNC(I121*C121,0)</f>
        <v>305303</v>
      </c>
      <c r="K121" s="93">
        <f>[4]일위대가목록!H32</f>
        <v>155767</v>
      </c>
      <c r="L121" s="93">
        <f>TRUNC(K121*C121,0)</f>
        <v>15265</v>
      </c>
      <c r="M121" s="94" t="s">
        <v>486</v>
      </c>
      <c r="N121" t="s">
        <v>6</v>
      </c>
      <c r="P121" t="s">
        <v>291</v>
      </c>
      <c r="Q121" t="s">
        <v>6</v>
      </c>
      <c r="R121" t="s">
        <v>487</v>
      </c>
      <c r="T121" t="s">
        <v>212</v>
      </c>
      <c r="BH121" s="92" t="s">
        <v>6</v>
      </c>
      <c r="BJ121" s="95" t="str">
        <f>HYPERLINK("#일위대가목록!A32","K01090029000 →")</f>
        <v>K01090029000 →</v>
      </c>
      <c r="CC121" s="92" t="s">
        <v>350</v>
      </c>
    </row>
    <row r="122" spans="1:81" ht="18.399999999999999" customHeight="1" x14ac:dyDescent="0.15">
      <c r="A122" s="91" t="s">
        <v>539</v>
      </c>
      <c r="B122" s="92" t="s">
        <v>540</v>
      </c>
      <c r="C122" s="93">
        <v>41</v>
      </c>
      <c r="D122" s="92" t="s">
        <v>303</v>
      </c>
      <c r="E122" s="93">
        <f t="shared" si="14"/>
        <v>48000</v>
      </c>
      <c r="F122" s="93">
        <f t="shared" si="13"/>
        <v>1968000</v>
      </c>
      <c r="G122" s="93">
        <f>[4]자재조서!E62</f>
        <v>48000</v>
      </c>
      <c r="H122" s="93">
        <f>TRUNC(G122*C122,0)</f>
        <v>1968000</v>
      </c>
      <c r="I122" s="93">
        <v>0</v>
      </c>
      <c r="J122" s="93"/>
      <c r="K122" s="93">
        <v>0</v>
      </c>
      <c r="L122" s="93"/>
      <c r="M122" s="94" t="s">
        <v>541</v>
      </c>
      <c r="N122" t="s">
        <v>6</v>
      </c>
      <c r="P122" t="s">
        <v>297</v>
      </c>
      <c r="Q122" t="s">
        <v>6</v>
      </c>
      <c r="R122" t="s">
        <v>541</v>
      </c>
      <c r="BH122" s="92" t="s">
        <v>6</v>
      </c>
      <c r="BJ122" s="95" t="str">
        <f>HYPERLINK("#자재조서!A62","MZZ00060B →")</f>
        <v>MZZ00060B →</v>
      </c>
      <c r="CC122" s="92" t="s">
        <v>350</v>
      </c>
    </row>
    <row r="123" spans="1:81" ht="18.399999999999999" customHeight="1" x14ac:dyDescent="0.15">
      <c r="A123" s="91" t="s">
        <v>542</v>
      </c>
      <c r="B123" s="92" t="s">
        <v>543</v>
      </c>
      <c r="C123" s="93">
        <v>11</v>
      </c>
      <c r="D123" s="92" t="s">
        <v>410</v>
      </c>
      <c r="E123" s="93">
        <f t="shared" si="14"/>
        <v>1730</v>
      </c>
      <c r="F123" s="93">
        <f t="shared" si="13"/>
        <v>19030</v>
      </c>
      <c r="G123" s="93">
        <f>[4]자재조서!E24</f>
        <v>1730</v>
      </c>
      <c r="H123" s="93">
        <f>TRUNC(G123*C123,0)</f>
        <v>19030</v>
      </c>
      <c r="I123" s="93">
        <v>0</v>
      </c>
      <c r="J123" s="93"/>
      <c r="K123" s="93">
        <v>0</v>
      </c>
      <c r="L123" s="93"/>
      <c r="M123" s="94" t="s">
        <v>544</v>
      </c>
      <c r="N123" t="s">
        <v>545</v>
      </c>
      <c r="P123" t="s">
        <v>316</v>
      </c>
      <c r="Q123" t="s">
        <v>6</v>
      </c>
      <c r="R123" t="s">
        <v>544</v>
      </c>
      <c r="BH123" s="92" t="s">
        <v>6</v>
      </c>
      <c r="BJ123" s="95" t="str">
        <f>HYPERLINK("#자재조서!A24","M0414015A →")</f>
        <v>M0414015A →</v>
      </c>
      <c r="CC123" s="92" t="s">
        <v>350</v>
      </c>
    </row>
    <row r="124" spans="1:81" ht="18.399999999999999" customHeight="1" x14ac:dyDescent="0.15">
      <c r="A124" s="91" t="s">
        <v>546</v>
      </c>
      <c r="B124" s="92" t="s">
        <v>6</v>
      </c>
      <c r="C124" s="92"/>
      <c r="D124" s="92" t="s">
        <v>6</v>
      </c>
      <c r="E124" s="93">
        <f t="shared" si="14"/>
        <v>0</v>
      </c>
      <c r="F124" s="93">
        <f t="shared" si="13"/>
        <v>5593486</v>
      </c>
      <c r="G124" s="90"/>
      <c r="H124" s="93">
        <f>TRUNC(H126+H127+H128+H129+H130+H131+H133+H134+H135+H136+H137+H138+H139+H140+H141,0)</f>
        <v>2905646</v>
      </c>
      <c r="I124" s="90"/>
      <c r="J124" s="93">
        <f>TRUNC(J126+J127+J128+J129+J130+J131+J133+J134+J135+J136+J137+J138+J139+J140+J141,0)</f>
        <v>2352659</v>
      </c>
      <c r="K124" s="90"/>
      <c r="L124" s="93">
        <f>TRUNC(L126+L127+L128+L129+L130+L131+L133+L134+L135+L136+L137+L138+L139+L140+L141,0)</f>
        <v>335181</v>
      </c>
      <c r="M124" s="94" t="s">
        <v>6</v>
      </c>
      <c r="N124" t="s">
        <v>6</v>
      </c>
      <c r="P124" t="s">
        <v>322</v>
      </c>
      <c r="Q124" t="s">
        <v>6</v>
      </c>
      <c r="R124" t="s">
        <v>6</v>
      </c>
      <c r="BH124" s="92" t="s">
        <v>6</v>
      </c>
      <c r="CC124" s="92" t="s">
        <v>345</v>
      </c>
    </row>
    <row r="125" spans="1:81" ht="18.399999999999999" customHeight="1" x14ac:dyDescent="0.15">
      <c r="A125" s="91" t="s">
        <v>547</v>
      </c>
      <c r="B125" s="92" t="s">
        <v>6</v>
      </c>
      <c r="C125" s="92"/>
      <c r="D125" s="92" t="s">
        <v>6</v>
      </c>
      <c r="E125" s="93">
        <f t="shared" si="14"/>
        <v>0</v>
      </c>
      <c r="F125" s="93">
        <f t="shared" si="13"/>
        <v>2889174</v>
      </c>
      <c r="G125" s="90"/>
      <c r="H125" s="93">
        <f>TRUNC(H126+H127+H128+H129+H130+H131,0)</f>
        <v>201334</v>
      </c>
      <c r="I125" s="90"/>
      <c r="J125" s="93">
        <f>TRUNC(J126+J127+J128+J129+J130+J131,0)</f>
        <v>2352659</v>
      </c>
      <c r="K125" s="90"/>
      <c r="L125" s="93">
        <f>TRUNC(L126+L127+L128+L129+L130+L131,0)</f>
        <v>335181</v>
      </c>
      <c r="M125" s="94" t="s">
        <v>6</v>
      </c>
      <c r="N125" t="s">
        <v>6</v>
      </c>
      <c r="P125" t="s">
        <v>326</v>
      </c>
      <c r="Q125" t="s">
        <v>6</v>
      </c>
      <c r="R125" t="s">
        <v>6</v>
      </c>
      <c r="BH125" s="92" t="s">
        <v>6</v>
      </c>
      <c r="CC125" s="92" t="s">
        <v>364</v>
      </c>
    </row>
    <row r="126" spans="1:81" ht="18.399999999999999" customHeight="1" x14ac:dyDescent="0.15">
      <c r="A126" s="91" t="s">
        <v>385</v>
      </c>
      <c r="B126" s="92" t="s">
        <v>436</v>
      </c>
      <c r="C126" s="92">
        <v>0.151</v>
      </c>
      <c r="D126" s="92" t="s">
        <v>388</v>
      </c>
      <c r="E126" s="93">
        <f t="shared" si="14"/>
        <v>3152180</v>
      </c>
      <c r="F126" s="93">
        <f t="shared" si="13"/>
        <v>475978</v>
      </c>
      <c r="G126" s="93">
        <f>[4]일위대가목록!F30</f>
        <v>59475</v>
      </c>
      <c r="H126" s="93">
        <f t="shared" ref="H126:H131" si="17">TRUNC(G126*C126,0)</f>
        <v>8980</v>
      </c>
      <c r="I126" s="93">
        <f>[4]일위대가목록!G30</f>
        <v>2973755</v>
      </c>
      <c r="J126" s="93">
        <f t="shared" ref="J126:J131" si="18">TRUNC(I126*C126,0)</f>
        <v>449037</v>
      </c>
      <c r="K126" s="93">
        <f>[4]일위대가목록!H30</f>
        <v>118950</v>
      </c>
      <c r="L126" s="93">
        <f t="shared" ref="L126:L131" si="19">TRUNC(K126*C126,0)</f>
        <v>17961</v>
      </c>
      <c r="M126" s="94" t="s">
        <v>437</v>
      </c>
      <c r="N126" t="s">
        <v>6</v>
      </c>
      <c r="P126" t="s">
        <v>328</v>
      </c>
      <c r="Q126" t="s">
        <v>6</v>
      </c>
      <c r="R126" t="s">
        <v>439</v>
      </c>
      <c r="T126" t="s">
        <v>212</v>
      </c>
      <c r="BH126" s="92" t="s">
        <v>6</v>
      </c>
      <c r="BJ126" s="95" t="str">
        <f>HYPERLINK("#일위대가목록!A30","K01090034000 →")</f>
        <v>K01090034000 →</v>
      </c>
      <c r="CC126" s="92" t="s">
        <v>350</v>
      </c>
    </row>
    <row r="127" spans="1:81" ht="18.399999999999999" customHeight="1" x14ac:dyDescent="0.15">
      <c r="A127" s="91" t="s">
        <v>391</v>
      </c>
      <c r="B127" s="92" t="s">
        <v>436</v>
      </c>
      <c r="C127" s="92">
        <v>0.151</v>
      </c>
      <c r="D127" s="92" t="s">
        <v>388</v>
      </c>
      <c r="E127" s="93">
        <f t="shared" si="14"/>
        <v>4294167</v>
      </c>
      <c r="F127" s="93">
        <f t="shared" si="13"/>
        <v>648418</v>
      </c>
      <c r="G127" s="93">
        <f>[4]일위대가목록!F31</f>
        <v>81022</v>
      </c>
      <c r="H127" s="93">
        <f t="shared" si="17"/>
        <v>12234</v>
      </c>
      <c r="I127" s="93">
        <f>[4]일위대가목록!G31</f>
        <v>4051101</v>
      </c>
      <c r="J127" s="93">
        <f t="shared" si="18"/>
        <v>611716</v>
      </c>
      <c r="K127" s="93">
        <f>[4]일위대가목록!H31</f>
        <v>162044</v>
      </c>
      <c r="L127" s="93">
        <f t="shared" si="19"/>
        <v>24468</v>
      </c>
      <c r="M127" s="94" t="s">
        <v>440</v>
      </c>
      <c r="N127" t="s">
        <v>6</v>
      </c>
      <c r="P127" t="s">
        <v>438</v>
      </c>
      <c r="Q127" t="s">
        <v>6</v>
      </c>
      <c r="R127" t="s">
        <v>442</v>
      </c>
      <c r="T127" t="s">
        <v>212</v>
      </c>
      <c r="BH127" s="92" t="s">
        <v>6</v>
      </c>
      <c r="BJ127" s="95" t="str">
        <f>HYPERLINK("#일위대가목록!A31","K01090035000 →")</f>
        <v>K01090035000 →</v>
      </c>
      <c r="CC127" s="92" t="s">
        <v>350</v>
      </c>
    </row>
    <row r="128" spans="1:81" ht="18.399999999999999" customHeight="1" x14ac:dyDescent="0.15">
      <c r="A128" s="91" t="s">
        <v>395</v>
      </c>
      <c r="B128" s="92" t="s">
        <v>396</v>
      </c>
      <c r="C128" s="93">
        <v>1</v>
      </c>
      <c r="D128" s="92" t="s">
        <v>397</v>
      </c>
      <c r="E128" s="93">
        <f t="shared" si="14"/>
        <v>946634</v>
      </c>
      <c r="F128" s="93">
        <f t="shared" si="13"/>
        <v>946634</v>
      </c>
      <c r="G128" s="93">
        <f>[4]일위대가목록!F26</f>
        <v>81120</v>
      </c>
      <c r="H128" s="93">
        <f t="shared" si="17"/>
        <v>81120</v>
      </c>
      <c r="I128" s="93">
        <f>[4]일위대가목록!G26</f>
        <v>572762</v>
      </c>
      <c r="J128" s="93">
        <f t="shared" si="18"/>
        <v>572762</v>
      </c>
      <c r="K128" s="93">
        <f>[4]일위대가목록!H26</f>
        <v>292752</v>
      </c>
      <c r="L128" s="93">
        <f t="shared" si="19"/>
        <v>292752</v>
      </c>
      <c r="M128" s="94" t="s">
        <v>398</v>
      </c>
      <c r="N128" t="s">
        <v>6</v>
      </c>
      <c r="P128" t="s">
        <v>441</v>
      </c>
      <c r="Q128" t="s">
        <v>6</v>
      </c>
      <c r="R128" t="s">
        <v>399</v>
      </c>
      <c r="T128" t="s">
        <v>212</v>
      </c>
      <c r="BH128" s="92" t="s">
        <v>6</v>
      </c>
      <c r="BJ128" s="95" t="str">
        <f>HYPERLINK("#일위대가목록!A26","KR012601 →")</f>
        <v>KR012601 →</v>
      </c>
      <c r="CC128" s="92" t="s">
        <v>350</v>
      </c>
    </row>
    <row r="129" spans="1:81" ht="18.399999999999999" hidden="1" customHeight="1" x14ac:dyDescent="0.15">
      <c r="A129" s="91" t="s">
        <v>400</v>
      </c>
      <c r="B129" s="92" t="s">
        <v>401</v>
      </c>
      <c r="C129" s="93">
        <v>0</v>
      </c>
      <c r="D129" s="92" t="s">
        <v>402</v>
      </c>
      <c r="E129" s="93">
        <f t="shared" si="14"/>
        <v>60173</v>
      </c>
      <c r="F129" s="93">
        <f t="shared" si="13"/>
        <v>0</v>
      </c>
      <c r="G129" s="93">
        <f>[4]일위대가목록!F27</f>
        <v>0</v>
      </c>
      <c r="H129" s="93">
        <f t="shared" si="17"/>
        <v>0</v>
      </c>
      <c r="I129" s="93">
        <f>[4]일위대가목록!G27</f>
        <v>60173</v>
      </c>
      <c r="J129" s="93">
        <f t="shared" si="18"/>
        <v>0</v>
      </c>
      <c r="K129" s="93">
        <f>[4]일위대가목록!H27</f>
        <v>0</v>
      </c>
      <c r="L129" s="93">
        <f t="shared" si="19"/>
        <v>0</v>
      </c>
      <c r="M129" s="94" t="s">
        <v>403</v>
      </c>
      <c r="N129" t="s">
        <v>6</v>
      </c>
      <c r="P129" t="s">
        <v>443</v>
      </c>
      <c r="Q129" t="s">
        <v>6</v>
      </c>
      <c r="R129" t="s">
        <v>404</v>
      </c>
      <c r="T129" t="s">
        <v>212</v>
      </c>
      <c r="BH129" s="92" t="s">
        <v>6</v>
      </c>
      <c r="BJ129" s="95" t="str">
        <f>HYPERLINK("#일위대가목록!A27","KR012602 →")</f>
        <v>KR012602 →</v>
      </c>
      <c r="CC129" s="92" t="s">
        <v>350</v>
      </c>
    </row>
    <row r="130" spans="1:81" ht="18.399999999999999" customHeight="1" x14ac:dyDescent="0.15">
      <c r="A130" s="91" t="s">
        <v>400</v>
      </c>
      <c r="B130" s="92" t="s">
        <v>405</v>
      </c>
      <c r="C130" s="92">
        <v>0.151</v>
      </c>
      <c r="D130" s="92" t="s">
        <v>402</v>
      </c>
      <c r="E130" s="93">
        <f t="shared" si="14"/>
        <v>104665</v>
      </c>
      <c r="F130" s="93">
        <f t="shared" si="13"/>
        <v>15804</v>
      </c>
      <c r="G130" s="93">
        <f>[4]일위대가목록!F28</f>
        <v>0</v>
      </c>
      <c r="H130" s="93">
        <f t="shared" si="17"/>
        <v>0</v>
      </c>
      <c r="I130" s="93">
        <f>[4]일위대가목록!G28</f>
        <v>104665</v>
      </c>
      <c r="J130" s="93">
        <f t="shared" si="18"/>
        <v>15804</v>
      </c>
      <c r="K130" s="93">
        <f>[4]일위대가목록!H28</f>
        <v>0</v>
      </c>
      <c r="L130" s="93">
        <f t="shared" si="19"/>
        <v>0</v>
      </c>
      <c r="M130" s="94" t="s">
        <v>406</v>
      </c>
      <c r="N130" t="s">
        <v>6</v>
      </c>
      <c r="P130" t="s">
        <v>444</v>
      </c>
      <c r="Q130" t="s">
        <v>6</v>
      </c>
      <c r="R130" t="s">
        <v>407</v>
      </c>
      <c r="T130" t="s">
        <v>212</v>
      </c>
      <c r="BH130" s="92" t="s">
        <v>6</v>
      </c>
      <c r="BJ130" s="95" t="str">
        <f>HYPERLINK("#일위대가목록!A28","KR012603 →")</f>
        <v>KR012603 →</v>
      </c>
      <c r="CC130" s="92" t="s">
        <v>350</v>
      </c>
    </row>
    <row r="131" spans="1:81" ht="18.399999999999999" customHeight="1" x14ac:dyDescent="0.15">
      <c r="A131" s="91" t="s">
        <v>408</v>
      </c>
      <c r="B131" s="92" t="s">
        <v>409</v>
      </c>
      <c r="C131" s="93">
        <v>10</v>
      </c>
      <c r="D131" s="92" t="s">
        <v>410</v>
      </c>
      <c r="E131" s="93">
        <f t="shared" si="14"/>
        <v>80234</v>
      </c>
      <c r="F131" s="93">
        <f t="shared" si="13"/>
        <v>802340</v>
      </c>
      <c r="G131" s="93">
        <f>[4]일위대가목록!F29</f>
        <v>9900</v>
      </c>
      <c r="H131" s="93">
        <f t="shared" si="17"/>
        <v>99000</v>
      </c>
      <c r="I131" s="93">
        <f>[4]일위대가목록!G29</f>
        <v>70334</v>
      </c>
      <c r="J131" s="93">
        <f t="shared" si="18"/>
        <v>703340</v>
      </c>
      <c r="K131" s="93">
        <f>[4]일위대가목록!H29</f>
        <v>0</v>
      </c>
      <c r="L131" s="93">
        <f t="shared" si="19"/>
        <v>0</v>
      </c>
      <c r="M131" s="94" t="s">
        <v>411</v>
      </c>
      <c r="N131" t="s">
        <v>6</v>
      </c>
      <c r="P131" t="s">
        <v>445</v>
      </c>
      <c r="Q131" t="s">
        <v>6</v>
      </c>
      <c r="R131" t="s">
        <v>412</v>
      </c>
      <c r="T131" t="s">
        <v>212</v>
      </c>
      <c r="BH131" s="92" t="s">
        <v>6</v>
      </c>
      <c r="BJ131" s="95" t="str">
        <f>HYPERLINK("#일위대가목록!A29","K03H1H202650 →")</f>
        <v>K03H1H202650 →</v>
      </c>
      <c r="CC131" s="92" t="s">
        <v>350</v>
      </c>
    </row>
    <row r="132" spans="1:81" ht="18.399999999999999" customHeight="1" x14ac:dyDescent="0.15">
      <c r="A132" s="91" t="s">
        <v>548</v>
      </c>
      <c r="B132" s="92" t="s">
        <v>6</v>
      </c>
      <c r="C132" s="92"/>
      <c r="D132" s="92" t="s">
        <v>6</v>
      </c>
      <c r="E132" s="93">
        <f t="shared" si="14"/>
        <v>0</v>
      </c>
      <c r="F132" s="93">
        <f t="shared" si="13"/>
        <v>2704312</v>
      </c>
      <c r="G132" s="90"/>
      <c r="H132" s="93">
        <f>TRUNC(H133+H134+H135+H136+H137+H138+H139+H140+H141,0)</f>
        <v>2704312</v>
      </c>
      <c r="I132" s="90"/>
      <c r="J132" s="93">
        <f>TRUNC(J133+J134+J135+J136+J137+J138+J139+J140+J141,0)</f>
        <v>0</v>
      </c>
      <c r="K132" s="90"/>
      <c r="L132" s="93">
        <f>TRUNC(L133+L134+L135+L136+L137+L138+L139+L140+L141,0)</f>
        <v>0</v>
      </c>
      <c r="M132" s="94" t="s">
        <v>6</v>
      </c>
      <c r="N132" t="s">
        <v>6</v>
      </c>
      <c r="P132" t="s">
        <v>446</v>
      </c>
      <c r="Q132" t="s">
        <v>6</v>
      </c>
      <c r="R132" t="s">
        <v>6</v>
      </c>
      <c r="BH132" s="92" t="s">
        <v>6</v>
      </c>
      <c r="CC132" s="92" t="s">
        <v>364</v>
      </c>
    </row>
    <row r="133" spans="1:81" ht="18.399999999999999" hidden="1" customHeight="1" x14ac:dyDescent="0.15">
      <c r="A133" s="91" t="s">
        <v>449</v>
      </c>
      <c r="B133" s="92" t="s">
        <v>450</v>
      </c>
      <c r="C133" s="93">
        <v>0</v>
      </c>
      <c r="D133" s="92" t="s">
        <v>402</v>
      </c>
      <c r="E133" s="93">
        <f t="shared" si="14"/>
        <v>3550000</v>
      </c>
      <c r="F133" s="93">
        <f t="shared" si="13"/>
        <v>0</v>
      </c>
      <c r="G133" s="93">
        <f>[4]자재조서!E19</f>
        <v>3550000</v>
      </c>
      <c r="H133" s="93">
        <f t="shared" ref="H133:H141" si="20">TRUNC(G133*C133,0)</f>
        <v>0</v>
      </c>
      <c r="I133" s="93">
        <v>0</v>
      </c>
      <c r="J133" s="93"/>
      <c r="K133" s="93">
        <v>0</v>
      </c>
      <c r="L133" s="93"/>
      <c r="M133" s="94" t="s">
        <v>451</v>
      </c>
      <c r="N133" t="s">
        <v>6</v>
      </c>
      <c r="P133" t="s">
        <v>448</v>
      </c>
      <c r="Q133" t="s">
        <v>6</v>
      </c>
      <c r="R133" t="s">
        <v>451</v>
      </c>
      <c r="BH133" s="92" t="s">
        <v>6</v>
      </c>
      <c r="BJ133" s="95" t="str">
        <f>HYPERLINK("#자재조서!A19","M0195057 →")</f>
        <v>M0195057 →</v>
      </c>
      <c r="CC133" s="92" t="s">
        <v>350</v>
      </c>
    </row>
    <row r="134" spans="1:81" ht="18.399999999999999" customHeight="1" x14ac:dyDescent="0.15">
      <c r="A134" s="91" t="s">
        <v>453</v>
      </c>
      <c r="B134" s="92" t="s">
        <v>454</v>
      </c>
      <c r="C134" s="93">
        <v>12</v>
      </c>
      <c r="D134" s="92" t="s">
        <v>410</v>
      </c>
      <c r="E134" s="93">
        <f t="shared" si="14"/>
        <v>14420</v>
      </c>
      <c r="F134" s="93">
        <f t="shared" si="13"/>
        <v>173040</v>
      </c>
      <c r="G134" s="93">
        <f>[4]자재조서!E23</f>
        <v>14420</v>
      </c>
      <c r="H134" s="93">
        <f t="shared" si="20"/>
        <v>173040</v>
      </c>
      <c r="I134" s="93">
        <v>0</v>
      </c>
      <c r="J134" s="93"/>
      <c r="K134" s="93">
        <v>0</v>
      </c>
      <c r="L134" s="93"/>
      <c r="M134" s="94" t="s">
        <v>455</v>
      </c>
      <c r="N134" t="s">
        <v>431</v>
      </c>
      <c r="P134" t="s">
        <v>452</v>
      </c>
      <c r="Q134" t="s">
        <v>6</v>
      </c>
      <c r="R134" t="s">
        <v>455</v>
      </c>
      <c r="BH134" s="92" t="s">
        <v>6</v>
      </c>
      <c r="BJ134" s="95" t="str">
        <f>HYPERLINK("#자재조서!A23","M0240087 →")</f>
        <v>M0240087 →</v>
      </c>
      <c r="CC134" s="92" t="s">
        <v>350</v>
      </c>
    </row>
    <row r="135" spans="1:81" ht="18.399999999999999" customHeight="1" x14ac:dyDescent="0.15">
      <c r="A135" s="91" t="s">
        <v>453</v>
      </c>
      <c r="B135" s="92" t="s">
        <v>454</v>
      </c>
      <c r="C135" s="93">
        <v>51</v>
      </c>
      <c r="D135" s="92" t="s">
        <v>410</v>
      </c>
      <c r="E135" s="93">
        <f t="shared" si="14"/>
        <v>14420</v>
      </c>
      <c r="F135" s="93">
        <f t="shared" si="13"/>
        <v>735420</v>
      </c>
      <c r="G135" s="93">
        <f>[4]자재조서!E23</f>
        <v>14420</v>
      </c>
      <c r="H135" s="93">
        <f t="shared" si="20"/>
        <v>735420</v>
      </c>
      <c r="I135" s="93">
        <v>0</v>
      </c>
      <c r="J135" s="93"/>
      <c r="K135" s="93">
        <v>0</v>
      </c>
      <c r="L135" s="93"/>
      <c r="M135" s="94" t="s">
        <v>455</v>
      </c>
      <c r="N135" t="s">
        <v>431</v>
      </c>
      <c r="P135" t="s">
        <v>456</v>
      </c>
      <c r="Q135" t="s">
        <v>6</v>
      </c>
      <c r="R135" t="s">
        <v>455</v>
      </c>
      <c r="BH135" s="92" t="s">
        <v>6</v>
      </c>
      <c r="BJ135" s="95" t="str">
        <f>HYPERLINK("#자재조서!A23","M0240087 →")</f>
        <v>M0240087 →</v>
      </c>
      <c r="CC135" s="92" t="s">
        <v>350</v>
      </c>
    </row>
    <row r="136" spans="1:81" ht="18.399999999999999" customHeight="1" x14ac:dyDescent="0.15">
      <c r="A136" s="91" t="s">
        <v>453</v>
      </c>
      <c r="B136" s="92" t="s">
        <v>458</v>
      </c>
      <c r="C136" s="93">
        <v>72</v>
      </c>
      <c r="D136" s="92" t="s">
        <v>410</v>
      </c>
      <c r="E136" s="93">
        <f t="shared" si="14"/>
        <v>10710</v>
      </c>
      <c r="F136" s="93">
        <f t="shared" si="13"/>
        <v>771120</v>
      </c>
      <c r="G136" s="93">
        <f>[4]자재조서!E21</f>
        <v>10710</v>
      </c>
      <c r="H136" s="93">
        <f t="shared" si="20"/>
        <v>771120</v>
      </c>
      <c r="I136" s="93">
        <v>0</v>
      </c>
      <c r="J136" s="93"/>
      <c r="K136" s="93">
        <v>0</v>
      </c>
      <c r="L136" s="93"/>
      <c r="M136" s="94" t="s">
        <v>459</v>
      </c>
      <c r="N136" t="s">
        <v>431</v>
      </c>
      <c r="P136" t="s">
        <v>457</v>
      </c>
      <c r="Q136" t="s">
        <v>6</v>
      </c>
      <c r="R136" t="s">
        <v>459</v>
      </c>
      <c r="BH136" s="92" t="s">
        <v>6</v>
      </c>
      <c r="BJ136" s="95" t="str">
        <f>HYPERLINK("#자재조서!A21","M0240075 →")</f>
        <v>M0240075 →</v>
      </c>
      <c r="CC136" s="92" t="s">
        <v>350</v>
      </c>
    </row>
    <row r="137" spans="1:81" ht="18.399999999999999" customHeight="1" x14ac:dyDescent="0.15">
      <c r="A137" s="91" t="s">
        <v>453</v>
      </c>
      <c r="B137" s="92" t="s">
        <v>461</v>
      </c>
      <c r="C137" s="92">
        <v>8.4000000000000005E-2</v>
      </c>
      <c r="D137" s="92" t="s">
        <v>410</v>
      </c>
      <c r="E137" s="93">
        <f t="shared" si="14"/>
        <v>7510</v>
      </c>
      <c r="F137" s="93">
        <f t="shared" si="13"/>
        <v>630</v>
      </c>
      <c r="G137" s="93">
        <f>[4]자재조서!E22</f>
        <v>7510</v>
      </c>
      <c r="H137" s="93">
        <f t="shared" si="20"/>
        <v>630</v>
      </c>
      <c r="I137" s="93">
        <v>0</v>
      </c>
      <c r="J137" s="93"/>
      <c r="K137" s="93">
        <v>0</v>
      </c>
      <c r="L137" s="93"/>
      <c r="M137" s="94" t="s">
        <v>462</v>
      </c>
      <c r="N137" t="s">
        <v>6</v>
      </c>
      <c r="P137" t="s">
        <v>460</v>
      </c>
      <c r="Q137" t="s">
        <v>6</v>
      </c>
      <c r="R137" t="s">
        <v>462</v>
      </c>
      <c r="BH137" s="92" t="s">
        <v>6</v>
      </c>
      <c r="BJ137" s="95" t="str">
        <f>HYPERLINK("#자재조서!A22","M0240078 →")</f>
        <v>M0240078 →</v>
      </c>
      <c r="CC137" s="92" t="s">
        <v>350</v>
      </c>
    </row>
    <row r="138" spans="1:81" ht="18.399999999999999" customHeight="1" x14ac:dyDescent="0.15">
      <c r="A138" s="91" t="s">
        <v>453</v>
      </c>
      <c r="B138" s="92" t="s">
        <v>464</v>
      </c>
      <c r="C138" s="92">
        <v>0.16800000000000001</v>
      </c>
      <c r="D138" s="92" t="s">
        <v>410</v>
      </c>
      <c r="E138" s="93">
        <f t="shared" si="14"/>
        <v>4660</v>
      </c>
      <c r="F138" s="93">
        <f t="shared" si="13"/>
        <v>782</v>
      </c>
      <c r="G138" s="93">
        <f>[4]자재조서!E20</f>
        <v>4660</v>
      </c>
      <c r="H138" s="93">
        <f t="shared" si="20"/>
        <v>782</v>
      </c>
      <c r="I138" s="93">
        <v>0</v>
      </c>
      <c r="J138" s="93"/>
      <c r="K138" s="93">
        <v>0</v>
      </c>
      <c r="L138" s="93"/>
      <c r="M138" s="94" t="s">
        <v>465</v>
      </c>
      <c r="N138" t="s">
        <v>6</v>
      </c>
      <c r="P138" t="s">
        <v>463</v>
      </c>
      <c r="Q138" t="s">
        <v>6</v>
      </c>
      <c r="R138" t="s">
        <v>465</v>
      </c>
      <c r="BH138" s="92" t="s">
        <v>6</v>
      </c>
      <c r="BJ138" s="95" t="str">
        <f>HYPERLINK("#자재조서!A20","M0240056 →")</f>
        <v>M0240056 →</v>
      </c>
      <c r="CC138" s="92" t="s">
        <v>350</v>
      </c>
    </row>
    <row r="139" spans="1:81" ht="18.399999999999999" customHeight="1" x14ac:dyDescent="0.15">
      <c r="A139" s="91" t="s">
        <v>467</v>
      </c>
      <c r="B139" s="92" t="s">
        <v>468</v>
      </c>
      <c r="C139" s="93">
        <v>24</v>
      </c>
      <c r="D139" s="92" t="s">
        <v>469</v>
      </c>
      <c r="E139" s="93">
        <f t="shared" si="14"/>
        <v>32730</v>
      </c>
      <c r="F139" s="93">
        <f t="shared" si="13"/>
        <v>785520</v>
      </c>
      <c r="G139" s="93">
        <f>[4]자재조서!E26</f>
        <v>32730</v>
      </c>
      <c r="H139" s="93">
        <f t="shared" si="20"/>
        <v>785520</v>
      </c>
      <c r="I139" s="93">
        <v>0</v>
      </c>
      <c r="J139" s="93"/>
      <c r="K139" s="93">
        <v>0</v>
      </c>
      <c r="L139" s="93"/>
      <c r="M139" s="94" t="s">
        <v>470</v>
      </c>
      <c r="N139" t="s">
        <v>471</v>
      </c>
      <c r="P139" t="s">
        <v>466</v>
      </c>
      <c r="Q139" t="s">
        <v>6</v>
      </c>
      <c r="R139" t="s">
        <v>470</v>
      </c>
      <c r="BH139" s="92" t="s">
        <v>6</v>
      </c>
      <c r="BJ139" s="95" t="str">
        <f>HYPERLINK("#자재조서!A26","M0687017 →")</f>
        <v>M0687017 →</v>
      </c>
      <c r="CC139" s="92" t="s">
        <v>350</v>
      </c>
    </row>
    <row r="140" spans="1:81" ht="18.399999999999999" customHeight="1" x14ac:dyDescent="0.15">
      <c r="A140" s="91" t="s">
        <v>549</v>
      </c>
      <c r="B140" s="92" t="s">
        <v>6</v>
      </c>
      <c r="C140" s="93">
        <v>63</v>
      </c>
      <c r="D140" s="92" t="s">
        <v>303</v>
      </c>
      <c r="E140" s="93">
        <f t="shared" si="14"/>
        <v>3600</v>
      </c>
      <c r="F140" s="93">
        <f t="shared" si="13"/>
        <v>226800</v>
      </c>
      <c r="G140" s="93">
        <f>[4]자재조서!E70</f>
        <v>3600</v>
      </c>
      <c r="H140" s="93">
        <f t="shared" si="20"/>
        <v>226800</v>
      </c>
      <c r="I140" s="93">
        <v>0</v>
      </c>
      <c r="J140" s="93"/>
      <c r="K140" s="93">
        <v>0</v>
      </c>
      <c r="L140" s="93"/>
      <c r="M140" s="94" t="s">
        <v>550</v>
      </c>
      <c r="N140" t="s">
        <v>551</v>
      </c>
      <c r="P140" t="s">
        <v>472</v>
      </c>
      <c r="Q140" t="s">
        <v>6</v>
      </c>
      <c r="R140" t="s">
        <v>550</v>
      </c>
      <c r="BH140" s="92" t="s">
        <v>6</v>
      </c>
      <c r="BJ140" s="95" t="str">
        <f>HYPERLINK("#자재조서!A70","MZZ10070 →")</f>
        <v>MZZ10070 →</v>
      </c>
      <c r="CC140" s="92" t="s">
        <v>350</v>
      </c>
    </row>
    <row r="141" spans="1:81" ht="18.399999999999999" customHeight="1" x14ac:dyDescent="0.15">
      <c r="A141" s="91" t="s">
        <v>552</v>
      </c>
      <c r="B141" s="92" t="s">
        <v>553</v>
      </c>
      <c r="C141" s="93">
        <v>11</v>
      </c>
      <c r="D141" s="92" t="s">
        <v>410</v>
      </c>
      <c r="E141" s="93">
        <f t="shared" si="14"/>
        <v>1000</v>
      </c>
      <c r="F141" s="93">
        <f t="shared" si="13"/>
        <v>11000</v>
      </c>
      <c r="G141" s="93">
        <f>[4]자재조서!E71</f>
        <v>1000</v>
      </c>
      <c r="H141" s="93">
        <f t="shared" si="20"/>
        <v>11000</v>
      </c>
      <c r="I141" s="93">
        <v>0</v>
      </c>
      <c r="J141" s="93"/>
      <c r="K141" s="93">
        <v>0</v>
      </c>
      <c r="L141" s="93"/>
      <c r="M141" s="94" t="s">
        <v>554</v>
      </c>
      <c r="N141" t="s">
        <v>6</v>
      </c>
      <c r="P141" t="s">
        <v>474</v>
      </c>
      <c r="Q141" t="s">
        <v>6</v>
      </c>
      <c r="R141" t="s">
        <v>554</v>
      </c>
      <c r="BH141" s="92" t="s">
        <v>6</v>
      </c>
      <c r="BJ141" s="95" t="str">
        <f>HYPERLINK("#자재조서!A71","MZZ10080 →")</f>
        <v>MZZ10080 →</v>
      </c>
      <c r="CC141" s="92" t="s">
        <v>350</v>
      </c>
    </row>
    <row r="142" spans="1:81" ht="18.399999999999999" customHeight="1" x14ac:dyDescent="0.15">
      <c r="A142" s="91" t="s">
        <v>555</v>
      </c>
      <c r="B142" s="92" t="s">
        <v>6</v>
      </c>
      <c r="C142" s="92"/>
      <c r="D142" s="92" t="s">
        <v>6</v>
      </c>
      <c r="E142" s="93">
        <f t="shared" si="14"/>
        <v>0</v>
      </c>
      <c r="F142" s="93">
        <f t="shared" si="13"/>
        <v>750000</v>
      </c>
      <c r="G142" s="90"/>
      <c r="H142" s="93">
        <f>TRUNC(H143+H144,0)</f>
        <v>750000</v>
      </c>
      <c r="I142" s="90"/>
      <c r="J142" s="93">
        <f>TRUNC(J143+J144,0)</f>
        <v>0</v>
      </c>
      <c r="K142" s="90"/>
      <c r="L142" s="93">
        <f>TRUNC(L143+L144,0)</f>
        <v>0</v>
      </c>
      <c r="M142" s="94" t="s">
        <v>6</v>
      </c>
      <c r="N142" t="s">
        <v>6</v>
      </c>
      <c r="P142" t="s">
        <v>478</v>
      </c>
      <c r="Q142" t="s">
        <v>6</v>
      </c>
      <c r="R142" t="s">
        <v>6</v>
      </c>
      <c r="BH142" s="92" t="s">
        <v>6</v>
      </c>
      <c r="CC142" s="92" t="s">
        <v>345</v>
      </c>
    </row>
    <row r="143" spans="1:81" ht="18.399999999999999" hidden="1" customHeight="1" x14ac:dyDescent="0.15">
      <c r="A143" s="91" t="s">
        <v>475</v>
      </c>
      <c r="B143" s="92" t="s">
        <v>476</v>
      </c>
      <c r="C143" s="93">
        <v>0</v>
      </c>
      <c r="D143" s="92" t="s">
        <v>410</v>
      </c>
      <c r="E143" s="93">
        <f t="shared" si="14"/>
        <v>210000</v>
      </c>
      <c r="F143" s="93">
        <f t="shared" si="13"/>
        <v>0</v>
      </c>
      <c r="G143" s="93">
        <f>[4]자재조서!E66</f>
        <v>210000</v>
      </c>
      <c r="H143" s="93">
        <f>TRUNC(G143*C143,0)</f>
        <v>0</v>
      </c>
      <c r="I143" s="93">
        <v>0</v>
      </c>
      <c r="J143" s="93"/>
      <c r="K143" s="93">
        <v>0</v>
      </c>
      <c r="L143" s="93"/>
      <c r="M143" s="94" t="s">
        <v>477</v>
      </c>
      <c r="N143" t="s">
        <v>6</v>
      </c>
      <c r="P143" t="s">
        <v>482</v>
      </c>
      <c r="Q143" t="s">
        <v>6</v>
      </c>
      <c r="R143" t="s">
        <v>477</v>
      </c>
      <c r="BH143" s="92" t="s">
        <v>6</v>
      </c>
      <c r="BJ143" s="95" t="str">
        <f>HYPERLINK("#자재조서!A66","MZZ10010 →")</f>
        <v>MZZ10010 →</v>
      </c>
      <c r="CC143" s="92" t="s">
        <v>350</v>
      </c>
    </row>
    <row r="144" spans="1:81" ht="18.399999999999999" customHeight="1" x14ac:dyDescent="0.15">
      <c r="A144" s="91" t="s">
        <v>479</v>
      </c>
      <c r="B144" s="92" t="s">
        <v>480</v>
      </c>
      <c r="C144" s="93">
        <v>1</v>
      </c>
      <c r="D144" s="92" t="s">
        <v>305</v>
      </c>
      <c r="E144" s="93">
        <f t="shared" si="14"/>
        <v>750000</v>
      </c>
      <c r="F144" s="93">
        <f t="shared" si="13"/>
        <v>750000</v>
      </c>
      <c r="G144" s="93">
        <f>[4]자재조서!E67</f>
        <v>750000</v>
      </c>
      <c r="H144" s="93">
        <f>TRUNC(G144*C144,0)</f>
        <v>750000</v>
      </c>
      <c r="I144" s="93">
        <v>0</v>
      </c>
      <c r="J144" s="93"/>
      <c r="K144" s="93">
        <v>0</v>
      </c>
      <c r="L144" s="93"/>
      <c r="M144" s="94" t="s">
        <v>481</v>
      </c>
      <c r="N144" t="s">
        <v>6</v>
      </c>
      <c r="P144" t="s">
        <v>483</v>
      </c>
      <c r="Q144" t="s">
        <v>6</v>
      </c>
      <c r="R144" t="s">
        <v>481</v>
      </c>
      <c r="BH144" s="92" t="s">
        <v>6</v>
      </c>
      <c r="BJ144" s="95" t="str">
        <f>HYPERLINK("#자재조서!A67","MZZ10025 →")</f>
        <v>MZZ10025 →</v>
      </c>
      <c r="CC144" s="92" t="s">
        <v>350</v>
      </c>
    </row>
    <row r="145" spans="1:100" ht="18.399999999999999" customHeight="1" x14ac:dyDescent="0.15">
      <c r="A145" s="91" t="s">
        <v>556</v>
      </c>
      <c r="B145" s="92" t="s">
        <v>6</v>
      </c>
      <c r="C145" s="92"/>
      <c r="D145" s="92" t="s">
        <v>6</v>
      </c>
      <c r="E145" s="93">
        <f t="shared" si="14"/>
        <v>0</v>
      </c>
      <c r="F145" s="93">
        <f t="shared" si="13"/>
        <v>938751</v>
      </c>
      <c r="G145" s="90"/>
      <c r="H145" s="93">
        <f>TRUNC(H146+H147+H148+H149+H150,0)</f>
        <v>63045</v>
      </c>
      <c r="I145" s="90"/>
      <c r="J145" s="93">
        <f>TRUNC(J146+J147+J148+J149+J150,0)</f>
        <v>582725</v>
      </c>
      <c r="K145" s="90"/>
      <c r="L145" s="93">
        <f>TRUNC(L146+L147+L148+L149+L150,0)</f>
        <v>292981</v>
      </c>
      <c r="M145" s="94" t="s">
        <v>6</v>
      </c>
      <c r="N145" t="s">
        <v>6</v>
      </c>
      <c r="P145" t="s">
        <v>557</v>
      </c>
      <c r="Q145" t="s">
        <v>6</v>
      </c>
      <c r="R145" t="s">
        <v>6</v>
      </c>
      <c r="BH145" s="92" t="s">
        <v>6</v>
      </c>
      <c r="CC145" s="92" t="s">
        <v>345</v>
      </c>
    </row>
    <row r="146" spans="1:100" ht="18.399999999999999" customHeight="1" x14ac:dyDescent="0.15">
      <c r="A146" s="91" t="s">
        <v>558</v>
      </c>
      <c r="B146" s="92" t="s">
        <v>381</v>
      </c>
      <c r="C146" s="92">
        <v>0.01</v>
      </c>
      <c r="D146" s="92" t="s">
        <v>388</v>
      </c>
      <c r="E146" s="93">
        <f t="shared" si="14"/>
        <v>1007249</v>
      </c>
      <c r="F146" s="93">
        <f t="shared" si="13"/>
        <v>10071</v>
      </c>
      <c r="G146" s="93">
        <f>[4]일위대가목록!F38</f>
        <v>92554</v>
      </c>
      <c r="H146" s="93">
        <f>TRUNC(G146*C146,0)</f>
        <v>925</v>
      </c>
      <c r="I146" s="93">
        <f>[4]일위대가목록!G38</f>
        <v>891755</v>
      </c>
      <c r="J146" s="93">
        <f>TRUNC(I146*C146,0)</f>
        <v>8917</v>
      </c>
      <c r="K146" s="93">
        <f>[4]일위대가목록!H38</f>
        <v>22940</v>
      </c>
      <c r="L146" s="93">
        <f>TRUNC(K146*C146,0)</f>
        <v>229</v>
      </c>
      <c r="M146" s="94" t="s">
        <v>559</v>
      </c>
      <c r="N146" t="s">
        <v>6</v>
      </c>
      <c r="P146" t="s">
        <v>560</v>
      </c>
      <c r="Q146" t="s">
        <v>6</v>
      </c>
      <c r="R146" t="s">
        <v>561</v>
      </c>
      <c r="T146" t="s">
        <v>212</v>
      </c>
      <c r="BH146" s="92" t="s">
        <v>6</v>
      </c>
      <c r="BJ146" s="95" t="str">
        <f>HYPERLINK("#일위대가목록!A38","K16A06A00010 →")</f>
        <v>K16A06A00010 →</v>
      </c>
      <c r="CC146" s="92" t="s">
        <v>350</v>
      </c>
    </row>
    <row r="147" spans="1:100" ht="18.399999999999999" customHeight="1" x14ac:dyDescent="0.15">
      <c r="A147" s="91" t="s">
        <v>395</v>
      </c>
      <c r="B147" s="92" t="s">
        <v>396</v>
      </c>
      <c r="C147" s="93">
        <v>1</v>
      </c>
      <c r="D147" s="92" t="s">
        <v>397</v>
      </c>
      <c r="E147" s="93">
        <f t="shared" si="14"/>
        <v>946634</v>
      </c>
      <c r="F147" s="93">
        <f t="shared" si="13"/>
        <v>946634</v>
      </c>
      <c r="G147" s="93">
        <f>[4]일위대가목록!F26</f>
        <v>81120</v>
      </c>
      <c r="H147" s="93">
        <f>TRUNC(G147*C147,0)</f>
        <v>81120</v>
      </c>
      <c r="I147" s="93">
        <f>[4]일위대가목록!G26</f>
        <v>572762</v>
      </c>
      <c r="J147" s="93">
        <f>TRUNC(I147*C147,0)</f>
        <v>572762</v>
      </c>
      <c r="K147" s="93">
        <f>[4]일위대가목록!H26</f>
        <v>292752</v>
      </c>
      <c r="L147" s="93">
        <f>TRUNC(K147*C147,0)</f>
        <v>292752</v>
      </c>
      <c r="M147" s="94" t="s">
        <v>398</v>
      </c>
      <c r="N147" t="s">
        <v>6</v>
      </c>
      <c r="P147" t="s">
        <v>562</v>
      </c>
      <c r="Q147" t="s">
        <v>6</v>
      </c>
      <c r="R147" t="s">
        <v>399</v>
      </c>
      <c r="T147" t="s">
        <v>212</v>
      </c>
      <c r="BH147" s="92" t="s">
        <v>6</v>
      </c>
      <c r="BJ147" s="95" t="str">
        <f>HYPERLINK("#일위대가목록!A26","KR012601 →")</f>
        <v>KR012601 →</v>
      </c>
      <c r="CC147" s="92" t="s">
        <v>350</v>
      </c>
    </row>
    <row r="148" spans="1:100" ht="18.399999999999999" hidden="1" customHeight="1" x14ac:dyDescent="0.15">
      <c r="A148" s="91" t="s">
        <v>400</v>
      </c>
      <c r="B148" s="92" t="s">
        <v>401</v>
      </c>
      <c r="C148" s="93">
        <v>0</v>
      </c>
      <c r="D148" s="92" t="s">
        <v>402</v>
      </c>
      <c r="E148" s="93">
        <f t="shared" si="14"/>
        <v>60173</v>
      </c>
      <c r="F148" s="93">
        <f t="shared" si="13"/>
        <v>0</v>
      </c>
      <c r="G148" s="93">
        <f>[4]일위대가목록!F27</f>
        <v>0</v>
      </c>
      <c r="H148" s="93">
        <f>TRUNC(G148*C148,0)</f>
        <v>0</v>
      </c>
      <c r="I148" s="93">
        <f>[4]일위대가목록!G27</f>
        <v>60173</v>
      </c>
      <c r="J148" s="93">
        <f>TRUNC(I148*C148,0)</f>
        <v>0</v>
      </c>
      <c r="K148" s="93">
        <f>[4]일위대가목록!H27</f>
        <v>0</v>
      </c>
      <c r="L148" s="93">
        <f>TRUNC(K148*C148,0)</f>
        <v>0</v>
      </c>
      <c r="M148" s="94" t="s">
        <v>403</v>
      </c>
      <c r="N148" t="s">
        <v>6</v>
      </c>
      <c r="P148" t="s">
        <v>563</v>
      </c>
      <c r="Q148" t="s">
        <v>6</v>
      </c>
      <c r="R148" t="s">
        <v>404</v>
      </c>
      <c r="T148" t="s">
        <v>212</v>
      </c>
      <c r="BH148" s="92" t="s">
        <v>6</v>
      </c>
      <c r="BJ148" s="95" t="str">
        <f>HYPERLINK("#일위대가목록!A27","KR012602 →")</f>
        <v>KR012602 →</v>
      </c>
      <c r="CC148" s="92" t="s">
        <v>350</v>
      </c>
    </row>
    <row r="149" spans="1:100" ht="18.399999999999999" customHeight="1" x14ac:dyDescent="0.15">
      <c r="A149" s="91" t="s">
        <v>400</v>
      </c>
      <c r="B149" s="92" t="s">
        <v>405</v>
      </c>
      <c r="C149" s="92">
        <v>0.01</v>
      </c>
      <c r="D149" s="92" t="s">
        <v>402</v>
      </c>
      <c r="E149" s="93">
        <f t="shared" si="14"/>
        <v>104665</v>
      </c>
      <c r="F149" s="93">
        <f t="shared" si="13"/>
        <v>1046</v>
      </c>
      <c r="G149" s="93">
        <f>[4]일위대가목록!F28</f>
        <v>0</v>
      </c>
      <c r="H149" s="93">
        <f>TRUNC(G149*C149,0)</f>
        <v>0</v>
      </c>
      <c r="I149" s="93">
        <f>[4]일위대가목록!G28</f>
        <v>104665</v>
      </c>
      <c r="J149" s="93">
        <f>TRUNC(I149*C149,0)</f>
        <v>1046</v>
      </c>
      <c r="K149" s="93">
        <f>[4]일위대가목록!H28</f>
        <v>0</v>
      </c>
      <c r="L149" s="93">
        <f>TRUNC(K149*C149,0)</f>
        <v>0</v>
      </c>
      <c r="M149" s="94" t="s">
        <v>406</v>
      </c>
      <c r="N149" t="s">
        <v>6</v>
      </c>
      <c r="P149" t="s">
        <v>564</v>
      </c>
      <c r="Q149" t="s">
        <v>6</v>
      </c>
      <c r="R149" t="s">
        <v>407</v>
      </c>
      <c r="T149" t="s">
        <v>212</v>
      </c>
      <c r="BH149" s="92" t="s">
        <v>6</v>
      </c>
      <c r="BJ149" s="95" t="str">
        <f>HYPERLINK("#일위대가목록!A28","KR012603 →")</f>
        <v>KR012603 →</v>
      </c>
      <c r="CC149" s="92" t="s">
        <v>350</v>
      </c>
    </row>
    <row r="150" spans="1:100" ht="18.399999999999999" customHeight="1" x14ac:dyDescent="0.15">
      <c r="A150" s="91" t="s">
        <v>565</v>
      </c>
      <c r="B150" s="92" t="s">
        <v>566</v>
      </c>
      <c r="C150" s="92">
        <v>0.01</v>
      </c>
      <c r="D150" s="92" t="s">
        <v>402</v>
      </c>
      <c r="E150" s="93">
        <f t="shared" si="14"/>
        <v>-1900000</v>
      </c>
      <c r="F150" s="93">
        <f t="shared" si="13"/>
        <v>-19000</v>
      </c>
      <c r="G150" s="93">
        <f>[4]자재조서!E57</f>
        <v>-1900000</v>
      </c>
      <c r="H150" s="93">
        <f>TRUNC(G150*C150,0)</f>
        <v>-19000</v>
      </c>
      <c r="I150" s="93">
        <v>0</v>
      </c>
      <c r="J150" s="93"/>
      <c r="K150" s="93">
        <v>0</v>
      </c>
      <c r="L150" s="93"/>
      <c r="M150" s="94" t="s">
        <v>567</v>
      </c>
      <c r="N150" t="s">
        <v>6</v>
      </c>
      <c r="P150" t="s">
        <v>568</v>
      </c>
      <c r="Q150" t="s">
        <v>6</v>
      </c>
      <c r="R150" t="s">
        <v>567</v>
      </c>
      <c r="BH150" s="92" t="s">
        <v>6</v>
      </c>
      <c r="BJ150" s="95" t="str">
        <f>HYPERLINK("#자재조서!A57","M9534003A →")</f>
        <v>M9534003A →</v>
      </c>
      <c r="CC150" s="92" t="s">
        <v>350</v>
      </c>
    </row>
    <row r="151" spans="1:100" ht="18.399999999999999" customHeight="1" x14ac:dyDescent="0.15">
      <c r="A151" s="91" t="s">
        <v>569</v>
      </c>
      <c r="B151" s="92" t="s">
        <v>6</v>
      </c>
      <c r="C151" s="92"/>
      <c r="D151" s="92" t="s">
        <v>6</v>
      </c>
      <c r="E151" s="93">
        <f t="shared" si="14"/>
        <v>0</v>
      </c>
      <c r="F151" s="93">
        <f t="shared" si="13"/>
        <v>1879064</v>
      </c>
      <c r="G151" s="90"/>
      <c r="H151" s="93">
        <f>TRUNC(H152,0)</f>
        <v>1571020</v>
      </c>
      <c r="I151" s="90"/>
      <c r="J151" s="93">
        <f>TRUNC(J152,0)</f>
        <v>308044</v>
      </c>
      <c r="K151" s="90"/>
      <c r="L151" s="93">
        <f>TRUNC(L152,0)</f>
        <v>0</v>
      </c>
      <c r="M151" s="94" t="s">
        <v>6</v>
      </c>
      <c r="N151" t="s">
        <v>6</v>
      </c>
      <c r="P151" t="s">
        <v>570</v>
      </c>
      <c r="Q151" t="s">
        <v>6</v>
      </c>
      <c r="R151" t="s">
        <v>6</v>
      </c>
      <c r="BH151" s="92" t="s">
        <v>6</v>
      </c>
      <c r="CC151" s="92" t="s">
        <v>345</v>
      </c>
    </row>
    <row r="152" spans="1:100" ht="18.399999999999999" customHeight="1" x14ac:dyDescent="0.15">
      <c r="A152" s="91" t="s">
        <v>571</v>
      </c>
      <c r="B152" s="92" t="s">
        <v>6</v>
      </c>
      <c r="C152" s="93">
        <v>44</v>
      </c>
      <c r="D152" s="92" t="s">
        <v>347</v>
      </c>
      <c r="E152" s="93">
        <f t="shared" si="14"/>
        <v>42706</v>
      </c>
      <c r="F152" s="93">
        <f t="shared" si="13"/>
        <v>1879064</v>
      </c>
      <c r="G152" s="93">
        <f>[4]일위대가목록!F53</f>
        <v>35705</v>
      </c>
      <c r="H152" s="93">
        <f>TRUNC(G152*C152,0)</f>
        <v>1571020</v>
      </c>
      <c r="I152" s="93">
        <f>[4]일위대가목록!G53</f>
        <v>7001</v>
      </c>
      <c r="J152" s="93">
        <f>TRUNC(I152*C152,0)</f>
        <v>308044</v>
      </c>
      <c r="K152" s="93">
        <f>[4]일위대가목록!H53</f>
        <v>0</v>
      </c>
      <c r="L152" s="93">
        <f>TRUNC(K152*C152,0)</f>
        <v>0</v>
      </c>
      <c r="M152" s="94" t="s">
        <v>572</v>
      </c>
      <c r="N152" t="s">
        <v>359</v>
      </c>
      <c r="P152" t="s">
        <v>573</v>
      </c>
      <c r="Q152" t="s">
        <v>6</v>
      </c>
      <c r="R152" t="s">
        <v>574</v>
      </c>
      <c r="T152" t="s">
        <v>361</v>
      </c>
      <c r="BH152" s="92" t="s">
        <v>6</v>
      </c>
      <c r="BJ152" s="95" t="str">
        <f>HYPERLINK("#일위대가목록!A53","KRZ100010140 →")</f>
        <v>KRZ100010140 →</v>
      </c>
      <c r="CC152" s="92" t="s">
        <v>350</v>
      </c>
    </row>
    <row r="153" spans="1:100" ht="18.399999999999999" customHeight="1" x14ac:dyDescent="0.15">
      <c r="A153" s="91" t="s">
        <v>6</v>
      </c>
      <c r="B153" s="92" t="s">
        <v>6</v>
      </c>
      <c r="C153" s="92"/>
      <c r="D153" s="92" t="s">
        <v>6</v>
      </c>
      <c r="E153" s="93">
        <f t="shared" si="14"/>
        <v>0</v>
      </c>
      <c r="F153" s="93">
        <f t="shared" si="13"/>
        <v>0</v>
      </c>
      <c r="G153" s="90"/>
      <c r="H153" s="93">
        <v>0</v>
      </c>
      <c r="I153" s="90"/>
      <c r="J153" s="93">
        <v>0</v>
      </c>
      <c r="K153" s="90"/>
      <c r="L153" s="93">
        <v>0</v>
      </c>
      <c r="M153" s="94" t="s">
        <v>6</v>
      </c>
      <c r="N153" t="s">
        <v>6</v>
      </c>
      <c r="P153" t="s">
        <v>575</v>
      </c>
      <c r="Q153" t="s">
        <v>6</v>
      </c>
      <c r="R153" t="s">
        <v>6</v>
      </c>
      <c r="BH153" s="92" t="s">
        <v>6</v>
      </c>
      <c r="CC153" s="92" t="s">
        <v>6</v>
      </c>
    </row>
    <row r="154" spans="1:100" ht="18.399999999999999" customHeight="1" x14ac:dyDescent="0.15">
      <c r="A154" s="91" t="s">
        <v>340</v>
      </c>
      <c r="B154" s="92" t="s">
        <v>6</v>
      </c>
      <c r="C154" s="93">
        <v>1</v>
      </c>
      <c r="D154" s="92" t="s">
        <v>188</v>
      </c>
      <c r="E154" s="90"/>
      <c r="F154" s="93">
        <f t="shared" si="13"/>
        <v>109790569</v>
      </c>
      <c r="G154" s="90"/>
      <c r="H154" s="93">
        <f>TRUNC(SUM(Z154:Z155),0)</f>
        <v>56924876</v>
      </c>
      <c r="I154" s="90"/>
      <c r="J154" s="93">
        <f>TRUNC(SUM(AA154:AA155),0)</f>
        <v>43479528</v>
      </c>
      <c r="K154" s="90"/>
      <c r="L154" s="93">
        <f>TRUNC(SUM(AB154:AB155),0)</f>
        <v>9386165</v>
      </c>
      <c r="M154" s="94" t="s">
        <v>6</v>
      </c>
      <c r="N154" t="s">
        <v>6</v>
      </c>
      <c r="O154" t="s">
        <v>341</v>
      </c>
      <c r="Z154" s="93">
        <f>H157+H158+H159+H160+H161+H162+H163+H164+H165+H166+H167+H169+H170+H171+H172+H173+H174+H175+H176+H178+H179+H180+H183+H184+H185+H186+H187+H188+H190+H191</f>
        <v>34197142</v>
      </c>
      <c r="AA154" s="93">
        <f>J157+J158+J159+J160+J161+J162+J163+J164+J165+J166+J167+J169+J170+J171+J172+J173+J174+J175+J176+J178+J179+J180+J183+J184+J185+J186+J187+J188+J190+J191</f>
        <v>33352317</v>
      </c>
      <c r="AB154" s="93">
        <f>L157+L158+L159+L160+L161+L162+L163+L164+L165+L166+L167+L169+L170+L171+L172+L173+L174+L175+L176+L178+L179+L180+L183+L184+L185+L186+L187+L188+L190+L191</f>
        <v>4131239</v>
      </c>
      <c r="BH154" s="92" t="s">
        <v>6</v>
      </c>
      <c r="CV154" s="92" t="s">
        <v>6</v>
      </c>
    </row>
    <row r="155" spans="1:100" ht="18.399999999999999" customHeight="1" x14ac:dyDescent="0.15">
      <c r="A155" s="91" t="s">
        <v>576</v>
      </c>
      <c r="B155" s="92" t="s">
        <v>6</v>
      </c>
      <c r="C155" s="92"/>
      <c r="D155" s="92" t="s">
        <v>6</v>
      </c>
      <c r="E155" s="93">
        <f t="shared" ref="E155:F186" si="21">G155+I155+K155</f>
        <v>0</v>
      </c>
      <c r="F155" s="93">
        <f t="shared" si="13"/>
        <v>62298746</v>
      </c>
      <c r="G155" s="90"/>
      <c r="H155" s="93">
        <f>TRUNC(H157+H158+H159+H160+H161+H162+H163+H164+H165+H166+H167+H169+H170+H171+H172+H173+H174+H175+H176+H178+H179+H180,0)</f>
        <v>32948241</v>
      </c>
      <c r="I155" s="90"/>
      <c r="J155" s="93">
        <f>TRUNC(J157+J158+J159+J160+J161+J162+J163+J164+J165+J166+J167+J169+J170+J171+J172+J173+J174+J175+J176+J178+J179+J180,0)</f>
        <v>26020853</v>
      </c>
      <c r="K155" s="90"/>
      <c r="L155" s="93">
        <f>TRUNC(L157+L158+L159+L160+L161+L162+L163+L164+L165+L166+L167+L169+L170+L171+L172+L173+L174+L175+L176+L178+L179+L180,0)</f>
        <v>3329652</v>
      </c>
      <c r="M155" s="94" t="s">
        <v>6</v>
      </c>
      <c r="N155" t="s">
        <v>6</v>
      </c>
      <c r="P155" t="s">
        <v>48</v>
      </c>
      <c r="Q155" t="s">
        <v>6</v>
      </c>
      <c r="R155" t="s">
        <v>6</v>
      </c>
      <c r="Z155" s="93">
        <f>H192+H193+H194+H195+H196+H197+H198+H201+H202+H203+H204+H205+H207+H208+H209+H210+H211+H213+H214+H216+H217+H218+H219+H220+H221</f>
        <v>22727734</v>
      </c>
      <c r="AA155" s="93">
        <f>J192+J193+J194+J195+J196+J197+J198+J201+J202+J203+J204+J205+J207+J208+J209+J210+J211+J213+J214+J216+J217+J218+J219+J220+J221</f>
        <v>10127211</v>
      </c>
      <c r="AB155" s="93">
        <f>L192+L193+L194+L195+L196+L197+L198+L201+L202+L203+L204+L205+L207+L208+L209+L210+L211+L213+L214+L216+L217+L218+L219+L220+L221</f>
        <v>5254926</v>
      </c>
      <c r="BH155" s="92" t="s">
        <v>6</v>
      </c>
      <c r="CC155" s="92" t="s">
        <v>345</v>
      </c>
    </row>
    <row r="156" spans="1:100" ht="18.399999999999999" customHeight="1" x14ac:dyDescent="0.15">
      <c r="A156" s="91" t="s">
        <v>577</v>
      </c>
      <c r="B156" s="92" t="s">
        <v>6</v>
      </c>
      <c r="C156" s="92"/>
      <c r="D156" s="92" t="s">
        <v>6</v>
      </c>
      <c r="E156" s="93">
        <f t="shared" si="21"/>
        <v>0</v>
      </c>
      <c r="F156" s="93">
        <f t="shared" si="13"/>
        <v>11577663</v>
      </c>
      <c r="G156" s="90"/>
      <c r="H156" s="93">
        <f>TRUNC(H157+H158+H159+H160+H161+H162+H163+H164+H165+H166+H167,0)</f>
        <v>3112604</v>
      </c>
      <c r="I156" s="90"/>
      <c r="J156" s="93">
        <f>TRUNC(J157+J158+J159+J160+J161+J162+J163+J164+J165+J166+J167,0)</f>
        <v>7279070</v>
      </c>
      <c r="K156" s="90"/>
      <c r="L156" s="93">
        <f>TRUNC(L157+L158+L159+L160+L161+L162+L163+L164+L165+L166+L167,0)</f>
        <v>1185989</v>
      </c>
      <c r="M156" s="94" t="s">
        <v>6</v>
      </c>
      <c r="N156" t="s">
        <v>6</v>
      </c>
      <c r="P156" t="s">
        <v>191</v>
      </c>
      <c r="Q156" t="s">
        <v>6</v>
      </c>
      <c r="R156" t="s">
        <v>6</v>
      </c>
      <c r="BH156" s="92" t="s">
        <v>6</v>
      </c>
      <c r="CC156" s="92" t="s">
        <v>364</v>
      </c>
    </row>
    <row r="157" spans="1:100" ht="18.399999999999999" customHeight="1" x14ac:dyDescent="0.15">
      <c r="A157" s="91" t="s">
        <v>385</v>
      </c>
      <c r="B157" s="92" t="s">
        <v>386</v>
      </c>
      <c r="C157" s="92">
        <v>1.1220000000000001</v>
      </c>
      <c r="D157" s="92" t="s">
        <v>388</v>
      </c>
      <c r="E157" s="93">
        <f t="shared" si="21"/>
        <v>2472509</v>
      </c>
      <c r="F157" s="93">
        <f t="shared" si="13"/>
        <v>2774154</v>
      </c>
      <c r="G157" s="93">
        <f>[4]일위대가목록!F24</f>
        <v>68680</v>
      </c>
      <c r="H157" s="93">
        <f t="shared" ref="H157:H167" si="22">TRUNC(G157*C157,0)</f>
        <v>77058</v>
      </c>
      <c r="I157" s="93">
        <f>[4]일위대가목록!G24</f>
        <v>2289361</v>
      </c>
      <c r="J157" s="93">
        <f>TRUNC(I157*C157,0)</f>
        <v>2568663</v>
      </c>
      <c r="K157" s="93">
        <f>[4]일위대가목록!H24</f>
        <v>114468</v>
      </c>
      <c r="L157" s="93">
        <f>TRUNC(K157*C157,0)</f>
        <v>128433</v>
      </c>
      <c r="M157" s="94" t="s">
        <v>389</v>
      </c>
      <c r="N157" t="s">
        <v>6</v>
      </c>
      <c r="P157" t="s">
        <v>194</v>
      </c>
      <c r="Q157" t="s">
        <v>6</v>
      </c>
      <c r="R157" t="s">
        <v>390</v>
      </c>
      <c r="T157" t="s">
        <v>212</v>
      </c>
      <c r="BH157" s="92" t="s">
        <v>6</v>
      </c>
      <c r="BJ157" s="95" t="str">
        <f>HYPERLINK("#일위대가목록!A24","K01090028000 →")</f>
        <v>K01090028000 →</v>
      </c>
      <c r="CC157" s="92" t="s">
        <v>350</v>
      </c>
    </row>
    <row r="158" spans="1:100" ht="18.399999999999999" customHeight="1" x14ac:dyDescent="0.15">
      <c r="A158" s="91" t="s">
        <v>391</v>
      </c>
      <c r="B158" s="92" t="s">
        <v>386</v>
      </c>
      <c r="C158" s="92">
        <v>1.1220000000000001</v>
      </c>
      <c r="D158" s="92" t="s">
        <v>388</v>
      </c>
      <c r="E158" s="93">
        <f t="shared" si="21"/>
        <v>3364568</v>
      </c>
      <c r="F158" s="93">
        <f t="shared" si="13"/>
        <v>3775044</v>
      </c>
      <c r="G158" s="93">
        <f>[4]일위대가목록!F32</f>
        <v>93460</v>
      </c>
      <c r="H158" s="93">
        <f t="shared" si="22"/>
        <v>104862</v>
      </c>
      <c r="I158" s="93">
        <f>[4]일위대가목록!G32</f>
        <v>3115341</v>
      </c>
      <c r="J158" s="93">
        <f>TRUNC(I158*C158,0)</f>
        <v>3495412</v>
      </c>
      <c r="K158" s="93">
        <f>[4]일위대가목록!H32</f>
        <v>155767</v>
      </c>
      <c r="L158" s="93">
        <f>TRUNC(K158*C158,0)</f>
        <v>174770</v>
      </c>
      <c r="M158" s="94" t="s">
        <v>486</v>
      </c>
      <c r="N158" t="s">
        <v>6</v>
      </c>
      <c r="P158" t="s">
        <v>198</v>
      </c>
      <c r="Q158" t="s">
        <v>6</v>
      </c>
      <c r="R158" t="s">
        <v>487</v>
      </c>
      <c r="T158" t="s">
        <v>212</v>
      </c>
      <c r="BH158" s="92" t="s">
        <v>6</v>
      </c>
      <c r="BJ158" s="95" t="str">
        <f>HYPERLINK("#일위대가목록!A32","K01090029000 →")</f>
        <v>K01090029000 →</v>
      </c>
      <c r="CC158" s="92" t="s">
        <v>350</v>
      </c>
    </row>
    <row r="159" spans="1:100" ht="18.399999999999999" customHeight="1" x14ac:dyDescent="0.15">
      <c r="A159" s="91" t="s">
        <v>488</v>
      </c>
      <c r="B159" s="92" t="s">
        <v>6</v>
      </c>
      <c r="C159" s="93">
        <v>930</v>
      </c>
      <c r="D159" s="92" t="s">
        <v>489</v>
      </c>
      <c r="E159" s="93">
        <f t="shared" si="21"/>
        <v>950</v>
      </c>
      <c r="F159" s="93">
        <f t="shared" si="13"/>
        <v>883500</v>
      </c>
      <c r="G159" s="93">
        <f>[4]자재조서!E55</f>
        <v>950</v>
      </c>
      <c r="H159" s="93">
        <f t="shared" si="22"/>
        <v>883500</v>
      </c>
      <c r="I159" s="93">
        <v>0</v>
      </c>
      <c r="J159" s="93"/>
      <c r="K159" s="93">
        <v>0</v>
      </c>
      <c r="L159" s="93"/>
      <c r="M159" s="94" t="s">
        <v>490</v>
      </c>
      <c r="N159" t="s">
        <v>6</v>
      </c>
      <c r="P159" t="s">
        <v>201</v>
      </c>
      <c r="Q159" t="s">
        <v>6</v>
      </c>
      <c r="R159" t="s">
        <v>490</v>
      </c>
      <c r="BH159" s="92" t="s">
        <v>6</v>
      </c>
      <c r="BJ159" s="95" t="str">
        <f>HYPERLINK("#자재조서!A55","M9384010 →")</f>
        <v>M9384010 →</v>
      </c>
      <c r="CC159" s="92" t="s">
        <v>350</v>
      </c>
    </row>
    <row r="160" spans="1:100" ht="18.399999999999999" customHeight="1" x14ac:dyDescent="0.15">
      <c r="A160" s="91" t="s">
        <v>491</v>
      </c>
      <c r="B160" s="92" t="s">
        <v>492</v>
      </c>
      <c r="C160" s="92">
        <v>56.12</v>
      </c>
      <c r="D160" s="92" t="s">
        <v>493</v>
      </c>
      <c r="E160" s="93">
        <f t="shared" si="21"/>
        <v>-251</v>
      </c>
      <c r="F160" s="93">
        <f t="shared" si="13"/>
        <v>-14086</v>
      </c>
      <c r="G160" s="93">
        <f>[4]자재조서!E56</f>
        <v>-251</v>
      </c>
      <c r="H160" s="93">
        <f t="shared" si="22"/>
        <v>-14086</v>
      </c>
      <c r="I160" s="93">
        <v>0</v>
      </c>
      <c r="J160" s="93"/>
      <c r="K160" s="93">
        <v>0</v>
      </c>
      <c r="L160" s="93"/>
      <c r="M160" s="94" t="s">
        <v>494</v>
      </c>
      <c r="N160" t="s">
        <v>431</v>
      </c>
      <c r="P160" t="s">
        <v>204</v>
      </c>
      <c r="Q160" t="s">
        <v>6</v>
      </c>
      <c r="R160" t="s">
        <v>494</v>
      </c>
      <c r="BH160" s="92" t="s">
        <v>6</v>
      </c>
      <c r="BJ160" s="95" t="str">
        <f>HYPERLINK("#자재조서!A56","M9531005A →")</f>
        <v>M9531005A →</v>
      </c>
      <c r="CC160" s="92" t="s">
        <v>350</v>
      </c>
    </row>
    <row r="161" spans="1:81" ht="18.399999999999999" customHeight="1" x14ac:dyDescent="0.15">
      <c r="A161" s="91" t="s">
        <v>495</v>
      </c>
      <c r="B161" s="92" t="s">
        <v>6</v>
      </c>
      <c r="C161" s="92">
        <v>1.1220000000000001</v>
      </c>
      <c r="D161" s="92" t="s">
        <v>388</v>
      </c>
      <c r="E161" s="93">
        <f t="shared" si="21"/>
        <v>23537</v>
      </c>
      <c r="F161" s="93">
        <f t="shared" si="21"/>
        <v>26407</v>
      </c>
      <c r="G161" s="93">
        <f>[4]일위대가목록!F33</f>
        <v>6305</v>
      </c>
      <c r="H161" s="93">
        <f t="shared" si="22"/>
        <v>7074</v>
      </c>
      <c r="I161" s="93">
        <f>[4]일위대가목록!G33</f>
        <v>13194</v>
      </c>
      <c r="J161" s="93">
        <f>TRUNC(I161*C161,0)</f>
        <v>14803</v>
      </c>
      <c r="K161" s="93">
        <f>[4]일위대가목록!H33</f>
        <v>4038</v>
      </c>
      <c r="L161" s="93">
        <f>TRUNC(K161*C161,0)</f>
        <v>4530</v>
      </c>
      <c r="M161" s="94" t="s">
        <v>496</v>
      </c>
      <c r="N161" t="s">
        <v>6</v>
      </c>
      <c r="P161" t="s">
        <v>211</v>
      </c>
      <c r="Q161" t="s">
        <v>6</v>
      </c>
      <c r="R161" t="s">
        <v>497</v>
      </c>
      <c r="T161" t="s">
        <v>212</v>
      </c>
      <c r="BH161" s="92" t="s">
        <v>6</v>
      </c>
      <c r="BJ161" s="95" t="str">
        <f>HYPERLINK("#일위대가목록!A33","K03H1H204850 →")</f>
        <v>K03H1H204850 →</v>
      </c>
      <c r="CC161" s="92" t="s">
        <v>350</v>
      </c>
    </row>
    <row r="162" spans="1:81" ht="18.399999999999999" customHeight="1" x14ac:dyDescent="0.15">
      <c r="A162" s="91" t="s">
        <v>498</v>
      </c>
      <c r="B162" s="92" t="s">
        <v>499</v>
      </c>
      <c r="C162" s="93">
        <v>3</v>
      </c>
      <c r="D162" s="92" t="s">
        <v>500</v>
      </c>
      <c r="E162" s="93">
        <f t="shared" si="21"/>
        <v>773936</v>
      </c>
      <c r="F162" s="93">
        <f t="shared" si="21"/>
        <v>2321808</v>
      </c>
      <c r="G162" s="93">
        <f>[4]일위대가목록!F34</f>
        <v>81120</v>
      </c>
      <c r="H162" s="93">
        <f t="shared" si="22"/>
        <v>243360</v>
      </c>
      <c r="I162" s="93">
        <f>[4]일위대가목록!G34</f>
        <v>400064</v>
      </c>
      <c r="J162" s="93">
        <f>TRUNC(I162*C162,0)</f>
        <v>1200192</v>
      </c>
      <c r="K162" s="93">
        <f>[4]일위대가목록!H34</f>
        <v>292752</v>
      </c>
      <c r="L162" s="93">
        <f>TRUNC(K162*C162,0)</f>
        <v>878256</v>
      </c>
      <c r="M162" s="94" t="s">
        <v>501</v>
      </c>
      <c r="N162" t="s">
        <v>6</v>
      </c>
      <c r="P162" t="s">
        <v>218</v>
      </c>
      <c r="Q162" t="s">
        <v>6</v>
      </c>
      <c r="R162" t="s">
        <v>502</v>
      </c>
      <c r="T162" t="s">
        <v>212</v>
      </c>
      <c r="BH162" s="92" t="s">
        <v>6</v>
      </c>
      <c r="BJ162" s="95" t="str">
        <f>HYPERLINK("#일위대가목록!A34","K015080D120A →")</f>
        <v>K015080D120A →</v>
      </c>
      <c r="CC162" s="92" t="s">
        <v>350</v>
      </c>
    </row>
    <row r="163" spans="1:81" ht="18.399999999999999" customHeight="1" x14ac:dyDescent="0.15">
      <c r="A163" s="91" t="s">
        <v>503</v>
      </c>
      <c r="B163" s="92" t="s">
        <v>504</v>
      </c>
      <c r="C163" s="93">
        <v>54</v>
      </c>
      <c r="D163" s="92" t="s">
        <v>410</v>
      </c>
      <c r="E163" s="93">
        <f t="shared" si="21"/>
        <v>8840</v>
      </c>
      <c r="F163" s="93">
        <f t="shared" si="21"/>
        <v>477360</v>
      </c>
      <c r="G163" s="93">
        <f>[4]자재조서!E14</f>
        <v>8840</v>
      </c>
      <c r="H163" s="93">
        <f t="shared" si="22"/>
        <v>477360</v>
      </c>
      <c r="I163" s="93">
        <v>0</v>
      </c>
      <c r="J163" s="93"/>
      <c r="K163" s="93">
        <v>0</v>
      </c>
      <c r="L163" s="93"/>
      <c r="M163" s="94" t="s">
        <v>505</v>
      </c>
      <c r="N163" t="s">
        <v>506</v>
      </c>
      <c r="P163" t="s">
        <v>223</v>
      </c>
      <c r="Q163" t="s">
        <v>6</v>
      </c>
      <c r="R163" t="s">
        <v>505</v>
      </c>
      <c r="BH163" s="92" t="s">
        <v>6</v>
      </c>
      <c r="BJ163" s="95" t="str">
        <f>HYPERLINK("#자재조서!A14","M0132121F →")</f>
        <v>M0132121F →</v>
      </c>
      <c r="CC163" s="92" t="s">
        <v>350</v>
      </c>
    </row>
    <row r="164" spans="1:81" ht="18.399999999999999" customHeight="1" x14ac:dyDescent="0.15">
      <c r="A164" s="91" t="s">
        <v>503</v>
      </c>
      <c r="B164" s="92" t="s">
        <v>507</v>
      </c>
      <c r="C164" s="93">
        <v>215</v>
      </c>
      <c r="D164" s="92" t="s">
        <v>410</v>
      </c>
      <c r="E164" s="93">
        <f t="shared" si="21"/>
        <v>4234</v>
      </c>
      <c r="F164" s="93">
        <f t="shared" si="21"/>
        <v>910310</v>
      </c>
      <c r="G164" s="93">
        <f>[4]자재조서!E15</f>
        <v>4234</v>
      </c>
      <c r="H164" s="93">
        <f t="shared" si="22"/>
        <v>910310</v>
      </c>
      <c r="I164" s="93">
        <v>0</v>
      </c>
      <c r="J164" s="93"/>
      <c r="K164" s="93">
        <v>0</v>
      </c>
      <c r="L164" s="93"/>
      <c r="M164" s="94" t="s">
        <v>508</v>
      </c>
      <c r="N164" t="s">
        <v>6</v>
      </c>
      <c r="P164" t="s">
        <v>228</v>
      </c>
      <c r="Q164" t="s">
        <v>6</v>
      </c>
      <c r="R164" t="s">
        <v>508</v>
      </c>
      <c r="BH164" s="92" t="s">
        <v>6</v>
      </c>
      <c r="BJ164" s="95" t="str">
        <f>HYPERLINK("#자재조서!A15","M0132121G →")</f>
        <v>M0132121G →</v>
      </c>
      <c r="CC164" s="92" t="s">
        <v>350</v>
      </c>
    </row>
    <row r="165" spans="1:81" ht="18.399999999999999" customHeight="1" x14ac:dyDescent="0.15">
      <c r="A165" s="91" t="s">
        <v>509</v>
      </c>
      <c r="B165" s="92" t="s">
        <v>510</v>
      </c>
      <c r="C165" s="93">
        <v>7</v>
      </c>
      <c r="D165" s="92" t="s">
        <v>511</v>
      </c>
      <c r="E165" s="93">
        <f t="shared" si="21"/>
        <v>20000</v>
      </c>
      <c r="F165" s="93">
        <f t="shared" si="21"/>
        <v>140000</v>
      </c>
      <c r="G165" s="93">
        <f>[4]자재조서!E40</f>
        <v>20000</v>
      </c>
      <c r="H165" s="93">
        <f t="shared" si="22"/>
        <v>140000</v>
      </c>
      <c r="I165" s="93">
        <v>0</v>
      </c>
      <c r="J165" s="93"/>
      <c r="K165" s="93">
        <v>0</v>
      </c>
      <c r="L165" s="93"/>
      <c r="M165" s="94" t="s">
        <v>512</v>
      </c>
      <c r="N165" t="s">
        <v>513</v>
      </c>
      <c r="P165" t="s">
        <v>240</v>
      </c>
      <c r="Q165" t="s">
        <v>6</v>
      </c>
      <c r="R165" t="s">
        <v>512</v>
      </c>
      <c r="BH165" s="92" t="s">
        <v>6</v>
      </c>
      <c r="BJ165" s="95" t="str">
        <f>HYPERLINK("#자재조서!A40","M1663037 →")</f>
        <v>M1663037 →</v>
      </c>
      <c r="CC165" s="92" t="s">
        <v>350</v>
      </c>
    </row>
    <row r="166" spans="1:81" ht="18.399999999999999" customHeight="1" x14ac:dyDescent="0.15">
      <c r="A166" s="91" t="s">
        <v>509</v>
      </c>
      <c r="B166" s="92" t="s">
        <v>514</v>
      </c>
      <c r="C166" s="93">
        <v>7</v>
      </c>
      <c r="D166" s="92" t="s">
        <v>511</v>
      </c>
      <c r="E166" s="93">
        <f t="shared" si="21"/>
        <v>10000</v>
      </c>
      <c r="F166" s="93">
        <f t="shared" si="21"/>
        <v>70000</v>
      </c>
      <c r="G166" s="93">
        <f>[4]자재조서!E39</f>
        <v>10000</v>
      </c>
      <c r="H166" s="93">
        <f t="shared" si="22"/>
        <v>70000</v>
      </c>
      <c r="I166" s="93">
        <v>0</v>
      </c>
      <c r="J166" s="93"/>
      <c r="K166" s="93">
        <v>0</v>
      </c>
      <c r="L166" s="93"/>
      <c r="M166" s="94" t="s">
        <v>515</v>
      </c>
      <c r="N166" t="s">
        <v>6</v>
      </c>
      <c r="P166" t="s">
        <v>245</v>
      </c>
      <c r="Q166" t="s">
        <v>6</v>
      </c>
      <c r="R166" t="s">
        <v>515</v>
      </c>
      <c r="BH166" s="92" t="s">
        <v>6</v>
      </c>
      <c r="BJ166" s="95" t="str">
        <f>HYPERLINK("#자재조서!A39","M1663035 →")</f>
        <v>M1663035 →</v>
      </c>
      <c r="CC166" s="92" t="s">
        <v>350</v>
      </c>
    </row>
    <row r="167" spans="1:81" ht="18.399999999999999" customHeight="1" x14ac:dyDescent="0.15">
      <c r="A167" s="91" t="s">
        <v>516</v>
      </c>
      <c r="B167" s="92" t="s">
        <v>517</v>
      </c>
      <c r="C167" s="93">
        <v>53</v>
      </c>
      <c r="D167" s="92" t="s">
        <v>410</v>
      </c>
      <c r="E167" s="93">
        <f t="shared" si="21"/>
        <v>4022</v>
      </c>
      <c r="F167" s="93">
        <f t="shared" si="21"/>
        <v>213166</v>
      </c>
      <c r="G167" s="93">
        <f>[4]자재조서!E8</f>
        <v>4022</v>
      </c>
      <c r="H167" s="93">
        <f t="shared" si="22"/>
        <v>213166</v>
      </c>
      <c r="I167" s="93">
        <v>0</v>
      </c>
      <c r="J167" s="93"/>
      <c r="K167" s="93">
        <v>0</v>
      </c>
      <c r="L167" s="93"/>
      <c r="M167" s="94" t="s">
        <v>518</v>
      </c>
      <c r="N167" t="s">
        <v>6</v>
      </c>
      <c r="P167" t="s">
        <v>252</v>
      </c>
      <c r="Q167" t="s">
        <v>6</v>
      </c>
      <c r="R167" t="s">
        <v>518</v>
      </c>
      <c r="BH167" s="92" t="s">
        <v>6</v>
      </c>
      <c r="BJ167" s="95" t="str">
        <f>HYPERLINK("#자재조서!A8","M0060024B →")</f>
        <v>M0060024B →</v>
      </c>
      <c r="CC167" s="92" t="s">
        <v>350</v>
      </c>
    </row>
    <row r="168" spans="1:81" ht="18.399999999999999" customHeight="1" x14ac:dyDescent="0.15">
      <c r="A168" s="91" t="s">
        <v>578</v>
      </c>
      <c r="B168" s="92" t="s">
        <v>6</v>
      </c>
      <c r="C168" s="92"/>
      <c r="D168" s="92" t="s">
        <v>6</v>
      </c>
      <c r="E168" s="93">
        <f t="shared" si="21"/>
        <v>0</v>
      </c>
      <c r="F168" s="93">
        <f t="shared" si="21"/>
        <v>38807287</v>
      </c>
      <c r="G168" s="90"/>
      <c r="H168" s="93">
        <f>TRUNC(H169+H170+H171+H172+H173+H174+H175+H176,0)</f>
        <v>19567207</v>
      </c>
      <c r="I168" s="90"/>
      <c r="J168" s="93">
        <f>TRUNC(J169+J170+J171+J172+J173+J174+J175+J176,0)</f>
        <v>17174767</v>
      </c>
      <c r="K168" s="90"/>
      <c r="L168" s="93">
        <f>TRUNC(L169+L170+L171+L172+L173+L174+L175+L176,0)</f>
        <v>2065313</v>
      </c>
      <c r="M168" s="94" t="s">
        <v>6</v>
      </c>
      <c r="N168" t="s">
        <v>6</v>
      </c>
      <c r="P168" t="s">
        <v>256</v>
      </c>
      <c r="Q168" t="s">
        <v>6</v>
      </c>
      <c r="R168" t="s">
        <v>6</v>
      </c>
      <c r="BH168" s="92" t="s">
        <v>6</v>
      </c>
      <c r="CC168" s="92" t="s">
        <v>364</v>
      </c>
    </row>
    <row r="169" spans="1:81" ht="18.399999999999999" customHeight="1" x14ac:dyDescent="0.15">
      <c r="A169" s="91" t="s">
        <v>391</v>
      </c>
      <c r="B169" s="92" t="s">
        <v>386</v>
      </c>
      <c r="C169" s="92">
        <v>1.8320000000000001</v>
      </c>
      <c r="D169" s="92" t="s">
        <v>388</v>
      </c>
      <c r="E169" s="93">
        <f t="shared" si="21"/>
        <v>3364568</v>
      </c>
      <c r="F169" s="93">
        <f t="shared" si="21"/>
        <v>6163887</v>
      </c>
      <c r="G169" s="93">
        <f>[4]일위대가목록!F32</f>
        <v>93460</v>
      </c>
      <c r="H169" s="93">
        <f t="shared" ref="H169:H176" si="23">TRUNC(G169*C169,0)</f>
        <v>171218</v>
      </c>
      <c r="I169" s="93">
        <f>[4]일위대가목록!G32</f>
        <v>3115341</v>
      </c>
      <c r="J169" s="93">
        <f>TRUNC(I169*C169,0)</f>
        <v>5707304</v>
      </c>
      <c r="K169" s="93">
        <f>[4]일위대가목록!H32</f>
        <v>155767</v>
      </c>
      <c r="L169" s="93">
        <f>TRUNC(K169*C169,0)</f>
        <v>285365</v>
      </c>
      <c r="M169" s="94" t="s">
        <v>486</v>
      </c>
      <c r="N169" t="s">
        <v>6</v>
      </c>
      <c r="P169" t="s">
        <v>261</v>
      </c>
      <c r="Q169" t="s">
        <v>6</v>
      </c>
      <c r="R169" t="s">
        <v>487</v>
      </c>
      <c r="T169" t="s">
        <v>212</v>
      </c>
      <c r="BH169" s="92" t="s">
        <v>6</v>
      </c>
      <c r="BJ169" s="95" t="str">
        <f>HYPERLINK("#일위대가목록!A32","K01090029000 →")</f>
        <v>K01090029000 →</v>
      </c>
      <c r="CC169" s="92" t="s">
        <v>350</v>
      </c>
    </row>
    <row r="170" spans="1:81" ht="18.399999999999999" customHeight="1" x14ac:dyDescent="0.15">
      <c r="A170" s="91" t="s">
        <v>488</v>
      </c>
      <c r="B170" s="92" t="s">
        <v>6</v>
      </c>
      <c r="C170" s="93">
        <v>1835</v>
      </c>
      <c r="D170" s="92" t="s">
        <v>489</v>
      </c>
      <c r="E170" s="93">
        <f t="shared" si="21"/>
        <v>950</v>
      </c>
      <c r="F170" s="93">
        <f t="shared" si="21"/>
        <v>1743250</v>
      </c>
      <c r="G170" s="93">
        <f>[4]자재조서!E55</f>
        <v>950</v>
      </c>
      <c r="H170" s="93">
        <f t="shared" si="23"/>
        <v>1743250</v>
      </c>
      <c r="I170" s="93">
        <v>0</v>
      </c>
      <c r="J170" s="93"/>
      <c r="K170" s="93">
        <v>0</v>
      </c>
      <c r="L170" s="93"/>
      <c r="M170" s="94" t="s">
        <v>490</v>
      </c>
      <c r="N170" t="s">
        <v>6</v>
      </c>
      <c r="P170" t="s">
        <v>266</v>
      </c>
      <c r="Q170" t="s">
        <v>6</v>
      </c>
      <c r="R170" t="s">
        <v>490</v>
      </c>
      <c r="BH170" s="92" t="s">
        <v>6</v>
      </c>
      <c r="BJ170" s="95" t="str">
        <f>HYPERLINK("#자재조서!A55","M9384010 →")</f>
        <v>M9384010 →</v>
      </c>
      <c r="CC170" s="92" t="s">
        <v>350</v>
      </c>
    </row>
    <row r="171" spans="1:81" ht="18.399999999999999" customHeight="1" x14ac:dyDescent="0.15">
      <c r="A171" s="91" t="s">
        <v>520</v>
      </c>
      <c r="B171" s="92" t="s">
        <v>521</v>
      </c>
      <c r="C171" s="93">
        <v>217</v>
      </c>
      <c r="D171" s="92" t="s">
        <v>522</v>
      </c>
      <c r="E171" s="93">
        <f t="shared" si="21"/>
        <v>36324</v>
      </c>
      <c r="F171" s="93">
        <f t="shared" si="21"/>
        <v>7882308</v>
      </c>
      <c r="G171" s="93">
        <f>[4]일위대가목록!F35</f>
        <v>1258</v>
      </c>
      <c r="H171" s="93">
        <f t="shared" si="23"/>
        <v>272986</v>
      </c>
      <c r="I171" s="93">
        <f>[4]일위대가목록!G35</f>
        <v>33643</v>
      </c>
      <c r="J171" s="93">
        <f>TRUNC(I171*C171,0)</f>
        <v>7300531</v>
      </c>
      <c r="K171" s="93">
        <f>[4]일위대가목록!H35</f>
        <v>1423</v>
      </c>
      <c r="L171" s="93">
        <f>TRUNC(K171*C171,0)</f>
        <v>308791</v>
      </c>
      <c r="M171" s="94" t="s">
        <v>523</v>
      </c>
      <c r="N171" t="s">
        <v>6</v>
      </c>
      <c r="P171" t="s">
        <v>271</v>
      </c>
      <c r="Q171" t="s">
        <v>6</v>
      </c>
      <c r="R171" t="s">
        <v>524</v>
      </c>
      <c r="T171" t="s">
        <v>212</v>
      </c>
      <c r="BH171" s="92" t="s">
        <v>6</v>
      </c>
      <c r="BJ171" s="95" t="str">
        <f>HYPERLINK("#일위대가목록!A35","KR09030-0020 →")</f>
        <v>KR09030-0020 →</v>
      </c>
      <c r="CC171" s="92" t="s">
        <v>350</v>
      </c>
    </row>
    <row r="172" spans="1:81" ht="18.399999999999999" customHeight="1" x14ac:dyDescent="0.15">
      <c r="A172" s="91" t="s">
        <v>495</v>
      </c>
      <c r="B172" s="92" t="s">
        <v>6</v>
      </c>
      <c r="C172" s="92">
        <v>1.8320000000000001</v>
      </c>
      <c r="D172" s="92" t="s">
        <v>388</v>
      </c>
      <c r="E172" s="93">
        <f t="shared" si="21"/>
        <v>23537</v>
      </c>
      <c r="F172" s="93">
        <f t="shared" si="21"/>
        <v>43118</v>
      </c>
      <c r="G172" s="93">
        <f>[4]일위대가목록!F33</f>
        <v>6305</v>
      </c>
      <c r="H172" s="93">
        <f t="shared" si="23"/>
        <v>11550</v>
      </c>
      <c r="I172" s="93">
        <f>[4]일위대가목록!G33</f>
        <v>13194</v>
      </c>
      <c r="J172" s="93">
        <f>TRUNC(I172*C172,0)</f>
        <v>24171</v>
      </c>
      <c r="K172" s="93">
        <f>[4]일위대가목록!H33</f>
        <v>4038</v>
      </c>
      <c r="L172" s="93">
        <f>TRUNC(K172*C172,0)</f>
        <v>7397</v>
      </c>
      <c r="M172" s="94" t="s">
        <v>496</v>
      </c>
      <c r="N172" t="s">
        <v>6</v>
      </c>
      <c r="P172" t="s">
        <v>275</v>
      </c>
      <c r="Q172" t="s">
        <v>6</v>
      </c>
      <c r="R172" t="s">
        <v>497</v>
      </c>
      <c r="T172" t="s">
        <v>212</v>
      </c>
      <c r="BH172" s="92" t="s">
        <v>6</v>
      </c>
      <c r="BJ172" s="95" t="str">
        <f>HYPERLINK("#일위대가목록!A33","K03H1H204850 →")</f>
        <v>K03H1H204850 →</v>
      </c>
      <c r="CC172" s="92" t="s">
        <v>350</v>
      </c>
    </row>
    <row r="173" spans="1:81" ht="18.399999999999999" customHeight="1" x14ac:dyDescent="0.15">
      <c r="A173" s="91" t="s">
        <v>525</v>
      </c>
      <c r="B173" s="92" t="s">
        <v>499</v>
      </c>
      <c r="C173" s="93">
        <v>5</v>
      </c>
      <c r="D173" s="92" t="s">
        <v>500</v>
      </c>
      <c r="E173" s="93">
        <f t="shared" si="21"/>
        <v>773936</v>
      </c>
      <c r="F173" s="93">
        <f t="shared" si="21"/>
        <v>3869680</v>
      </c>
      <c r="G173" s="93">
        <f>[4]일위대가목록!F36</f>
        <v>81120</v>
      </c>
      <c r="H173" s="93">
        <f t="shared" si="23"/>
        <v>405600</v>
      </c>
      <c r="I173" s="93">
        <f>[4]일위대가목록!G36</f>
        <v>400064</v>
      </c>
      <c r="J173" s="93">
        <f>TRUNC(I173*C173,0)</f>
        <v>2000320</v>
      </c>
      <c r="K173" s="93">
        <f>[4]일위대가목록!H36</f>
        <v>292752</v>
      </c>
      <c r="L173" s="93">
        <f>TRUNC(K173*C173,0)</f>
        <v>1463760</v>
      </c>
      <c r="M173" s="94" t="s">
        <v>526</v>
      </c>
      <c r="N173" t="s">
        <v>6</v>
      </c>
      <c r="P173" t="s">
        <v>279</v>
      </c>
      <c r="Q173" t="s">
        <v>6</v>
      </c>
      <c r="R173" t="s">
        <v>527</v>
      </c>
      <c r="T173" t="s">
        <v>212</v>
      </c>
      <c r="BH173" s="92" t="s">
        <v>6</v>
      </c>
      <c r="BJ173" s="95" t="str">
        <f>HYPERLINK("#일위대가목록!A36","K015080D110A →")</f>
        <v>K015080D110A →</v>
      </c>
      <c r="CC173" s="92" t="s">
        <v>350</v>
      </c>
    </row>
    <row r="174" spans="1:81" ht="18.399999999999999" customHeight="1" x14ac:dyDescent="0.15">
      <c r="A174" s="91" t="s">
        <v>528</v>
      </c>
      <c r="B174" s="92" t="s">
        <v>529</v>
      </c>
      <c r="C174" s="93">
        <v>35</v>
      </c>
      <c r="D174" s="92" t="s">
        <v>522</v>
      </c>
      <c r="E174" s="93">
        <f t="shared" si="21"/>
        <v>402285</v>
      </c>
      <c r="F174" s="93">
        <f t="shared" si="21"/>
        <v>14079975</v>
      </c>
      <c r="G174" s="93">
        <f>[4]자재조서!E68</f>
        <v>402285</v>
      </c>
      <c r="H174" s="93">
        <f t="shared" si="23"/>
        <v>14079975</v>
      </c>
      <c r="I174" s="93">
        <v>0</v>
      </c>
      <c r="J174" s="93"/>
      <c r="K174" s="93">
        <v>0</v>
      </c>
      <c r="L174" s="93"/>
      <c r="M174" s="94" t="s">
        <v>530</v>
      </c>
      <c r="N174" t="s">
        <v>6</v>
      </c>
      <c r="P174" t="s">
        <v>283</v>
      </c>
      <c r="Q174" t="s">
        <v>6</v>
      </c>
      <c r="R174" t="s">
        <v>530</v>
      </c>
      <c r="BH174" s="92" t="s">
        <v>6</v>
      </c>
      <c r="BJ174" s="95" t="str">
        <f>HYPERLINK("#자재조서!A68","MZZ10030 →")</f>
        <v>MZZ10030 →</v>
      </c>
      <c r="CC174" s="92" t="s">
        <v>350</v>
      </c>
    </row>
    <row r="175" spans="1:81" ht="18.399999999999999" customHeight="1" x14ac:dyDescent="0.15">
      <c r="A175" s="91" t="s">
        <v>531</v>
      </c>
      <c r="B175" s="92" t="s">
        <v>532</v>
      </c>
      <c r="C175" s="93">
        <v>217</v>
      </c>
      <c r="D175" s="92" t="s">
        <v>303</v>
      </c>
      <c r="E175" s="93">
        <f t="shared" si="21"/>
        <v>19757</v>
      </c>
      <c r="F175" s="93">
        <f t="shared" si="21"/>
        <v>4287269</v>
      </c>
      <c r="G175" s="93">
        <f>[4]일위대가목록!F37</f>
        <v>9884</v>
      </c>
      <c r="H175" s="93">
        <f t="shared" si="23"/>
        <v>2144828</v>
      </c>
      <c r="I175" s="93">
        <f>[4]일위대가목록!G37</f>
        <v>9873</v>
      </c>
      <c r="J175" s="93">
        <f>TRUNC(I175*C175,0)</f>
        <v>2142441</v>
      </c>
      <c r="K175" s="93">
        <f>[4]일위대가목록!H37</f>
        <v>0</v>
      </c>
      <c r="L175" s="93">
        <f>TRUNC(K175*C175,0)</f>
        <v>0</v>
      </c>
      <c r="M175" s="94" t="s">
        <v>533</v>
      </c>
      <c r="N175" t="s">
        <v>6</v>
      </c>
      <c r="P175" t="s">
        <v>286</v>
      </c>
      <c r="Q175" t="s">
        <v>6</v>
      </c>
      <c r="R175" t="s">
        <v>534</v>
      </c>
      <c r="T175" t="s">
        <v>212</v>
      </c>
      <c r="BH175" s="92" t="s">
        <v>6</v>
      </c>
      <c r="BJ175" s="95" t="str">
        <f>HYPERLINK("#일위대가목록!A37","KR02062-0190 →")</f>
        <v>KR02062-0190 →</v>
      </c>
      <c r="CC175" s="92" t="s">
        <v>350</v>
      </c>
    </row>
    <row r="176" spans="1:81" ht="18.399999999999999" customHeight="1" x14ac:dyDescent="0.15">
      <c r="A176" s="91" t="s">
        <v>535</v>
      </c>
      <c r="B176" s="92" t="s">
        <v>536</v>
      </c>
      <c r="C176" s="93">
        <v>217</v>
      </c>
      <c r="D176" s="92" t="s">
        <v>511</v>
      </c>
      <c r="E176" s="93">
        <f t="shared" si="21"/>
        <v>3400</v>
      </c>
      <c r="F176" s="93">
        <f t="shared" si="21"/>
        <v>737800</v>
      </c>
      <c r="G176" s="93">
        <f>[4]자재조서!E38</f>
        <v>3400</v>
      </c>
      <c r="H176" s="93">
        <f t="shared" si="23"/>
        <v>737800</v>
      </c>
      <c r="I176" s="93">
        <v>0</v>
      </c>
      <c r="J176" s="93"/>
      <c r="K176" s="93">
        <v>0</v>
      </c>
      <c r="L176" s="93"/>
      <c r="M176" s="94" t="s">
        <v>537</v>
      </c>
      <c r="N176" t="s">
        <v>6</v>
      </c>
      <c r="P176" t="s">
        <v>291</v>
      </c>
      <c r="Q176" t="s">
        <v>6</v>
      </c>
      <c r="R176" t="s">
        <v>537</v>
      </c>
      <c r="BH176" s="92" t="s">
        <v>6</v>
      </c>
      <c r="BJ176" s="95" t="str">
        <f>HYPERLINK("#자재조서!A38","M1663027 →")</f>
        <v>M1663027 →</v>
      </c>
      <c r="CC176" s="92" t="s">
        <v>350</v>
      </c>
    </row>
    <row r="177" spans="1:81" ht="18.399999999999999" customHeight="1" x14ac:dyDescent="0.15">
      <c r="A177" s="91" t="s">
        <v>579</v>
      </c>
      <c r="B177" s="92" t="s">
        <v>6</v>
      </c>
      <c r="C177" s="92"/>
      <c r="D177" s="92" t="s">
        <v>6</v>
      </c>
      <c r="E177" s="93">
        <f t="shared" si="21"/>
        <v>0</v>
      </c>
      <c r="F177" s="93">
        <f t="shared" si="21"/>
        <v>11913796</v>
      </c>
      <c r="G177" s="90"/>
      <c r="H177" s="93">
        <f>TRUNC(H178+H179+H180,0)</f>
        <v>10268430</v>
      </c>
      <c r="I177" s="90"/>
      <c r="J177" s="93">
        <f>TRUNC(J178+J179+J180,0)</f>
        <v>1567016</v>
      </c>
      <c r="K177" s="90"/>
      <c r="L177" s="93">
        <f>TRUNC(L178+L179+L180,0)</f>
        <v>78350</v>
      </c>
      <c r="M177" s="94" t="s">
        <v>6</v>
      </c>
      <c r="N177" t="s">
        <v>6</v>
      </c>
      <c r="P177" t="s">
        <v>297</v>
      </c>
      <c r="Q177" t="s">
        <v>6</v>
      </c>
      <c r="R177" t="s">
        <v>6</v>
      </c>
      <c r="BH177" s="92" t="s">
        <v>6</v>
      </c>
      <c r="CC177" s="92" t="s">
        <v>364</v>
      </c>
    </row>
    <row r="178" spans="1:81" ht="18.399999999999999" customHeight="1" x14ac:dyDescent="0.15">
      <c r="A178" s="91" t="s">
        <v>391</v>
      </c>
      <c r="B178" s="92" t="s">
        <v>386</v>
      </c>
      <c r="C178" s="92">
        <v>0.503</v>
      </c>
      <c r="D178" s="92" t="s">
        <v>388</v>
      </c>
      <c r="E178" s="93">
        <f t="shared" si="21"/>
        <v>3364568</v>
      </c>
      <c r="F178" s="93">
        <f t="shared" si="21"/>
        <v>1692376</v>
      </c>
      <c r="G178" s="93">
        <f>[4]일위대가목록!F32</f>
        <v>93460</v>
      </c>
      <c r="H178" s="93">
        <f>TRUNC(G178*C178,0)</f>
        <v>47010</v>
      </c>
      <c r="I178" s="93">
        <f>[4]일위대가목록!G32</f>
        <v>3115341</v>
      </c>
      <c r="J178" s="93">
        <f>TRUNC(I178*C178,0)</f>
        <v>1567016</v>
      </c>
      <c r="K178" s="93">
        <f>[4]일위대가목록!H32</f>
        <v>155767</v>
      </c>
      <c r="L178" s="93">
        <f>TRUNC(K178*C178,0)</f>
        <v>78350</v>
      </c>
      <c r="M178" s="94" t="s">
        <v>486</v>
      </c>
      <c r="N178" t="s">
        <v>6</v>
      </c>
      <c r="P178" t="s">
        <v>307</v>
      </c>
      <c r="Q178" t="s">
        <v>6</v>
      </c>
      <c r="R178" t="s">
        <v>487</v>
      </c>
      <c r="T178" t="s">
        <v>212</v>
      </c>
      <c r="BH178" s="92" t="s">
        <v>6</v>
      </c>
      <c r="BJ178" s="95" t="str">
        <f>HYPERLINK("#일위대가목록!A32","K01090029000 →")</f>
        <v>K01090029000 →</v>
      </c>
      <c r="CC178" s="92" t="s">
        <v>350</v>
      </c>
    </row>
    <row r="179" spans="1:81" ht="18.399999999999999" customHeight="1" x14ac:dyDescent="0.15">
      <c r="A179" s="91" t="s">
        <v>539</v>
      </c>
      <c r="B179" s="92" t="s">
        <v>540</v>
      </c>
      <c r="C179" s="93">
        <v>211</v>
      </c>
      <c r="D179" s="92" t="s">
        <v>303</v>
      </c>
      <c r="E179" s="93">
        <f t="shared" si="21"/>
        <v>48000</v>
      </c>
      <c r="F179" s="93">
        <f t="shared" si="21"/>
        <v>10128000</v>
      </c>
      <c r="G179" s="93">
        <f>[4]자재조서!E62</f>
        <v>48000</v>
      </c>
      <c r="H179" s="93">
        <f>TRUNC(G179*C179,0)</f>
        <v>10128000</v>
      </c>
      <c r="I179" s="93">
        <v>0</v>
      </c>
      <c r="J179" s="93"/>
      <c r="K179" s="93">
        <v>0</v>
      </c>
      <c r="L179" s="93"/>
      <c r="M179" s="94" t="s">
        <v>541</v>
      </c>
      <c r="N179" t="s">
        <v>6</v>
      </c>
      <c r="P179" t="s">
        <v>311</v>
      </c>
      <c r="Q179" t="s">
        <v>6</v>
      </c>
      <c r="R179" t="s">
        <v>541</v>
      </c>
      <c r="BH179" s="92" t="s">
        <v>6</v>
      </c>
      <c r="BJ179" s="95" t="str">
        <f>HYPERLINK("#자재조서!A62","MZZ00060B →")</f>
        <v>MZZ00060B →</v>
      </c>
      <c r="CC179" s="92" t="s">
        <v>350</v>
      </c>
    </row>
    <row r="180" spans="1:81" ht="18.399999999999999" customHeight="1" x14ac:dyDescent="0.15">
      <c r="A180" s="91" t="s">
        <v>542</v>
      </c>
      <c r="B180" s="92" t="s">
        <v>543</v>
      </c>
      <c r="C180" s="93">
        <v>54</v>
      </c>
      <c r="D180" s="92" t="s">
        <v>410</v>
      </c>
      <c r="E180" s="93">
        <f t="shared" si="21"/>
        <v>1730</v>
      </c>
      <c r="F180" s="93">
        <f t="shared" si="21"/>
        <v>93420</v>
      </c>
      <c r="G180" s="93">
        <f>[4]자재조서!E24</f>
        <v>1730</v>
      </c>
      <c r="H180" s="93">
        <f>TRUNC(G180*C180,0)</f>
        <v>93420</v>
      </c>
      <c r="I180" s="93">
        <v>0</v>
      </c>
      <c r="J180" s="93"/>
      <c r="K180" s="93">
        <v>0</v>
      </c>
      <c r="L180" s="93"/>
      <c r="M180" s="94" t="s">
        <v>544</v>
      </c>
      <c r="N180" t="s">
        <v>545</v>
      </c>
      <c r="P180" t="s">
        <v>316</v>
      </c>
      <c r="Q180" t="s">
        <v>6</v>
      </c>
      <c r="R180" t="s">
        <v>544</v>
      </c>
      <c r="BH180" s="92" t="s">
        <v>6</v>
      </c>
      <c r="BJ180" s="95" t="str">
        <f>HYPERLINK("#자재조서!A24","M0414015A →")</f>
        <v>M0414015A →</v>
      </c>
      <c r="CC180" s="92" t="s">
        <v>350</v>
      </c>
    </row>
    <row r="181" spans="1:81" ht="18.399999999999999" customHeight="1" x14ac:dyDescent="0.15">
      <c r="A181" s="91" t="s">
        <v>580</v>
      </c>
      <c r="B181" s="92" t="s">
        <v>6</v>
      </c>
      <c r="C181" s="92"/>
      <c r="D181" s="92" t="s">
        <v>6</v>
      </c>
      <c r="E181" s="93">
        <f t="shared" si="21"/>
        <v>0</v>
      </c>
      <c r="F181" s="93">
        <f t="shared" si="21"/>
        <v>22322368</v>
      </c>
      <c r="G181" s="90"/>
      <c r="H181" s="93">
        <f>TRUNC(H183+H184+H185+H186+H187+H188+H190+H191+H192+H193+H194+H195+H196+H197+H198,0)</f>
        <v>14189317</v>
      </c>
      <c r="I181" s="90"/>
      <c r="J181" s="93">
        <f>TRUNC(J183+J184+J185+J186+J187+J188+J190+J191+J192+J193+J194+J195+J196+J197+J198,0)</f>
        <v>7331464</v>
      </c>
      <c r="K181" s="90"/>
      <c r="L181" s="93">
        <f>TRUNC(L183+L184+L185+L186+L187+L188+L190+L191+L192+L193+L194+L195+L196+L197+L198,0)</f>
        <v>801587</v>
      </c>
      <c r="M181" s="94" t="s">
        <v>6</v>
      </c>
      <c r="N181" t="s">
        <v>6</v>
      </c>
      <c r="P181" t="s">
        <v>322</v>
      </c>
      <c r="Q181" t="s">
        <v>6</v>
      </c>
      <c r="R181" t="s">
        <v>6</v>
      </c>
      <c r="BH181" s="92" t="s">
        <v>6</v>
      </c>
      <c r="CC181" s="92" t="s">
        <v>345</v>
      </c>
    </row>
    <row r="182" spans="1:81" ht="18.399999999999999" customHeight="1" x14ac:dyDescent="0.15">
      <c r="A182" s="91" t="s">
        <v>581</v>
      </c>
      <c r="B182" s="92" t="s">
        <v>6</v>
      </c>
      <c r="C182" s="92"/>
      <c r="D182" s="92" t="s">
        <v>6</v>
      </c>
      <c r="E182" s="93">
        <f t="shared" si="21"/>
        <v>0</v>
      </c>
      <c r="F182" s="93">
        <f t="shared" si="21"/>
        <v>8502332</v>
      </c>
      <c r="G182" s="90"/>
      <c r="H182" s="93">
        <f>TRUNC(H183+H184+H185+H186+H187+H188,0)</f>
        <v>369281</v>
      </c>
      <c r="I182" s="90"/>
      <c r="J182" s="93">
        <f>TRUNC(J183+J184+J185+J186+J187+J188,0)</f>
        <v>7331464</v>
      </c>
      <c r="K182" s="90"/>
      <c r="L182" s="93">
        <f>TRUNC(L183+L184+L185+L186+L187+L188,0)</f>
        <v>801587</v>
      </c>
      <c r="M182" s="94" t="s">
        <v>6</v>
      </c>
      <c r="N182" t="s">
        <v>6</v>
      </c>
      <c r="P182" t="s">
        <v>326</v>
      </c>
      <c r="Q182" t="s">
        <v>6</v>
      </c>
      <c r="R182" t="s">
        <v>6</v>
      </c>
      <c r="BH182" s="92" t="s">
        <v>6</v>
      </c>
      <c r="CC182" s="92" t="s">
        <v>364</v>
      </c>
    </row>
    <row r="183" spans="1:81" ht="18.399999999999999" customHeight="1" x14ac:dyDescent="0.15">
      <c r="A183" s="91" t="s">
        <v>385</v>
      </c>
      <c r="B183" s="92" t="s">
        <v>436</v>
      </c>
      <c r="C183" s="92">
        <v>0.76900000000000002</v>
      </c>
      <c r="D183" s="92" t="s">
        <v>388</v>
      </c>
      <c r="E183" s="93">
        <f t="shared" si="21"/>
        <v>3152180</v>
      </c>
      <c r="F183" s="93">
        <f t="shared" si="21"/>
        <v>2424025</v>
      </c>
      <c r="G183" s="93">
        <f>[4]일위대가목록!F30</f>
        <v>59475</v>
      </c>
      <c r="H183" s="93">
        <f t="shared" ref="H183:H188" si="24">TRUNC(G183*C183,0)</f>
        <v>45736</v>
      </c>
      <c r="I183" s="93">
        <f>[4]일위대가목록!G30</f>
        <v>2973755</v>
      </c>
      <c r="J183" s="93">
        <f t="shared" ref="J183:J188" si="25">TRUNC(I183*C183,0)</f>
        <v>2286817</v>
      </c>
      <c r="K183" s="93">
        <f>[4]일위대가목록!H30</f>
        <v>118950</v>
      </c>
      <c r="L183" s="93">
        <f t="shared" ref="L183:L188" si="26">TRUNC(K183*C183,0)</f>
        <v>91472</v>
      </c>
      <c r="M183" s="94" t="s">
        <v>437</v>
      </c>
      <c r="N183" t="s">
        <v>6</v>
      </c>
      <c r="P183" t="s">
        <v>328</v>
      </c>
      <c r="Q183" t="s">
        <v>6</v>
      </c>
      <c r="R183" t="s">
        <v>439</v>
      </c>
      <c r="T183" t="s">
        <v>212</v>
      </c>
      <c r="BH183" s="92" t="s">
        <v>6</v>
      </c>
      <c r="BJ183" s="95" t="str">
        <f>HYPERLINK("#일위대가목록!A30","K01090034000 →")</f>
        <v>K01090034000 →</v>
      </c>
      <c r="CC183" s="92" t="s">
        <v>350</v>
      </c>
    </row>
    <row r="184" spans="1:81" ht="18.399999999999999" customHeight="1" x14ac:dyDescent="0.15">
      <c r="A184" s="91" t="s">
        <v>391</v>
      </c>
      <c r="B184" s="92" t="s">
        <v>436</v>
      </c>
      <c r="C184" s="92">
        <v>0.76900000000000002</v>
      </c>
      <c r="D184" s="92" t="s">
        <v>388</v>
      </c>
      <c r="E184" s="93">
        <f t="shared" si="21"/>
        <v>4294167</v>
      </c>
      <c r="F184" s="93">
        <f t="shared" si="21"/>
        <v>3302212</v>
      </c>
      <c r="G184" s="93">
        <f>[4]일위대가목록!F31</f>
        <v>81022</v>
      </c>
      <c r="H184" s="93">
        <f t="shared" si="24"/>
        <v>62305</v>
      </c>
      <c r="I184" s="93">
        <f>[4]일위대가목록!G31</f>
        <v>4051101</v>
      </c>
      <c r="J184" s="93">
        <f t="shared" si="25"/>
        <v>3115296</v>
      </c>
      <c r="K184" s="93">
        <f>[4]일위대가목록!H31</f>
        <v>162044</v>
      </c>
      <c r="L184" s="93">
        <f t="shared" si="26"/>
        <v>124611</v>
      </c>
      <c r="M184" s="94" t="s">
        <v>440</v>
      </c>
      <c r="N184" t="s">
        <v>6</v>
      </c>
      <c r="P184" t="s">
        <v>438</v>
      </c>
      <c r="Q184" t="s">
        <v>6</v>
      </c>
      <c r="R184" t="s">
        <v>442</v>
      </c>
      <c r="T184" t="s">
        <v>212</v>
      </c>
      <c r="BH184" s="92" t="s">
        <v>6</v>
      </c>
      <c r="BJ184" s="95" t="str">
        <f>HYPERLINK("#일위대가목록!A31","K01090035000 →")</f>
        <v>K01090035000 →</v>
      </c>
      <c r="CC184" s="92" t="s">
        <v>350</v>
      </c>
    </row>
    <row r="185" spans="1:81" ht="18.399999999999999" customHeight="1" x14ac:dyDescent="0.15">
      <c r="A185" s="91" t="s">
        <v>395</v>
      </c>
      <c r="B185" s="92" t="s">
        <v>396</v>
      </c>
      <c r="C185" s="93">
        <v>2</v>
      </c>
      <c r="D185" s="92" t="s">
        <v>397</v>
      </c>
      <c r="E185" s="93">
        <f t="shared" si="21"/>
        <v>946634</v>
      </c>
      <c r="F185" s="93">
        <f t="shared" si="21"/>
        <v>1893268</v>
      </c>
      <c r="G185" s="93">
        <f>[4]일위대가목록!F26</f>
        <v>81120</v>
      </c>
      <c r="H185" s="93">
        <f t="shared" si="24"/>
        <v>162240</v>
      </c>
      <c r="I185" s="93">
        <f>[4]일위대가목록!G26</f>
        <v>572762</v>
      </c>
      <c r="J185" s="93">
        <f t="shared" si="25"/>
        <v>1145524</v>
      </c>
      <c r="K185" s="93">
        <f>[4]일위대가목록!H26</f>
        <v>292752</v>
      </c>
      <c r="L185" s="93">
        <f t="shared" si="26"/>
        <v>585504</v>
      </c>
      <c r="M185" s="94" t="s">
        <v>398</v>
      </c>
      <c r="N185" t="s">
        <v>6</v>
      </c>
      <c r="P185" t="s">
        <v>441</v>
      </c>
      <c r="Q185" t="s">
        <v>6</v>
      </c>
      <c r="R185" t="s">
        <v>399</v>
      </c>
      <c r="T185" t="s">
        <v>212</v>
      </c>
      <c r="BH185" s="92" t="s">
        <v>6</v>
      </c>
      <c r="BJ185" s="95" t="str">
        <f>HYPERLINK("#일위대가목록!A26","KR012601 →")</f>
        <v>KR012601 →</v>
      </c>
      <c r="CC185" s="92" t="s">
        <v>350</v>
      </c>
    </row>
    <row r="186" spans="1:81" ht="18.399999999999999" hidden="1" customHeight="1" x14ac:dyDescent="0.15">
      <c r="A186" s="91" t="s">
        <v>400</v>
      </c>
      <c r="B186" s="92" t="s">
        <v>401</v>
      </c>
      <c r="C186" s="93">
        <v>0</v>
      </c>
      <c r="D186" s="92" t="s">
        <v>402</v>
      </c>
      <c r="E186" s="93">
        <f t="shared" si="21"/>
        <v>60173</v>
      </c>
      <c r="F186" s="93">
        <f t="shared" si="21"/>
        <v>0</v>
      </c>
      <c r="G186" s="93">
        <f>[4]일위대가목록!F27</f>
        <v>0</v>
      </c>
      <c r="H186" s="93">
        <f t="shared" si="24"/>
        <v>0</v>
      </c>
      <c r="I186" s="93">
        <f>[4]일위대가목록!G27</f>
        <v>60173</v>
      </c>
      <c r="J186" s="93">
        <f t="shared" si="25"/>
        <v>0</v>
      </c>
      <c r="K186" s="93">
        <f>[4]일위대가목록!H27</f>
        <v>0</v>
      </c>
      <c r="L186" s="93">
        <f t="shared" si="26"/>
        <v>0</v>
      </c>
      <c r="M186" s="94" t="s">
        <v>403</v>
      </c>
      <c r="N186" t="s">
        <v>6</v>
      </c>
      <c r="P186" t="s">
        <v>443</v>
      </c>
      <c r="Q186" t="s">
        <v>6</v>
      </c>
      <c r="R186" t="s">
        <v>404</v>
      </c>
      <c r="T186" t="s">
        <v>212</v>
      </c>
      <c r="BH186" s="92" t="s">
        <v>6</v>
      </c>
      <c r="BJ186" s="95" t="str">
        <f>HYPERLINK("#일위대가목록!A27","KR012602 →")</f>
        <v>KR012602 →</v>
      </c>
      <c r="CC186" s="92" t="s">
        <v>350</v>
      </c>
    </row>
    <row r="187" spans="1:81" ht="18.399999999999999" customHeight="1" x14ac:dyDescent="0.15">
      <c r="A187" s="91" t="s">
        <v>400</v>
      </c>
      <c r="B187" s="92" t="s">
        <v>405</v>
      </c>
      <c r="C187" s="92">
        <v>0.76900000000000002</v>
      </c>
      <c r="D187" s="92" t="s">
        <v>402</v>
      </c>
      <c r="E187" s="93">
        <f t="shared" ref="E187:F222" si="27">G187+I187+K187</f>
        <v>104665</v>
      </c>
      <c r="F187" s="93">
        <f t="shared" si="27"/>
        <v>80487</v>
      </c>
      <c r="G187" s="93">
        <f>[4]일위대가목록!F28</f>
        <v>0</v>
      </c>
      <c r="H187" s="93">
        <f t="shared" si="24"/>
        <v>0</v>
      </c>
      <c r="I187" s="93">
        <f>[4]일위대가목록!G28</f>
        <v>104665</v>
      </c>
      <c r="J187" s="93">
        <f t="shared" si="25"/>
        <v>80487</v>
      </c>
      <c r="K187" s="93">
        <f>[4]일위대가목록!H28</f>
        <v>0</v>
      </c>
      <c r="L187" s="93">
        <f t="shared" si="26"/>
        <v>0</v>
      </c>
      <c r="M187" s="94" t="s">
        <v>406</v>
      </c>
      <c r="N187" t="s">
        <v>6</v>
      </c>
      <c r="P187" t="s">
        <v>444</v>
      </c>
      <c r="Q187" t="s">
        <v>6</v>
      </c>
      <c r="R187" t="s">
        <v>407</v>
      </c>
      <c r="T187" t="s">
        <v>212</v>
      </c>
      <c r="BH187" s="92" t="s">
        <v>6</v>
      </c>
      <c r="BJ187" s="95" t="str">
        <f>HYPERLINK("#일위대가목록!A28","KR012603 →")</f>
        <v>KR012603 →</v>
      </c>
      <c r="CC187" s="92" t="s">
        <v>350</v>
      </c>
    </row>
    <row r="188" spans="1:81" ht="18.399999999999999" customHeight="1" x14ac:dyDescent="0.15">
      <c r="A188" s="91" t="s">
        <v>408</v>
      </c>
      <c r="B188" s="92" t="s">
        <v>409</v>
      </c>
      <c r="C188" s="93">
        <v>10</v>
      </c>
      <c r="D188" s="92" t="s">
        <v>410</v>
      </c>
      <c r="E188" s="93">
        <f t="shared" si="27"/>
        <v>80234</v>
      </c>
      <c r="F188" s="93">
        <f t="shared" si="27"/>
        <v>802340</v>
      </c>
      <c r="G188" s="93">
        <f>[4]일위대가목록!F29</f>
        <v>9900</v>
      </c>
      <c r="H188" s="93">
        <f t="shared" si="24"/>
        <v>99000</v>
      </c>
      <c r="I188" s="93">
        <f>[4]일위대가목록!G29</f>
        <v>70334</v>
      </c>
      <c r="J188" s="93">
        <f t="shared" si="25"/>
        <v>703340</v>
      </c>
      <c r="K188" s="93">
        <f>[4]일위대가목록!H29</f>
        <v>0</v>
      </c>
      <c r="L188" s="93">
        <f t="shared" si="26"/>
        <v>0</v>
      </c>
      <c r="M188" s="94" t="s">
        <v>411</v>
      </c>
      <c r="N188" t="s">
        <v>6</v>
      </c>
      <c r="P188" t="s">
        <v>445</v>
      </c>
      <c r="Q188" t="s">
        <v>6</v>
      </c>
      <c r="R188" t="s">
        <v>412</v>
      </c>
      <c r="T188" t="s">
        <v>212</v>
      </c>
      <c r="BH188" s="92" t="s">
        <v>6</v>
      </c>
      <c r="BJ188" s="95" t="str">
        <f>HYPERLINK("#일위대가목록!A29","K03H1H202650 →")</f>
        <v>K03H1H202650 →</v>
      </c>
      <c r="CC188" s="92" t="s">
        <v>350</v>
      </c>
    </row>
    <row r="189" spans="1:81" ht="18.399999999999999" customHeight="1" x14ac:dyDescent="0.15">
      <c r="A189" s="91" t="s">
        <v>582</v>
      </c>
      <c r="B189" s="92" t="s">
        <v>6</v>
      </c>
      <c r="C189" s="92"/>
      <c r="D189" s="92" t="s">
        <v>6</v>
      </c>
      <c r="E189" s="93">
        <f t="shared" si="27"/>
        <v>0</v>
      </c>
      <c r="F189" s="93">
        <f t="shared" si="27"/>
        <v>13820036</v>
      </c>
      <c r="G189" s="90"/>
      <c r="H189" s="93">
        <f>TRUNC(H190+H191+H192+H193+H194+H195+H196+H197+H198,0)</f>
        <v>13820036</v>
      </c>
      <c r="I189" s="90"/>
      <c r="J189" s="93">
        <f>TRUNC(J190+J191+J192+J193+J194+J195+J196+J197+J198,0)</f>
        <v>0</v>
      </c>
      <c r="K189" s="90"/>
      <c r="L189" s="93">
        <f>TRUNC(L190+L191+L192+L193+L194+L195+L196+L197+L198,0)</f>
        <v>0</v>
      </c>
      <c r="M189" s="94" t="s">
        <v>6</v>
      </c>
      <c r="N189" t="s">
        <v>6</v>
      </c>
      <c r="P189" t="s">
        <v>446</v>
      </c>
      <c r="Q189" t="s">
        <v>6</v>
      </c>
      <c r="R189" t="s">
        <v>6</v>
      </c>
      <c r="BH189" s="92" t="s">
        <v>6</v>
      </c>
      <c r="CC189" s="92" t="s">
        <v>364</v>
      </c>
    </row>
    <row r="190" spans="1:81" ht="18.399999999999999" hidden="1" customHeight="1" x14ac:dyDescent="0.15">
      <c r="A190" s="91" t="s">
        <v>449</v>
      </c>
      <c r="B190" s="92" t="s">
        <v>450</v>
      </c>
      <c r="C190" s="93">
        <v>0</v>
      </c>
      <c r="D190" s="92" t="s">
        <v>402</v>
      </c>
      <c r="E190" s="93">
        <f t="shared" si="27"/>
        <v>3550000</v>
      </c>
      <c r="F190" s="93">
        <f t="shared" si="27"/>
        <v>0</v>
      </c>
      <c r="G190" s="93">
        <f>[4]자재조서!E19</f>
        <v>3550000</v>
      </c>
      <c r="H190" s="93">
        <f t="shared" ref="H190:H198" si="28">TRUNC(G190*C190,0)</f>
        <v>0</v>
      </c>
      <c r="I190" s="93">
        <v>0</v>
      </c>
      <c r="J190" s="93"/>
      <c r="K190" s="93">
        <v>0</v>
      </c>
      <c r="L190" s="93"/>
      <c r="M190" s="94" t="s">
        <v>451</v>
      </c>
      <c r="N190" t="s">
        <v>6</v>
      </c>
      <c r="P190" t="s">
        <v>448</v>
      </c>
      <c r="Q190" t="s">
        <v>6</v>
      </c>
      <c r="R190" t="s">
        <v>451</v>
      </c>
      <c r="BH190" s="92" t="s">
        <v>6</v>
      </c>
      <c r="BJ190" s="95" t="str">
        <f>HYPERLINK("#자재조서!A19","M0195057 →")</f>
        <v>M0195057 →</v>
      </c>
      <c r="CC190" s="92" t="s">
        <v>350</v>
      </c>
    </row>
    <row r="191" spans="1:81" ht="18.399999999999999" customHeight="1" x14ac:dyDescent="0.15">
      <c r="A191" s="91" t="s">
        <v>453</v>
      </c>
      <c r="B191" s="92" t="s">
        <v>454</v>
      </c>
      <c r="C191" s="93">
        <v>61</v>
      </c>
      <c r="D191" s="92" t="s">
        <v>410</v>
      </c>
      <c r="E191" s="93">
        <f t="shared" si="27"/>
        <v>14420</v>
      </c>
      <c r="F191" s="93">
        <f t="shared" si="27"/>
        <v>879620</v>
      </c>
      <c r="G191" s="93">
        <f>[4]자재조서!E23</f>
        <v>14420</v>
      </c>
      <c r="H191" s="93">
        <f t="shared" si="28"/>
        <v>879620</v>
      </c>
      <c r="I191" s="93">
        <v>0</v>
      </c>
      <c r="J191" s="93"/>
      <c r="K191" s="93">
        <v>0</v>
      </c>
      <c r="L191" s="93"/>
      <c r="M191" s="94" t="s">
        <v>455</v>
      </c>
      <c r="N191" t="s">
        <v>431</v>
      </c>
      <c r="P191" t="s">
        <v>452</v>
      </c>
      <c r="Q191" t="s">
        <v>6</v>
      </c>
      <c r="R191" t="s">
        <v>455</v>
      </c>
      <c r="BH191" s="92" t="s">
        <v>6</v>
      </c>
      <c r="BJ191" s="95" t="str">
        <f>HYPERLINK("#자재조서!A23","M0240087 →")</f>
        <v>M0240087 →</v>
      </c>
      <c r="CC191" s="92" t="s">
        <v>350</v>
      </c>
    </row>
    <row r="192" spans="1:81" ht="18.399999999999999" customHeight="1" x14ac:dyDescent="0.15">
      <c r="A192" s="91" t="s">
        <v>453</v>
      </c>
      <c r="B192" s="92" t="s">
        <v>454</v>
      </c>
      <c r="C192" s="93">
        <v>261</v>
      </c>
      <c r="D192" s="92" t="s">
        <v>410</v>
      </c>
      <c r="E192" s="93">
        <f t="shared" si="27"/>
        <v>14420</v>
      </c>
      <c r="F192" s="93">
        <f t="shared" si="27"/>
        <v>3763620</v>
      </c>
      <c r="G192" s="93">
        <f>[4]자재조서!E23</f>
        <v>14420</v>
      </c>
      <c r="H192" s="93">
        <f t="shared" si="28"/>
        <v>3763620</v>
      </c>
      <c r="I192" s="93">
        <v>0</v>
      </c>
      <c r="J192" s="93"/>
      <c r="K192" s="93">
        <v>0</v>
      </c>
      <c r="L192" s="93"/>
      <c r="M192" s="94" t="s">
        <v>455</v>
      </c>
      <c r="N192" t="s">
        <v>431</v>
      </c>
      <c r="P192" t="s">
        <v>456</v>
      </c>
      <c r="Q192" t="s">
        <v>6</v>
      </c>
      <c r="R192" t="s">
        <v>455</v>
      </c>
      <c r="BH192" s="92" t="s">
        <v>6</v>
      </c>
      <c r="BJ192" s="95" t="str">
        <f>HYPERLINK("#자재조서!A23","M0240087 →")</f>
        <v>M0240087 →</v>
      </c>
      <c r="CC192" s="92" t="s">
        <v>350</v>
      </c>
    </row>
    <row r="193" spans="1:81" ht="18.399999999999999" customHeight="1" x14ac:dyDescent="0.15">
      <c r="A193" s="91" t="s">
        <v>453</v>
      </c>
      <c r="B193" s="92" t="s">
        <v>458</v>
      </c>
      <c r="C193" s="93">
        <v>367</v>
      </c>
      <c r="D193" s="92" t="s">
        <v>410</v>
      </c>
      <c r="E193" s="93">
        <f t="shared" si="27"/>
        <v>10710</v>
      </c>
      <c r="F193" s="93">
        <f t="shared" si="27"/>
        <v>3930570</v>
      </c>
      <c r="G193" s="93">
        <f>[4]자재조서!E21</f>
        <v>10710</v>
      </c>
      <c r="H193" s="93">
        <f t="shared" si="28"/>
        <v>3930570</v>
      </c>
      <c r="I193" s="93">
        <v>0</v>
      </c>
      <c r="J193" s="93"/>
      <c r="K193" s="93">
        <v>0</v>
      </c>
      <c r="L193" s="93"/>
      <c r="M193" s="94" t="s">
        <v>459</v>
      </c>
      <c r="N193" t="s">
        <v>431</v>
      </c>
      <c r="P193" t="s">
        <v>457</v>
      </c>
      <c r="Q193" t="s">
        <v>6</v>
      </c>
      <c r="R193" t="s">
        <v>459</v>
      </c>
      <c r="BH193" s="92" t="s">
        <v>6</v>
      </c>
      <c r="BJ193" s="95" t="str">
        <f>HYPERLINK("#자재조서!A21","M0240075 →")</f>
        <v>M0240075 →</v>
      </c>
      <c r="CC193" s="92" t="s">
        <v>350</v>
      </c>
    </row>
    <row r="194" spans="1:81" ht="18.399999999999999" customHeight="1" x14ac:dyDescent="0.15">
      <c r="A194" s="91" t="s">
        <v>453</v>
      </c>
      <c r="B194" s="92" t="s">
        <v>461</v>
      </c>
      <c r="C194" s="92">
        <v>0.43</v>
      </c>
      <c r="D194" s="92" t="s">
        <v>410</v>
      </c>
      <c r="E194" s="93">
        <f t="shared" si="27"/>
        <v>7510</v>
      </c>
      <c r="F194" s="93">
        <f t="shared" si="27"/>
        <v>3229</v>
      </c>
      <c r="G194" s="93">
        <f>[4]자재조서!E22</f>
        <v>7510</v>
      </c>
      <c r="H194" s="93">
        <f t="shared" si="28"/>
        <v>3229</v>
      </c>
      <c r="I194" s="93">
        <v>0</v>
      </c>
      <c r="J194" s="93"/>
      <c r="K194" s="93">
        <v>0</v>
      </c>
      <c r="L194" s="93"/>
      <c r="M194" s="94" t="s">
        <v>462</v>
      </c>
      <c r="N194" t="s">
        <v>6</v>
      </c>
      <c r="P194" t="s">
        <v>460</v>
      </c>
      <c r="Q194" t="s">
        <v>6</v>
      </c>
      <c r="R194" t="s">
        <v>462</v>
      </c>
      <c r="BH194" s="92" t="s">
        <v>6</v>
      </c>
      <c r="BJ194" s="95" t="str">
        <f>HYPERLINK("#자재조서!A22","M0240078 →")</f>
        <v>M0240078 →</v>
      </c>
      <c r="CC194" s="92" t="s">
        <v>350</v>
      </c>
    </row>
    <row r="195" spans="1:81" ht="18.399999999999999" customHeight="1" x14ac:dyDescent="0.15">
      <c r="A195" s="91" t="s">
        <v>453</v>
      </c>
      <c r="B195" s="92" t="s">
        <v>464</v>
      </c>
      <c r="C195" s="92">
        <v>0.86</v>
      </c>
      <c r="D195" s="92" t="s">
        <v>410</v>
      </c>
      <c r="E195" s="93">
        <f t="shared" si="27"/>
        <v>4660</v>
      </c>
      <c r="F195" s="93">
        <f t="shared" si="27"/>
        <v>4007</v>
      </c>
      <c r="G195" s="93">
        <f>[4]자재조서!E20</f>
        <v>4660</v>
      </c>
      <c r="H195" s="93">
        <f t="shared" si="28"/>
        <v>4007</v>
      </c>
      <c r="I195" s="93">
        <v>0</v>
      </c>
      <c r="J195" s="93"/>
      <c r="K195" s="93">
        <v>0</v>
      </c>
      <c r="L195" s="93"/>
      <c r="M195" s="94" t="s">
        <v>465</v>
      </c>
      <c r="N195" t="s">
        <v>6</v>
      </c>
      <c r="P195" t="s">
        <v>463</v>
      </c>
      <c r="Q195" t="s">
        <v>6</v>
      </c>
      <c r="R195" t="s">
        <v>465</v>
      </c>
      <c r="BH195" s="92" t="s">
        <v>6</v>
      </c>
      <c r="BJ195" s="95" t="str">
        <f>HYPERLINK("#자재조서!A20","M0240056 →")</f>
        <v>M0240056 →</v>
      </c>
      <c r="CC195" s="92" t="s">
        <v>350</v>
      </c>
    </row>
    <row r="196" spans="1:81" ht="18.399999999999999" customHeight="1" x14ac:dyDescent="0.15">
      <c r="A196" s="91" t="s">
        <v>467</v>
      </c>
      <c r="B196" s="92" t="s">
        <v>468</v>
      </c>
      <c r="C196" s="93">
        <v>123</v>
      </c>
      <c r="D196" s="92" t="s">
        <v>469</v>
      </c>
      <c r="E196" s="93">
        <f t="shared" si="27"/>
        <v>32730</v>
      </c>
      <c r="F196" s="93">
        <f t="shared" si="27"/>
        <v>4025790</v>
      </c>
      <c r="G196" s="93">
        <f>[4]자재조서!E26</f>
        <v>32730</v>
      </c>
      <c r="H196" s="93">
        <f t="shared" si="28"/>
        <v>4025790</v>
      </c>
      <c r="I196" s="93">
        <v>0</v>
      </c>
      <c r="J196" s="93"/>
      <c r="K196" s="93">
        <v>0</v>
      </c>
      <c r="L196" s="93"/>
      <c r="M196" s="94" t="s">
        <v>470</v>
      </c>
      <c r="N196" t="s">
        <v>471</v>
      </c>
      <c r="P196" t="s">
        <v>466</v>
      </c>
      <c r="Q196" t="s">
        <v>6</v>
      </c>
      <c r="R196" t="s">
        <v>470</v>
      </c>
      <c r="BH196" s="92" t="s">
        <v>6</v>
      </c>
      <c r="BJ196" s="95" t="str">
        <f>HYPERLINK("#자재조서!A26","M0687017 →")</f>
        <v>M0687017 →</v>
      </c>
      <c r="CC196" s="92" t="s">
        <v>350</v>
      </c>
    </row>
    <row r="197" spans="1:81" ht="18.399999999999999" customHeight="1" x14ac:dyDescent="0.15">
      <c r="A197" s="91" t="s">
        <v>549</v>
      </c>
      <c r="B197" s="92" t="s">
        <v>6</v>
      </c>
      <c r="C197" s="93">
        <v>322</v>
      </c>
      <c r="D197" s="92" t="s">
        <v>303</v>
      </c>
      <c r="E197" s="93">
        <f t="shared" si="27"/>
        <v>3600</v>
      </c>
      <c r="F197" s="93">
        <f t="shared" si="27"/>
        <v>1159200</v>
      </c>
      <c r="G197" s="93">
        <f>[4]자재조서!E70</f>
        <v>3600</v>
      </c>
      <c r="H197" s="93">
        <f t="shared" si="28"/>
        <v>1159200</v>
      </c>
      <c r="I197" s="93">
        <v>0</v>
      </c>
      <c r="J197" s="93"/>
      <c r="K197" s="93">
        <v>0</v>
      </c>
      <c r="L197" s="93"/>
      <c r="M197" s="94" t="s">
        <v>550</v>
      </c>
      <c r="N197" t="s">
        <v>551</v>
      </c>
      <c r="P197" t="s">
        <v>472</v>
      </c>
      <c r="Q197" t="s">
        <v>6</v>
      </c>
      <c r="R197" t="s">
        <v>550</v>
      </c>
      <c r="BH197" s="92" t="s">
        <v>6</v>
      </c>
      <c r="BJ197" s="95" t="str">
        <f>HYPERLINK("#자재조서!A70","MZZ10070 →")</f>
        <v>MZZ10070 →</v>
      </c>
      <c r="CC197" s="92" t="s">
        <v>350</v>
      </c>
    </row>
    <row r="198" spans="1:81" ht="18.399999999999999" customHeight="1" x14ac:dyDescent="0.15">
      <c r="A198" s="91" t="s">
        <v>552</v>
      </c>
      <c r="B198" s="92" t="s">
        <v>553</v>
      </c>
      <c r="C198" s="93">
        <v>54</v>
      </c>
      <c r="D198" s="92" t="s">
        <v>410</v>
      </c>
      <c r="E198" s="93">
        <f t="shared" si="27"/>
        <v>1000</v>
      </c>
      <c r="F198" s="93">
        <f t="shared" si="27"/>
        <v>54000</v>
      </c>
      <c r="G198" s="93">
        <f>[4]자재조서!E71</f>
        <v>1000</v>
      </c>
      <c r="H198" s="93">
        <f t="shared" si="28"/>
        <v>54000</v>
      </c>
      <c r="I198" s="93">
        <v>0</v>
      </c>
      <c r="J198" s="93"/>
      <c r="K198" s="93">
        <v>0</v>
      </c>
      <c r="L198" s="93"/>
      <c r="M198" s="94" t="s">
        <v>554</v>
      </c>
      <c r="N198" t="s">
        <v>6</v>
      </c>
      <c r="P198" t="s">
        <v>474</v>
      </c>
      <c r="Q198" t="s">
        <v>6</v>
      </c>
      <c r="R198" t="s">
        <v>554</v>
      </c>
      <c r="BH198" s="92" t="s">
        <v>6</v>
      </c>
      <c r="BJ198" s="95" t="str">
        <f>HYPERLINK("#자재조서!A71","MZZ10080 →")</f>
        <v>MZZ10080 →</v>
      </c>
      <c r="CC198" s="92" t="s">
        <v>350</v>
      </c>
    </row>
    <row r="199" spans="1:81" ht="18.399999999999999" hidden="1" customHeight="1" x14ac:dyDescent="0.15">
      <c r="A199" s="91" t="s">
        <v>583</v>
      </c>
      <c r="B199" s="92" t="s">
        <v>584</v>
      </c>
      <c r="C199" s="92"/>
      <c r="D199" s="92" t="s">
        <v>6</v>
      </c>
      <c r="E199" s="93">
        <f t="shared" si="27"/>
        <v>0</v>
      </c>
      <c r="F199" s="93">
        <f t="shared" si="27"/>
        <v>0</v>
      </c>
      <c r="G199" s="90"/>
      <c r="H199" s="93">
        <f>TRUNC(H201+H202+H203+H204+H205+H207+H208+H209+H210+H211,0)</f>
        <v>0</v>
      </c>
      <c r="I199" s="90"/>
      <c r="J199" s="93">
        <f>TRUNC(J201+J202+J203+J204+J205+J207+J208+J209+J210+J211,0)</f>
        <v>0</v>
      </c>
      <c r="K199" s="90"/>
      <c r="L199" s="93">
        <f>TRUNC(L201+L202+L203+L204+L205+L207+L208+L209+L210+L211,0)</f>
        <v>0</v>
      </c>
      <c r="M199" s="94" t="s">
        <v>6</v>
      </c>
      <c r="N199" t="s">
        <v>6</v>
      </c>
      <c r="P199" t="s">
        <v>478</v>
      </c>
      <c r="Q199" t="s">
        <v>6</v>
      </c>
      <c r="R199" t="s">
        <v>6</v>
      </c>
      <c r="BH199" s="92" t="s">
        <v>6</v>
      </c>
      <c r="CC199" s="92" t="s">
        <v>345</v>
      </c>
    </row>
    <row r="200" spans="1:81" ht="18.399999999999999" hidden="1" customHeight="1" x14ac:dyDescent="0.15">
      <c r="A200" s="91" t="s">
        <v>585</v>
      </c>
      <c r="B200" s="92" t="s">
        <v>6</v>
      </c>
      <c r="C200" s="92"/>
      <c r="D200" s="92" t="s">
        <v>6</v>
      </c>
      <c r="E200" s="93">
        <f t="shared" si="27"/>
        <v>0</v>
      </c>
      <c r="F200" s="93">
        <f t="shared" si="27"/>
        <v>0</v>
      </c>
      <c r="G200" s="90"/>
      <c r="H200" s="93">
        <f>TRUNC(H201+H202+H203+H204+H205,0)</f>
        <v>0</v>
      </c>
      <c r="I200" s="90"/>
      <c r="J200" s="93">
        <f>TRUNC(J201+J202+J203+J204+J205,0)</f>
        <v>0</v>
      </c>
      <c r="K200" s="90"/>
      <c r="L200" s="93">
        <f>TRUNC(L201+L202+L203+L204+L205,0)</f>
        <v>0</v>
      </c>
      <c r="M200" s="94" t="s">
        <v>6</v>
      </c>
      <c r="N200" t="s">
        <v>6</v>
      </c>
      <c r="P200" t="s">
        <v>482</v>
      </c>
      <c r="Q200" t="s">
        <v>6</v>
      </c>
      <c r="R200" t="s">
        <v>6</v>
      </c>
      <c r="BH200" s="92" t="s">
        <v>6</v>
      </c>
      <c r="CC200" s="92" t="s">
        <v>364</v>
      </c>
    </row>
    <row r="201" spans="1:81" ht="18.399999999999999" hidden="1" customHeight="1" x14ac:dyDescent="0.15">
      <c r="A201" s="91" t="s">
        <v>385</v>
      </c>
      <c r="B201" s="92" t="s">
        <v>436</v>
      </c>
      <c r="C201" s="93">
        <v>0</v>
      </c>
      <c r="D201" s="92" t="s">
        <v>388</v>
      </c>
      <c r="E201" s="93">
        <f t="shared" si="27"/>
        <v>3152180</v>
      </c>
      <c r="F201" s="93">
        <f t="shared" si="27"/>
        <v>0</v>
      </c>
      <c r="G201" s="93">
        <f>[4]일위대가목록!F30</f>
        <v>59475</v>
      </c>
      <c r="H201" s="93">
        <f>TRUNC(G201*C201,0)</f>
        <v>0</v>
      </c>
      <c r="I201" s="93">
        <f>[4]일위대가목록!G30</f>
        <v>2973755</v>
      </c>
      <c r="J201" s="93">
        <f>TRUNC(I201*C201,0)</f>
        <v>0</v>
      </c>
      <c r="K201" s="93">
        <f>[4]일위대가목록!H30</f>
        <v>118950</v>
      </c>
      <c r="L201" s="93">
        <f>TRUNC(K201*C201,0)</f>
        <v>0</v>
      </c>
      <c r="M201" s="94" t="s">
        <v>437</v>
      </c>
      <c r="N201" t="s">
        <v>6</v>
      </c>
      <c r="P201" t="s">
        <v>483</v>
      </c>
      <c r="Q201" t="s">
        <v>6</v>
      </c>
      <c r="R201" t="s">
        <v>439</v>
      </c>
      <c r="T201" t="s">
        <v>212</v>
      </c>
      <c r="BH201" s="92" t="s">
        <v>6</v>
      </c>
      <c r="BJ201" s="95" t="str">
        <f>HYPERLINK("#일위대가목록!A30","K01090034000 →")</f>
        <v>K01090034000 →</v>
      </c>
      <c r="CC201" s="92" t="s">
        <v>350</v>
      </c>
    </row>
    <row r="202" spans="1:81" ht="18.399999999999999" hidden="1" customHeight="1" x14ac:dyDescent="0.15">
      <c r="A202" s="91" t="s">
        <v>391</v>
      </c>
      <c r="B202" s="92" t="s">
        <v>436</v>
      </c>
      <c r="C202" s="93">
        <v>0</v>
      </c>
      <c r="D202" s="92" t="s">
        <v>388</v>
      </c>
      <c r="E202" s="93">
        <f t="shared" si="27"/>
        <v>4294167</v>
      </c>
      <c r="F202" s="93">
        <f t="shared" si="27"/>
        <v>0</v>
      </c>
      <c r="G202" s="93">
        <f>[4]일위대가목록!F31</f>
        <v>81022</v>
      </c>
      <c r="H202" s="93">
        <f>TRUNC(G202*C202,0)</f>
        <v>0</v>
      </c>
      <c r="I202" s="93">
        <f>[4]일위대가목록!G31</f>
        <v>4051101</v>
      </c>
      <c r="J202" s="93">
        <f>TRUNC(I202*C202,0)</f>
        <v>0</v>
      </c>
      <c r="K202" s="93">
        <f>[4]일위대가목록!H31</f>
        <v>162044</v>
      </c>
      <c r="L202" s="93">
        <f>TRUNC(K202*C202,0)</f>
        <v>0</v>
      </c>
      <c r="M202" s="94" t="s">
        <v>440</v>
      </c>
      <c r="N202" t="s">
        <v>6</v>
      </c>
      <c r="P202" t="s">
        <v>557</v>
      </c>
      <c r="Q202" t="s">
        <v>6</v>
      </c>
      <c r="R202" t="s">
        <v>442</v>
      </c>
      <c r="T202" t="s">
        <v>212</v>
      </c>
      <c r="BH202" s="92" t="s">
        <v>6</v>
      </c>
      <c r="BJ202" s="95" t="str">
        <f>HYPERLINK("#일위대가목록!A31","K01090035000 →")</f>
        <v>K01090035000 →</v>
      </c>
      <c r="CC202" s="92" t="s">
        <v>350</v>
      </c>
    </row>
    <row r="203" spans="1:81" ht="18.399999999999999" hidden="1" customHeight="1" x14ac:dyDescent="0.15">
      <c r="A203" s="91" t="s">
        <v>395</v>
      </c>
      <c r="B203" s="92" t="s">
        <v>396</v>
      </c>
      <c r="C203" s="93">
        <v>0</v>
      </c>
      <c r="D203" s="92" t="s">
        <v>397</v>
      </c>
      <c r="E203" s="93">
        <f t="shared" si="27"/>
        <v>946634</v>
      </c>
      <c r="F203" s="93">
        <f t="shared" si="27"/>
        <v>0</v>
      </c>
      <c r="G203" s="93">
        <f>[4]일위대가목록!F26</f>
        <v>81120</v>
      </c>
      <c r="H203" s="93">
        <f>TRUNC(G203*C203,0)</f>
        <v>0</v>
      </c>
      <c r="I203" s="93">
        <f>[4]일위대가목록!G26</f>
        <v>572762</v>
      </c>
      <c r="J203" s="93">
        <f>TRUNC(I203*C203,0)</f>
        <v>0</v>
      </c>
      <c r="K203" s="93">
        <f>[4]일위대가목록!H26</f>
        <v>292752</v>
      </c>
      <c r="L203" s="93">
        <f>TRUNC(K203*C203,0)</f>
        <v>0</v>
      </c>
      <c r="M203" s="94" t="s">
        <v>398</v>
      </c>
      <c r="N203" t="s">
        <v>6</v>
      </c>
      <c r="P203" t="s">
        <v>560</v>
      </c>
      <c r="Q203" t="s">
        <v>6</v>
      </c>
      <c r="R203" t="s">
        <v>399</v>
      </c>
      <c r="T203" t="s">
        <v>212</v>
      </c>
      <c r="BH203" s="92" t="s">
        <v>6</v>
      </c>
      <c r="BJ203" s="95" t="str">
        <f>HYPERLINK("#일위대가목록!A26","KR012601 →")</f>
        <v>KR012601 →</v>
      </c>
      <c r="CC203" s="92" t="s">
        <v>350</v>
      </c>
    </row>
    <row r="204" spans="1:81" ht="18.399999999999999" hidden="1" customHeight="1" x14ac:dyDescent="0.15">
      <c r="A204" s="91" t="s">
        <v>400</v>
      </c>
      <c r="B204" s="92" t="s">
        <v>401</v>
      </c>
      <c r="C204" s="93">
        <v>0</v>
      </c>
      <c r="D204" s="92" t="s">
        <v>402</v>
      </c>
      <c r="E204" s="93">
        <f t="shared" si="27"/>
        <v>60173</v>
      </c>
      <c r="F204" s="93">
        <f t="shared" si="27"/>
        <v>0</v>
      </c>
      <c r="G204" s="93">
        <f>[4]일위대가목록!F27</f>
        <v>0</v>
      </c>
      <c r="H204" s="93">
        <f>TRUNC(G204*C204,0)</f>
        <v>0</v>
      </c>
      <c r="I204" s="93">
        <f>[4]일위대가목록!G27</f>
        <v>60173</v>
      </c>
      <c r="J204" s="93">
        <f>TRUNC(I204*C204,0)</f>
        <v>0</v>
      </c>
      <c r="K204" s="93">
        <f>[4]일위대가목록!H27</f>
        <v>0</v>
      </c>
      <c r="L204" s="93">
        <f>TRUNC(K204*C204,0)</f>
        <v>0</v>
      </c>
      <c r="M204" s="94" t="s">
        <v>403</v>
      </c>
      <c r="N204" t="s">
        <v>6</v>
      </c>
      <c r="P204" t="s">
        <v>562</v>
      </c>
      <c r="Q204" t="s">
        <v>6</v>
      </c>
      <c r="R204" t="s">
        <v>404</v>
      </c>
      <c r="T204" t="s">
        <v>212</v>
      </c>
      <c r="BH204" s="92" t="s">
        <v>6</v>
      </c>
      <c r="BJ204" s="95" t="str">
        <f>HYPERLINK("#일위대가목록!A27","KR012602 →")</f>
        <v>KR012602 →</v>
      </c>
      <c r="CC204" s="92" t="s">
        <v>350</v>
      </c>
    </row>
    <row r="205" spans="1:81" ht="18.399999999999999" hidden="1" customHeight="1" x14ac:dyDescent="0.15">
      <c r="A205" s="91" t="s">
        <v>400</v>
      </c>
      <c r="B205" s="92" t="s">
        <v>405</v>
      </c>
      <c r="C205" s="93">
        <v>0</v>
      </c>
      <c r="D205" s="92" t="s">
        <v>402</v>
      </c>
      <c r="E205" s="93">
        <f t="shared" si="27"/>
        <v>104665</v>
      </c>
      <c r="F205" s="93">
        <f t="shared" si="27"/>
        <v>0</v>
      </c>
      <c r="G205" s="93">
        <f>[4]일위대가목록!F28</f>
        <v>0</v>
      </c>
      <c r="H205" s="93">
        <f>TRUNC(G205*C205,0)</f>
        <v>0</v>
      </c>
      <c r="I205" s="93">
        <f>[4]일위대가목록!G28</f>
        <v>104665</v>
      </c>
      <c r="J205" s="93">
        <f>TRUNC(I205*C205,0)</f>
        <v>0</v>
      </c>
      <c r="K205" s="93">
        <f>[4]일위대가목록!H28</f>
        <v>0</v>
      </c>
      <c r="L205" s="93">
        <f>TRUNC(K205*C205,0)</f>
        <v>0</v>
      </c>
      <c r="M205" s="94" t="s">
        <v>406</v>
      </c>
      <c r="N205" t="s">
        <v>6</v>
      </c>
      <c r="P205" t="s">
        <v>563</v>
      </c>
      <c r="Q205" t="s">
        <v>6</v>
      </c>
      <c r="R205" t="s">
        <v>407</v>
      </c>
      <c r="T205" t="s">
        <v>212</v>
      </c>
      <c r="BH205" s="92" t="s">
        <v>6</v>
      </c>
      <c r="BJ205" s="95" t="str">
        <f>HYPERLINK("#일위대가목록!A28","KR012603 →")</f>
        <v>KR012603 →</v>
      </c>
      <c r="CC205" s="92" t="s">
        <v>350</v>
      </c>
    </row>
    <row r="206" spans="1:81" ht="18.399999999999999" hidden="1" customHeight="1" x14ac:dyDescent="0.15">
      <c r="A206" s="91" t="s">
        <v>586</v>
      </c>
      <c r="B206" s="92" t="s">
        <v>6</v>
      </c>
      <c r="C206" s="92"/>
      <c r="D206" s="92" t="s">
        <v>6</v>
      </c>
      <c r="E206" s="93">
        <f t="shared" si="27"/>
        <v>0</v>
      </c>
      <c r="F206" s="93">
        <f t="shared" si="27"/>
        <v>0</v>
      </c>
      <c r="G206" s="90"/>
      <c r="H206" s="93">
        <f>TRUNC(H207+H208+H209+H210+H211,0)</f>
        <v>0</v>
      </c>
      <c r="I206" s="90"/>
      <c r="J206" s="93">
        <f>TRUNC(J207+J208+J209+J210+J211,0)</f>
        <v>0</v>
      </c>
      <c r="K206" s="90"/>
      <c r="L206" s="93">
        <f>TRUNC(L207+L208+L209+L210+L211,0)</f>
        <v>0</v>
      </c>
      <c r="M206" s="94" t="s">
        <v>6</v>
      </c>
      <c r="N206" t="s">
        <v>6</v>
      </c>
      <c r="P206" t="s">
        <v>564</v>
      </c>
      <c r="Q206" t="s">
        <v>6</v>
      </c>
      <c r="R206" t="s">
        <v>6</v>
      </c>
      <c r="BH206" s="92" t="s">
        <v>6</v>
      </c>
      <c r="CC206" s="92" t="s">
        <v>364</v>
      </c>
    </row>
    <row r="207" spans="1:81" ht="18.399999999999999" hidden="1" customHeight="1" x14ac:dyDescent="0.15">
      <c r="A207" s="91" t="s">
        <v>414</v>
      </c>
      <c r="B207" s="92" t="s">
        <v>415</v>
      </c>
      <c r="C207" s="93">
        <v>0</v>
      </c>
      <c r="D207" s="92" t="s">
        <v>402</v>
      </c>
      <c r="E207" s="93">
        <f t="shared" si="27"/>
        <v>1437500</v>
      </c>
      <c r="F207" s="93">
        <f t="shared" si="27"/>
        <v>0</v>
      </c>
      <c r="G207" s="93">
        <f>[4]자재조서!E12</f>
        <v>1437500</v>
      </c>
      <c r="H207" s="93">
        <f>TRUNC(G207*C207,0)</f>
        <v>0</v>
      </c>
      <c r="I207" s="93">
        <v>0</v>
      </c>
      <c r="J207" s="93"/>
      <c r="K207" s="93">
        <v>0</v>
      </c>
      <c r="L207" s="93"/>
      <c r="M207" s="94" t="s">
        <v>416</v>
      </c>
      <c r="N207" t="s">
        <v>6</v>
      </c>
      <c r="P207" t="s">
        <v>568</v>
      </c>
      <c r="Q207" t="s">
        <v>6</v>
      </c>
      <c r="R207" t="s">
        <v>416</v>
      </c>
      <c r="BH207" s="92" t="s">
        <v>6</v>
      </c>
      <c r="BJ207" s="95" t="str">
        <f>HYPERLINK("#자재조서!A12","M0132120C →")</f>
        <v>M0132120C →</v>
      </c>
      <c r="CC207" s="92" t="s">
        <v>350</v>
      </c>
    </row>
    <row r="208" spans="1:81" ht="18.399999999999999" hidden="1" customHeight="1" x14ac:dyDescent="0.15">
      <c r="A208" s="91" t="s">
        <v>417</v>
      </c>
      <c r="B208" s="92" t="s">
        <v>418</v>
      </c>
      <c r="C208" s="93">
        <v>0</v>
      </c>
      <c r="D208" s="92" t="s">
        <v>402</v>
      </c>
      <c r="E208" s="93">
        <f t="shared" si="27"/>
        <v>1437500</v>
      </c>
      <c r="F208" s="93">
        <f t="shared" si="27"/>
        <v>0</v>
      </c>
      <c r="G208" s="93">
        <f>[4]자재조서!E11</f>
        <v>1437500</v>
      </c>
      <c r="H208" s="93">
        <f>TRUNC(G208*C208,0)</f>
        <v>0</v>
      </c>
      <c r="I208" s="93">
        <v>0</v>
      </c>
      <c r="J208" s="93"/>
      <c r="K208" s="93">
        <v>0</v>
      </c>
      <c r="L208" s="93"/>
      <c r="M208" s="94" t="s">
        <v>420</v>
      </c>
      <c r="N208" t="s">
        <v>6</v>
      </c>
      <c r="P208" t="s">
        <v>570</v>
      </c>
      <c r="Q208" t="s">
        <v>6</v>
      </c>
      <c r="R208" t="s">
        <v>420</v>
      </c>
      <c r="BH208" s="92" t="s">
        <v>6</v>
      </c>
      <c r="BJ208" s="95" t="str">
        <f>HYPERLINK("#자재조서!A11","M0132120A →")</f>
        <v>M0132120A →</v>
      </c>
      <c r="CC208" s="92" t="s">
        <v>350</v>
      </c>
    </row>
    <row r="209" spans="1:100" ht="18.399999999999999" hidden="1" customHeight="1" x14ac:dyDescent="0.15">
      <c r="A209" s="91" t="s">
        <v>421</v>
      </c>
      <c r="B209" s="92" t="s">
        <v>422</v>
      </c>
      <c r="C209" s="93">
        <v>0</v>
      </c>
      <c r="D209" s="92" t="s">
        <v>303</v>
      </c>
      <c r="E209" s="93">
        <f t="shared" si="27"/>
        <v>48000</v>
      </c>
      <c r="F209" s="93">
        <f t="shared" si="27"/>
        <v>0</v>
      </c>
      <c r="G209" s="93">
        <f>[4]자재조서!E61</f>
        <v>48000</v>
      </c>
      <c r="H209" s="93">
        <f>TRUNC(G209*C209,0)</f>
        <v>0</v>
      </c>
      <c r="I209" s="93">
        <v>0</v>
      </c>
      <c r="J209" s="93"/>
      <c r="K209" s="93">
        <v>0</v>
      </c>
      <c r="L209" s="93"/>
      <c r="M209" s="94" t="s">
        <v>423</v>
      </c>
      <c r="N209" t="s">
        <v>6</v>
      </c>
      <c r="P209" t="s">
        <v>587</v>
      </c>
      <c r="Q209" t="s">
        <v>6</v>
      </c>
      <c r="R209" t="s">
        <v>423</v>
      </c>
      <c r="BH209" s="92" t="s">
        <v>6</v>
      </c>
      <c r="BJ209" s="95" t="str">
        <f>HYPERLINK("#자재조서!A61","MZZ00050B →")</f>
        <v>MZZ00050B →</v>
      </c>
      <c r="CC209" s="92" t="s">
        <v>350</v>
      </c>
    </row>
    <row r="210" spans="1:100" ht="18.399999999999999" hidden="1" customHeight="1" x14ac:dyDescent="0.15">
      <c r="A210" s="91" t="s">
        <v>428</v>
      </c>
      <c r="B210" s="92" t="s">
        <v>429</v>
      </c>
      <c r="C210" s="93">
        <v>0</v>
      </c>
      <c r="D210" s="92" t="s">
        <v>402</v>
      </c>
      <c r="E210" s="93">
        <f t="shared" si="27"/>
        <v>851400</v>
      </c>
      <c r="F210" s="93">
        <f t="shared" si="27"/>
        <v>0</v>
      </c>
      <c r="G210" s="93">
        <f>[4]자재조서!E7</f>
        <v>851400</v>
      </c>
      <c r="H210" s="93">
        <f>TRUNC(G210*C210,0)</f>
        <v>0</v>
      </c>
      <c r="I210" s="93">
        <v>0</v>
      </c>
      <c r="J210" s="93"/>
      <c r="K210" s="93">
        <v>0</v>
      </c>
      <c r="L210" s="93"/>
      <c r="M210" s="94" t="s">
        <v>430</v>
      </c>
      <c r="N210" t="s">
        <v>431</v>
      </c>
      <c r="P210" t="s">
        <v>588</v>
      </c>
      <c r="Q210" t="s">
        <v>6</v>
      </c>
      <c r="R210" t="s">
        <v>430</v>
      </c>
      <c r="BH210" s="92" t="s">
        <v>6</v>
      </c>
      <c r="BJ210" s="95" t="str">
        <f>HYPERLINK("#자재조서!A7","M0060024A0 →")</f>
        <v>M0060024A0 →</v>
      </c>
      <c r="CC210" s="92" t="s">
        <v>350</v>
      </c>
    </row>
    <row r="211" spans="1:100" ht="18.399999999999999" hidden="1" customHeight="1" x14ac:dyDescent="0.15">
      <c r="A211" s="91" t="s">
        <v>414</v>
      </c>
      <c r="B211" s="92" t="s">
        <v>432</v>
      </c>
      <c r="C211" s="93">
        <v>0</v>
      </c>
      <c r="D211" s="92" t="s">
        <v>402</v>
      </c>
      <c r="E211" s="93">
        <f t="shared" si="27"/>
        <v>1861351</v>
      </c>
      <c r="F211" s="93">
        <f t="shared" si="27"/>
        <v>0</v>
      </c>
      <c r="G211" s="93">
        <f>[4]자재조서!E10</f>
        <v>1861351</v>
      </c>
      <c r="H211" s="93">
        <f>TRUNC(G211*C211,0)</f>
        <v>0</v>
      </c>
      <c r="I211" s="93">
        <v>0</v>
      </c>
      <c r="J211" s="93"/>
      <c r="K211" s="93">
        <v>0</v>
      </c>
      <c r="L211" s="93"/>
      <c r="M211" s="94" t="s">
        <v>433</v>
      </c>
      <c r="N211" t="s">
        <v>6</v>
      </c>
      <c r="P211" t="s">
        <v>589</v>
      </c>
      <c r="Q211" t="s">
        <v>6</v>
      </c>
      <c r="R211" t="s">
        <v>433</v>
      </c>
      <c r="BH211" s="92" t="s">
        <v>6</v>
      </c>
      <c r="BJ211" s="95" t="str">
        <f>HYPERLINK("#자재조서!A10","M0129024 →")</f>
        <v>M0129024 →</v>
      </c>
      <c r="CC211" s="92" t="s">
        <v>350</v>
      </c>
    </row>
    <row r="212" spans="1:100" ht="18.399999999999999" customHeight="1" x14ac:dyDescent="0.15">
      <c r="A212" s="91" t="s">
        <v>590</v>
      </c>
      <c r="B212" s="92" t="s">
        <v>6</v>
      </c>
      <c r="C212" s="92"/>
      <c r="D212" s="92" t="s">
        <v>6</v>
      </c>
      <c r="E212" s="93">
        <f t="shared" si="27"/>
        <v>0</v>
      </c>
      <c r="F212" s="93">
        <f t="shared" si="27"/>
        <v>1500000</v>
      </c>
      <c r="G212" s="90"/>
      <c r="H212" s="93">
        <f>TRUNC(H213+H214,0)</f>
        <v>1500000</v>
      </c>
      <c r="I212" s="90"/>
      <c r="J212" s="93">
        <f>TRUNC(J213+J214,0)</f>
        <v>0</v>
      </c>
      <c r="K212" s="90"/>
      <c r="L212" s="93">
        <f>TRUNC(L213+L214,0)</f>
        <v>0</v>
      </c>
      <c r="M212" s="94" t="s">
        <v>6</v>
      </c>
      <c r="N212" t="s">
        <v>6</v>
      </c>
      <c r="P212" t="s">
        <v>591</v>
      </c>
      <c r="Q212" t="s">
        <v>6</v>
      </c>
      <c r="R212" t="s">
        <v>6</v>
      </c>
      <c r="BH212" s="92" t="s">
        <v>6</v>
      </c>
      <c r="CC212" s="92" t="s">
        <v>345</v>
      </c>
    </row>
    <row r="213" spans="1:100" ht="18.399999999999999" hidden="1" customHeight="1" x14ac:dyDescent="0.15">
      <c r="A213" s="91" t="s">
        <v>475</v>
      </c>
      <c r="B213" s="92" t="s">
        <v>476</v>
      </c>
      <c r="C213" s="93">
        <v>0</v>
      </c>
      <c r="D213" s="92" t="s">
        <v>410</v>
      </c>
      <c r="E213" s="93">
        <f t="shared" si="27"/>
        <v>210000</v>
      </c>
      <c r="F213" s="93">
        <f t="shared" si="27"/>
        <v>0</v>
      </c>
      <c r="G213" s="93">
        <f>[4]자재조서!E66</f>
        <v>210000</v>
      </c>
      <c r="H213" s="93">
        <f>TRUNC(G213*C213,0)</f>
        <v>0</v>
      </c>
      <c r="I213" s="93">
        <v>0</v>
      </c>
      <c r="J213" s="93"/>
      <c r="K213" s="93">
        <v>0</v>
      </c>
      <c r="L213" s="93"/>
      <c r="M213" s="94" t="s">
        <v>477</v>
      </c>
      <c r="N213" t="s">
        <v>6</v>
      </c>
      <c r="P213" t="s">
        <v>592</v>
      </c>
      <c r="Q213" t="s">
        <v>6</v>
      </c>
      <c r="R213" t="s">
        <v>477</v>
      </c>
      <c r="BH213" s="92" t="s">
        <v>6</v>
      </c>
      <c r="BJ213" s="95" t="str">
        <f>HYPERLINK("#자재조서!A66","MZZ10010 →")</f>
        <v>MZZ10010 →</v>
      </c>
      <c r="CC213" s="92" t="s">
        <v>350</v>
      </c>
    </row>
    <row r="214" spans="1:100" ht="18.399999999999999" customHeight="1" x14ac:dyDescent="0.15">
      <c r="A214" s="91" t="s">
        <v>593</v>
      </c>
      <c r="B214" s="92" t="s">
        <v>480</v>
      </c>
      <c r="C214" s="93">
        <v>2</v>
      </c>
      <c r="D214" s="92" t="s">
        <v>305</v>
      </c>
      <c r="E214" s="93">
        <f t="shared" si="27"/>
        <v>750000</v>
      </c>
      <c r="F214" s="93">
        <f t="shared" si="27"/>
        <v>1500000</v>
      </c>
      <c r="G214" s="93">
        <f>[4]자재조서!E67</f>
        <v>750000</v>
      </c>
      <c r="H214" s="93">
        <f>TRUNC(G214*C214,0)</f>
        <v>1500000</v>
      </c>
      <c r="I214" s="93">
        <v>0</v>
      </c>
      <c r="J214" s="93"/>
      <c r="K214" s="93">
        <v>0</v>
      </c>
      <c r="L214" s="93"/>
      <c r="M214" s="94" t="s">
        <v>481</v>
      </c>
      <c r="N214" t="s">
        <v>6</v>
      </c>
      <c r="P214" t="s">
        <v>594</v>
      </c>
      <c r="Q214" t="s">
        <v>6</v>
      </c>
      <c r="R214" t="s">
        <v>481</v>
      </c>
      <c r="BH214" s="92" t="s">
        <v>6</v>
      </c>
      <c r="BJ214" s="95" t="str">
        <f>HYPERLINK("#자재조서!A67","MZZ10025 →")</f>
        <v>MZZ10025 →</v>
      </c>
      <c r="CC214" s="92" t="s">
        <v>350</v>
      </c>
    </row>
    <row r="215" spans="1:100" ht="18.399999999999999" customHeight="1" x14ac:dyDescent="0.15">
      <c r="A215" s="91" t="s">
        <v>595</v>
      </c>
      <c r="B215" s="92" t="s">
        <v>6</v>
      </c>
      <c r="C215" s="92"/>
      <c r="D215" s="92" t="s">
        <v>6</v>
      </c>
      <c r="E215" s="93">
        <f t="shared" si="27"/>
        <v>0</v>
      </c>
      <c r="F215" s="93">
        <f t="shared" si="27"/>
        <v>23669455</v>
      </c>
      <c r="G215" s="90"/>
      <c r="H215" s="93">
        <f>TRUNC(H216+H217+H218+H219+H220+H221,0)</f>
        <v>8287318</v>
      </c>
      <c r="I215" s="90"/>
      <c r="J215" s="93">
        <f>TRUNC(J216+J217+J218+J219+J220+J221,0)</f>
        <v>10127211</v>
      </c>
      <c r="K215" s="90"/>
      <c r="L215" s="93">
        <f>TRUNC(L216+L217+L218+L219+L220+L221,0)</f>
        <v>5254926</v>
      </c>
      <c r="M215" s="94" t="s">
        <v>6</v>
      </c>
      <c r="N215" t="s">
        <v>6</v>
      </c>
      <c r="P215" t="s">
        <v>596</v>
      </c>
      <c r="Q215" t="s">
        <v>6</v>
      </c>
      <c r="R215" t="s">
        <v>6</v>
      </c>
      <c r="BH215" s="92" t="s">
        <v>6</v>
      </c>
      <c r="CC215" s="92" t="s">
        <v>345</v>
      </c>
    </row>
    <row r="216" spans="1:100" ht="18.399999999999999" customHeight="1" x14ac:dyDescent="0.15">
      <c r="A216" s="91" t="s">
        <v>558</v>
      </c>
      <c r="B216" s="92" t="s">
        <v>381</v>
      </c>
      <c r="C216" s="92">
        <v>5.0000000000000001E-3</v>
      </c>
      <c r="D216" s="92" t="s">
        <v>388</v>
      </c>
      <c r="E216" s="93">
        <f t="shared" si="27"/>
        <v>1007249</v>
      </c>
      <c r="F216" s="93">
        <f t="shared" si="27"/>
        <v>5034</v>
      </c>
      <c r="G216" s="93">
        <f>[4]일위대가목록!F38</f>
        <v>92554</v>
      </c>
      <c r="H216" s="93">
        <f t="shared" ref="H216:H221" si="29">TRUNC(G216*C216,0)</f>
        <v>462</v>
      </c>
      <c r="I216" s="93">
        <f>[4]일위대가목록!G38</f>
        <v>891755</v>
      </c>
      <c r="J216" s="93">
        <f>TRUNC(I216*C216,0)</f>
        <v>4458</v>
      </c>
      <c r="K216" s="93">
        <f>[4]일위대가목록!H38</f>
        <v>22940</v>
      </c>
      <c r="L216" s="93">
        <f>TRUNC(K216*C216,0)</f>
        <v>114</v>
      </c>
      <c r="M216" s="94" t="s">
        <v>559</v>
      </c>
      <c r="N216" t="s">
        <v>6</v>
      </c>
      <c r="P216" t="s">
        <v>597</v>
      </c>
      <c r="Q216" t="s">
        <v>6</v>
      </c>
      <c r="R216" t="s">
        <v>561</v>
      </c>
      <c r="T216" t="s">
        <v>212</v>
      </c>
      <c r="BH216" s="92" t="s">
        <v>6</v>
      </c>
      <c r="BJ216" s="95" t="str">
        <f>HYPERLINK("#일위대가목록!A38","K16A06A00010 →")</f>
        <v>K16A06A00010 →</v>
      </c>
      <c r="CC216" s="92" t="s">
        <v>350</v>
      </c>
    </row>
    <row r="217" spans="1:100" ht="18.399999999999999" customHeight="1" x14ac:dyDescent="0.15">
      <c r="A217" s="91" t="s">
        <v>395</v>
      </c>
      <c r="B217" s="92" t="s">
        <v>396</v>
      </c>
      <c r="C217" s="93">
        <v>1</v>
      </c>
      <c r="D217" s="92" t="s">
        <v>397</v>
      </c>
      <c r="E217" s="93">
        <f t="shared" si="27"/>
        <v>946634</v>
      </c>
      <c r="F217" s="93">
        <f t="shared" si="27"/>
        <v>946634</v>
      </c>
      <c r="G217" s="93">
        <f>[4]일위대가목록!F26</f>
        <v>81120</v>
      </c>
      <c r="H217" s="93">
        <f t="shared" si="29"/>
        <v>81120</v>
      </c>
      <c r="I217" s="93">
        <f>[4]일위대가목록!G26</f>
        <v>572762</v>
      </c>
      <c r="J217" s="93">
        <f>TRUNC(I217*C217,0)</f>
        <v>572762</v>
      </c>
      <c r="K217" s="93">
        <f>[4]일위대가목록!H26</f>
        <v>292752</v>
      </c>
      <c r="L217" s="93">
        <f>TRUNC(K217*C217,0)</f>
        <v>292752</v>
      </c>
      <c r="M217" s="94" t="s">
        <v>398</v>
      </c>
      <c r="N217" t="s">
        <v>6</v>
      </c>
      <c r="P217" t="s">
        <v>598</v>
      </c>
      <c r="Q217" t="s">
        <v>6</v>
      </c>
      <c r="R217" t="s">
        <v>399</v>
      </c>
      <c r="T217" t="s">
        <v>212</v>
      </c>
      <c r="BH217" s="92" t="s">
        <v>6</v>
      </c>
      <c r="BJ217" s="95" t="str">
        <f>HYPERLINK("#일위대가목록!A26","KR012601 →")</f>
        <v>KR012601 →</v>
      </c>
      <c r="CC217" s="92" t="s">
        <v>350</v>
      </c>
    </row>
    <row r="218" spans="1:100" ht="18.399999999999999" hidden="1" customHeight="1" x14ac:dyDescent="0.15">
      <c r="A218" s="91" t="s">
        <v>400</v>
      </c>
      <c r="B218" s="92" t="s">
        <v>401</v>
      </c>
      <c r="C218" s="93">
        <v>0</v>
      </c>
      <c r="D218" s="92" t="s">
        <v>402</v>
      </c>
      <c r="E218" s="93">
        <f t="shared" si="27"/>
        <v>60173</v>
      </c>
      <c r="F218" s="93">
        <f t="shared" si="27"/>
        <v>0</v>
      </c>
      <c r="G218" s="93">
        <f>[4]일위대가목록!F27</f>
        <v>0</v>
      </c>
      <c r="H218" s="93">
        <f t="shared" si="29"/>
        <v>0</v>
      </c>
      <c r="I218" s="93">
        <f>[4]일위대가목록!G27</f>
        <v>60173</v>
      </c>
      <c r="J218" s="93">
        <f>TRUNC(I218*C218,0)</f>
        <v>0</v>
      </c>
      <c r="K218" s="93">
        <f>[4]일위대가목록!H27</f>
        <v>0</v>
      </c>
      <c r="L218" s="93">
        <f>TRUNC(K218*C218,0)</f>
        <v>0</v>
      </c>
      <c r="M218" s="94" t="s">
        <v>403</v>
      </c>
      <c r="N218" t="s">
        <v>6</v>
      </c>
      <c r="P218" t="s">
        <v>599</v>
      </c>
      <c r="Q218" t="s">
        <v>6</v>
      </c>
      <c r="R218" t="s">
        <v>404</v>
      </c>
      <c r="T218" t="s">
        <v>212</v>
      </c>
      <c r="BH218" s="92" t="s">
        <v>6</v>
      </c>
      <c r="BJ218" s="95" t="str">
        <f>HYPERLINK("#일위대가목록!A27","KR012602 →")</f>
        <v>KR012602 →</v>
      </c>
      <c r="CC218" s="92" t="s">
        <v>350</v>
      </c>
    </row>
    <row r="219" spans="1:100" ht="18.399999999999999" customHeight="1" x14ac:dyDescent="0.15">
      <c r="A219" s="91" t="s">
        <v>400</v>
      </c>
      <c r="B219" s="92" t="s">
        <v>405</v>
      </c>
      <c r="C219" s="92">
        <v>5.0000000000000001E-3</v>
      </c>
      <c r="D219" s="92" t="s">
        <v>402</v>
      </c>
      <c r="E219" s="93">
        <f t="shared" si="27"/>
        <v>104665</v>
      </c>
      <c r="F219" s="93">
        <f t="shared" si="27"/>
        <v>523</v>
      </c>
      <c r="G219" s="93">
        <f>[4]일위대가목록!F28</f>
        <v>0</v>
      </c>
      <c r="H219" s="93">
        <f t="shared" si="29"/>
        <v>0</v>
      </c>
      <c r="I219" s="93">
        <f>[4]일위대가목록!G28</f>
        <v>104665</v>
      </c>
      <c r="J219" s="93">
        <f>TRUNC(I219*C219,0)</f>
        <v>523</v>
      </c>
      <c r="K219" s="93">
        <f>[4]일위대가목록!H28</f>
        <v>0</v>
      </c>
      <c r="L219" s="93">
        <f>TRUNC(K219*C219,0)</f>
        <v>0</v>
      </c>
      <c r="M219" s="94" t="s">
        <v>406</v>
      </c>
      <c r="N219" t="s">
        <v>6</v>
      </c>
      <c r="P219" t="s">
        <v>600</v>
      </c>
      <c r="Q219" t="s">
        <v>6</v>
      </c>
      <c r="R219" t="s">
        <v>407</v>
      </c>
      <c r="T219" t="s">
        <v>212</v>
      </c>
      <c r="BH219" s="92" t="s">
        <v>6</v>
      </c>
      <c r="BJ219" s="95" t="str">
        <f>HYPERLINK("#일위대가목록!A28","KR012603 →")</f>
        <v>KR012603 →</v>
      </c>
      <c r="CC219" s="92" t="s">
        <v>350</v>
      </c>
    </row>
    <row r="220" spans="1:100" ht="18.399999999999999" customHeight="1" x14ac:dyDescent="0.15">
      <c r="A220" s="91" t="s">
        <v>565</v>
      </c>
      <c r="B220" s="92" t="s">
        <v>566</v>
      </c>
      <c r="C220" s="92">
        <v>5.0000000000000001E-3</v>
      </c>
      <c r="D220" s="92" t="s">
        <v>402</v>
      </c>
      <c r="E220" s="93">
        <f t="shared" si="27"/>
        <v>-1900000</v>
      </c>
      <c r="F220" s="93">
        <f t="shared" si="27"/>
        <v>-9500</v>
      </c>
      <c r="G220" s="93">
        <f>[4]자재조서!E57</f>
        <v>-1900000</v>
      </c>
      <c r="H220" s="93">
        <f t="shared" si="29"/>
        <v>-9500</v>
      </c>
      <c r="I220" s="93">
        <v>0</v>
      </c>
      <c r="J220" s="93"/>
      <c r="K220" s="93">
        <v>0</v>
      </c>
      <c r="L220" s="93"/>
      <c r="M220" s="94" t="s">
        <v>567</v>
      </c>
      <c r="N220" t="s">
        <v>6</v>
      </c>
      <c r="P220" t="s">
        <v>601</v>
      </c>
      <c r="Q220" t="s">
        <v>6</v>
      </c>
      <c r="R220" t="s">
        <v>567</v>
      </c>
      <c r="BH220" s="92" t="s">
        <v>6</v>
      </c>
      <c r="BJ220" s="95" t="str">
        <f>HYPERLINK("#자재조서!A57","M9534003A →")</f>
        <v>M9534003A →</v>
      </c>
      <c r="CC220" s="92" t="s">
        <v>350</v>
      </c>
    </row>
    <row r="221" spans="1:100" ht="18.399999999999999" customHeight="1" x14ac:dyDescent="0.15">
      <c r="A221" s="91" t="s">
        <v>602</v>
      </c>
      <c r="B221" s="92" t="s">
        <v>603</v>
      </c>
      <c r="C221" s="93">
        <v>108</v>
      </c>
      <c r="D221" s="92" t="s">
        <v>347</v>
      </c>
      <c r="E221" s="93">
        <f t="shared" si="27"/>
        <v>210433</v>
      </c>
      <c r="F221" s="93">
        <f t="shared" si="27"/>
        <v>22726764</v>
      </c>
      <c r="G221" s="93">
        <f>[4]일위대가목록!F39</f>
        <v>76067</v>
      </c>
      <c r="H221" s="93">
        <f t="shared" si="29"/>
        <v>8215236</v>
      </c>
      <c r="I221" s="93">
        <f>[4]일위대가목록!G39</f>
        <v>88421</v>
      </c>
      <c r="J221" s="93">
        <f>TRUNC(I221*C221,0)</f>
        <v>9549468</v>
      </c>
      <c r="K221" s="93">
        <f>[4]일위대가목록!H39</f>
        <v>45945</v>
      </c>
      <c r="L221" s="93">
        <f>TRUNC(K221*C221,0)</f>
        <v>4962060</v>
      </c>
      <c r="M221" s="94" t="s">
        <v>604</v>
      </c>
      <c r="N221" t="s">
        <v>6</v>
      </c>
      <c r="P221" t="s">
        <v>605</v>
      </c>
      <c r="Q221" t="s">
        <v>6</v>
      </c>
      <c r="R221" t="s">
        <v>606</v>
      </c>
      <c r="T221" t="s">
        <v>212</v>
      </c>
      <c r="BH221" s="92" t="s">
        <v>6</v>
      </c>
      <c r="BJ221" s="95" t="str">
        <f>HYPERLINK("#일위대가목록!A39","K03H1H203530 →")</f>
        <v>K03H1H203530 →</v>
      </c>
      <c r="CC221" s="92" t="s">
        <v>350</v>
      </c>
    </row>
    <row r="222" spans="1:100" ht="18.399999999999999" customHeight="1" x14ac:dyDescent="0.15">
      <c r="A222" s="91" t="s">
        <v>6</v>
      </c>
      <c r="B222" s="92" t="s">
        <v>6</v>
      </c>
      <c r="C222" s="92"/>
      <c r="D222" s="92" t="s">
        <v>6</v>
      </c>
      <c r="E222" s="93">
        <f t="shared" si="27"/>
        <v>0</v>
      </c>
      <c r="F222" s="93">
        <f t="shared" si="27"/>
        <v>0</v>
      </c>
      <c r="G222" s="90"/>
      <c r="H222" s="93">
        <v>0</v>
      </c>
      <c r="I222" s="90"/>
      <c r="J222" s="93">
        <v>0</v>
      </c>
      <c r="K222" s="90"/>
      <c r="L222" s="93">
        <v>0</v>
      </c>
      <c r="M222" s="94" t="s">
        <v>6</v>
      </c>
      <c r="N222" t="s">
        <v>6</v>
      </c>
      <c r="P222" t="s">
        <v>607</v>
      </c>
      <c r="Q222" t="s">
        <v>329</v>
      </c>
      <c r="R222" t="s">
        <v>6</v>
      </c>
      <c r="BH222" s="92" t="s">
        <v>6</v>
      </c>
      <c r="CC222" s="92" t="s">
        <v>6</v>
      </c>
    </row>
    <row r="223" spans="1:100" ht="18.399999999999999" customHeight="1" x14ac:dyDescent="0.15">
      <c r="A223" s="91" t="s">
        <v>342</v>
      </c>
      <c r="B223" s="92" t="s">
        <v>6</v>
      </c>
      <c r="C223" s="93">
        <v>1</v>
      </c>
      <c r="D223" s="92" t="s">
        <v>188</v>
      </c>
      <c r="E223" s="90"/>
      <c r="F223" s="93">
        <f t="shared" ref="F223:F286" si="30">H223+J223+L223</f>
        <v>1235994</v>
      </c>
      <c r="G223" s="90"/>
      <c r="H223" s="93">
        <f>TRUNC(H225+H226+H228,0)</f>
        <v>1031258</v>
      </c>
      <c r="I223" s="90"/>
      <c r="J223" s="93">
        <f>TRUNC(J225+J226+J228,0)</f>
        <v>201098</v>
      </c>
      <c r="K223" s="90"/>
      <c r="L223" s="93">
        <f>TRUNC(L225+L226+L228,0)</f>
        <v>3638</v>
      </c>
      <c r="M223" s="94" t="s">
        <v>6</v>
      </c>
      <c r="N223" t="s">
        <v>6</v>
      </c>
      <c r="O223" t="s">
        <v>343</v>
      </c>
      <c r="BH223" s="92" t="s">
        <v>6</v>
      </c>
      <c r="CV223" s="92" t="s">
        <v>6</v>
      </c>
    </row>
    <row r="224" spans="1:100" ht="18.399999999999999" customHeight="1" x14ac:dyDescent="0.15">
      <c r="A224" s="91" t="s">
        <v>608</v>
      </c>
      <c r="B224" s="92" t="s">
        <v>6</v>
      </c>
      <c r="C224" s="92"/>
      <c r="D224" s="92" t="s">
        <v>6</v>
      </c>
      <c r="E224" s="93">
        <f>G224+I224+K224</f>
        <v>0</v>
      </c>
      <c r="F224" s="93">
        <f t="shared" si="30"/>
        <v>29954</v>
      </c>
      <c r="G224" s="90"/>
      <c r="H224" s="93">
        <f>TRUNC(H225+H226,0)</f>
        <v>1258</v>
      </c>
      <c r="I224" s="90"/>
      <c r="J224" s="93">
        <f>TRUNC(J225+J226,0)</f>
        <v>25058</v>
      </c>
      <c r="K224" s="90"/>
      <c r="L224" s="93">
        <f>TRUNC(L225+L226,0)</f>
        <v>3638</v>
      </c>
      <c r="M224" s="94" t="s">
        <v>6</v>
      </c>
      <c r="N224" t="s">
        <v>6</v>
      </c>
      <c r="P224" t="s">
        <v>48</v>
      </c>
      <c r="Q224" t="s">
        <v>6</v>
      </c>
      <c r="R224" t="s">
        <v>6</v>
      </c>
      <c r="BH224" s="92" t="s">
        <v>6</v>
      </c>
      <c r="CC224" s="92" t="s">
        <v>345</v>
      </c>
    </row>
    <row r="225" spans="1:100" ht="18.399999999999999" customHeight="1" x14ac:dyDescent="0.15">
      <c r="A225" s="91" t="s">
        <v>609</v>
      </c>
      <c r="B225" s="92" t="s">
        <v>610</v>
      </c>
      <c r="C225" s="93">
        <v>17</v>
      </c>
      <c r="D225" s="92" t="s">
        <v>347</v>
      </c>
      <c r="E225" s="93">
        <f>G225+I225+K225</f>
        <v>1251</v>
      </c>
      <c r="F225" s="93">
        <f t="shared" si="30"/>
        <v>21267</v>
      </c>
      <c r="G225" s="93">
        <f>[4]일위대가목록!F40</f>
        <v>36</v>
      </c>
      <c r="H225" s="93">
        <f>TRUNC(G225*C225,0)</f>
        <v>612</v>
      </c>
      <c r="I225" s="93">
        <f>[4]일위대가목록!G40</f>
        <v>1067</v>
      </c>
      <c r="J225" s="93">
        <f>TRUNC(I225*C225,0)</f>
        <v>18139</v>
      </c>
      <c r="K225" s="93">
        <f>[4]일위대가목록!H40</f>
        <v>148</v>
      </c>
      <c r="L225" s="93">
        <f>TRUNC(K225*C225,0)</f>
        <v>2516</v>
      </c>
      <c r="M225" s="94" t="s">
        <v>611</v>
      </c>
      <c r="N225" t="s">
        <v>6</v>
      </c>
      <c r="P225" t="s">
        <v>191</v>
      </c>
      <c r="Q225" t="s">
        <v>6</v>
      </c>
      <c r="R225" t="s">
        <v>612</v>
      </c>
      <c r="T225" t="s">
        <v>212</v>
      </c>
      <c r="BH225" s="92" t="s">
        <v>6</v>
      </c>
      <c r="BJ225" s="95" t="str">
        <f>HYPERLINK("#일위대가목록!A40","K09A03A02000 →")</f>
        <v>K09A03A02000 →</v>
      </c>
      <c r="CC225" s="92" t="s">
        <v>350</v>
      </c>
    </row>
    <row r="226" spans="1:100" ht="18.399999999999999" customHeight="1" x14ac:dyDescent="0.15">
      <c r="A226" s="91" t="s">
        <v>613</v>
      </c>
      <c r="B226" s="92" t="s">
        <v>614</v>
      </c>
      <c r="C226" s="93">
        <v>17</v>
      </c>
      <c r="D226" s="92" t="s">
        <v>347</v>
      </c>
      <c r="E226" s="93">
        <f>G226+I226+K226</f>
        <v>511</v>
      </c>
      <c r="F226" s="93">
        <f t="shared" si="30"/>
        <v>8687</v>
      </c>
      <c r="G226" s="93">
        <f>[4]일위대가목록!F41</f>
        <v>38</v>
      </c>
      <c r="H226" s="93">
        <f>TRUNC(G226*C226,0)</f>
        <v>646</v>
      </c>
      <c r="I226" s="93">
        <f>[4]일위대가목록!G41</f>
        <v>407</v>
      </c>
      <c r="J226" s="93">
        <f>TRUNC(I226*C226,0)</f>
        <v>6919</v>
      </c>
      <c r="K226" s="93">
        <f>[4]일위대가목록!H41</f>
        <v>66</v>
      </c>
      <c r="L226" s="93">
        <f>TRUNC(K226*C226,0)</f>
        <v>1122</v>
      </c>
      <c r="M226" s="94" t="s">
        <v>615</v>
      </c>
      <c r="N226" t="s">
        <v>6</v>
      </c>
      <c r="P226" t="s">
        <v>194</v>
      </c>
      <c r="Q226" t="s">
        <v>6</v>
      </c>
      <c r="R226" t="s">
        <v>616</v>
      </c>
      <c r="T226" t="s">
        <v>212</v>
      </c>
      <c r="BH226" s="92" t="s">
        <v>6</v>
      </c>
      <c r="BJ226" s="95" t="str">
        <f>HYPERLINK("#일위대가목록!A41","K09A03A01000 →")</f>
        <v>K09A03A01000 →</v>
      </c>
      <c r="CC226" s="92" t="s">
        <v>350</v>
      </c>
    </row>
    <row r="227" spans="1:100" ht="18.399999999999999" customHeight="1" x14ac:dyDescent="0.15">
      <c r="A227" s="91" t="s">
        <v>617</v>
      </c>
      <c r="B227" s="92" t="s">
        <v>6</v>
      </c>
      <c r="C227" s="92"/>
      <c r="D227" s="92" t="s">
        <v>6</v>
      </c>
      <c r="E227" s="93">
        <f>G227+I227+K227</f>
        <v>0</v>
      </c>
      <c r="F227" s="93">
        <f t="shared" si="30"/>
        <v>1206040</v>
      </c>
      <c r="G227" s="90"/>
      <c r="H227" s="93">
        <f>TRUNC(H228,0)</f>
        <v>1030000</v>
      </c>
      <c r="I227" s="90"/>
      <c r="J227" s="93">
        <f>TRUNC(J228,0)</f>
        <v>176040</v>
      </c>
      <c r="K227" s="90"/>
      <c r="L227" s="93">
        <f>TRUNC(L228,0)</f>
        <v>0</v>
      </c>
      <c r="M227" s="94" t="s">
        <v>6</v>
      </c>
      <c r="N227" t="s">
        <v>6</v>
      </c>
      <c r="P227" t="s">
        <v>201</v>
      </c>
      <c r="Q227" t="s">
        <v>6</v>
      </c>
      <c r="R227" t="s">
        <v>6</v>
      </c>
      <c r="BH227" s="92" t="s">
        <v>6</v>
      </c>
      <c r="CC227" s="92" t="s">
        <v>345</v>
      </c>
    </row>
    <row r="228" spans="1:100" ht="18.399999999999999" customHeight="1" x14ac:dyDescent="0.15">
      <c r="A228" s="91" t="s">
        <v>618</v>
      </c>
      <c r="B228" s="92" t="s">
        <v>619</v>
      </c>
      <c r="C228" s="93">
        <v>40</v>
      </c>
      <c r="D228" s="92" t="s">
        <v>620</v>
      </c>
      <c r="E228" s="93">
        <f>G228+I228+K228</f>
        <v>30151</v>
      </c>
      <c r="F228" s="93">
        <f t="shared" si="30"/>
        <v>1206040</v>
      </c>
      <c r="G228" s="93">
        <f>[4]일위대가목록!F54</f>
        <v>25750</v>
      </c>
      <c r="H228" s="93">
        <f>TRUNC(G228*C228,0)</f>
        <v>1030000</v>
      </c>
      <c r="I228" s="93">
        <f>[4]일위대가목록!G54</f>
        <v>4401</v>
      </c>
      <c r="J228" s="93">
        <f>TRUNC(I228*C228,0)</f>
        <v>176040</v>
      </c>
      <c r="K228" s="93">
        <f>[4]일위대가목록!H54</f>
        <v>0</v>
      </c>
      <c r="L228" s="93">
        <f>TRUNC(K228*C228,0)</f>
        <v>0</v>
      </c>
      <c r="M228" s="94" t="s">
        <v>621</v>
      </c>
      <c r="N228" t="s">
        <v>6</v>
      </c>
      <c r="P228" t="s">
        <v>204</v>
      </c>
      <c r="Q228" t="s">
        <v>6</v>
      </c>
      <c r="R228" t="s">
        <v>622</v>
      </c>
      <c r="T228" t="s">
        <v>361</v>
      </c>
      <c r="BH228" s="92" t="s">
        <v>6</v>
      </c>
      <c r="BJ228" s="95" t="str">
        <f>HYPERLINK("#일위대가목록!A54","HHCLWTB100 →")</f>
        <v>HHCLWTB100 →</v>
      </c>
      <c r="CC228" s="92" t="s">
        <v>350</v>
      </c>
    </row>
    <row r="229" spans="1:100" ht="18.399999999999999" customHeight="1" x14ac:dyDescent="0.15">
      <c r="A229" s="91" t="s">
        <v>333</v>
      </c>
      <c r="B229" s="92" t="s">
        <v>6</v>
      </c>
      <c r="C229" s="93">
        <v>0</v>
      </c>
      <c r="D229" s="92" t="s">
        <v>6</v>
      </c>
      <c r="E229" s="90"/>
      <c r="F229" s="93">
        <f t="shared" si="30"/>
        <v>638421542</v>
      </c>
      <c r="G229" s="90"/>
      <c r="H229" s="93">
        <f>TRUNC(H230+H231,0)</f>
        <v>327257793</v>
      </c>
      <c r="I229" s="90"/>
      <c r="J229" s="93">
        <f>TRUNC(J230+J231,0)</f>
        <v>266756937</v>
      </c>
      <c r="K229" s="90"/>
      <c r="L229" s="93">
        <f>TRUNC(L230+L231,0)</f>
        <v>44406812</v>
      </c>
      <c r="M229" s="94" t="s">
        <v>6</v>
      </c>
      <c r="N229" t="s">
        <v>6</v>
      </c>
      <c r="O229" t="s">
        <v>199</v>
      </c>
      <c r="BH229" s="92" t="s">
        <v>6</v>
      </c>
      <c r="CV229" s="92" t="s">
        <v>6</v>
      </c>
    </row>
    <row r="230" spans="1:100" ht="18.399999999999999" customHeight="1" x14ac:dyDescent="0.15">
      <c r="A230" s="91" t="s">
        <v>623</v>
      </c>
      <c r="B230" s="92" t="s">
        <v>6</v>
      </c>
      <c r="C230" s="93">
        <v>1</v>
      </c>
      <c r="D230" s="92" t="s">
        <v>188</v>
      </c>
      <c r="E230" s="93">
        <f>G230+I230+K230</f>
        <v>293075507</v>
      </c>
      <c r="F230" s="93">
        <f t="shared" si="30"/>
        <v>293075507</v>
      </c>
      <c r="G230" s="93">
        <f>H233</f>
        <v>160445714</v>
      </c>
      <c r="H230" s="93">
        <f>TRUNC(G230*C230,0)</f>
        <v>160445714</v>
      </c>
      <c r="I230" s="93">
        <f>J233</f>
        <v>117792349</v>
      </c>
      <c r="J230" s="93">
        <f>TRUNC(I230*C230,0)</f>
        <v>117792349</v>
      </c>
      <c r="K230" s="93">
        <f>L233</f>
        <v>14837444</v>
      </c>
      <c r="L230" s="93">
        <f>TRUNC(K230*C230,0)</f>
        <v>14837444</v>
      </c>
      <c r="M230" s="94" t="s">
        <v>6</v>
      </c>
      <c r="N230" t="s">
        <v>6</v>
      </c>
      <c r="P230" t="s">
        <v>48</v>
      </c>
      <c r="Q230" t="s">
        <v>6</v>
      </c>
      <c r="R230" t="s">
        <v>624</v>
      </c>
      <c r="BH230" s="92" t="s">
        <v>6</v>
      </c>
      <c r="BJ230" s="95" t="str">
        <f>HYPERLINK("#내역서!A230","A01002010 →")</f>
        <v>A01002010 →</v>
      </c>
      <c r="CC230" s="92" t="s">
        <v>6</v>
      </c>
    </row>
    <row r="231" spans="1:100" ht="18.399999999999999" customHeight="1" x14ac:dyDescent="0.15">
      <c r="A231" s="91" t="s">
        <v>625</v>
      </c>
      <c r="B231" s="92" t="s">
        <v>6</v>
      </c>
      <c r="C231" s="93">
        <v>1</v>
      </c>
      <c r="D231" s="92" t="s">
        <v>188</v>
      </c>
      <c r="E231" s="93">
        <f>G231+I231+K231</f>
        <v>345346035</v>
      </c>
      <c r="F231" s="93">
        <f t="shared" si="30"/>
        <v>345346035</v>
      </c>
      <c r="G231" s="93">
        <f>H290</f>
        <v>166812079</v>
      </c>
      <c r="H231" s="93">
        <f>TRUNC(G231*C231,0)</f>
        <v>166812079</v>
      </c>
      <c r="I231" s="93">
        <f>J290</f>
        <v>148964588</v>
      </c>
      <c r="J231" s="93">
        <f>TRUNC(I231*C231,0)</f>
        <v>148964588</v>
      </c>
      <c r="K231" s="93">
        <f>L290</f>
        <v>29569368</v>
      </c>
      <c r="L231" s="93">
        <f>TRUNC(K231*C231,0)</f>
        <v>29569368</v>
      </c>
      <c r="M231" s="94" t="s">
        <v>6</v>
      </c>
      <c r="N231" t="s">
        <v>6</v>
      </c>
      <c r="P231" t="s">
        <v>191</v>
      </c>
      <c r="Q231" t="s">
        <v>6</v>
      </c>
      <c r="R231" t="s">
        <v>626</v>
      </c>
      <c r="BH231" s="92" t="s">
        <v>6</v>
      </c>
      <c r="BJ231" s="95" t="str">
        <f>HYPERLINK("#내역서!A287","A01002020 →")</f>
        <v>A01002020 →</v>
      </c>
      <c r="CC231" s="92" t="s">
        <v>6</v>
      </c>
    </row>
    <row r="232" spans="1:100" ht="18.399999999999999" customHeight="1" x14ac:dyDescent="0.15">
      <c r="A232" s="91" t="s">
        <v>6</v>
      </c>
      <c r="B232" s="92" t="s">
        <v>6</v>
      </c>
      <c r="C232" s="92"/>
      <c r="D232" s="92" t="s">
        <v>6</v>
      </c>
      <c r="E232" s="93">
        <f>G232+I232+K232</f>
        <v>0</v>
      </c>
      <c r="F232" s="93">
        <f t="shared" si="30"/>
        <v>0</v>
      </c>
      <c r="G232" s="90"/>
      <c r="H232" s="93">
        <v>0</v>
      </c>
      <c r="I232" s="90"/>
      <c r="J232" s="93">
        <v>0</v>
      </c>
      <c r="K232" s="90"/>
      <c r="L232" s="93">
        <v>0</v>
      </c>
      <c r="M232" s="94" t="s">
        <v>6</v>
      </c>
      <c r="N232" t="s">
        <v>6</v>
      </c>
      <c r="P232" t="s">
        <v>194</v>
      </c>
      <c r="Q232" t="s">
        <v>6</v>
      </c>
      <c r="R232" t="s">
        <v>6</v>
      </c>
      <c r="BH232" s="92" t="s">
        <v>6</v>
      </c>
      <c r="CC232" s="92" t="s">
        <v>6</v>
      </c>
    </row>
    <row r="233" spans="1:100" ht="18.399999999999999" customHeight="1" x14ac:dyDescent="0.15">
      <c r="A233" s="91" t="s">
        <v>623</v>
      </c>
      <c r="B233" s="92" t="s">
        <v>6</v>
      </c>
      <c r="C233" s="93">
        <v>1</v>
      </c>
      <c r="D233" s="92" t="s">
        <v>188</v>
      </c>
      <c r="E233" s="90"/>
      <c r="F233" s="93">
        <f t="shared" si="30"/>
        <v>293075507</v>
      </c>
      <c r="G233" s="90"/>
      <c r="H233" s="93">
        <f>TRUNC(SUM(Z233:Z234),0)</f>
        <v>160445714</v>
      </c>
      <c r="I233" s="90"/>
      <c r="J233" s="93">
        <f>TRUNC(SUM(AA233:AA234),0)</f>
        <v>117792349</v>
      </c>
      <c r="K233" s="90"/>
      <c r="L233" s="93">
        <f>TRUNC(SUM(AB233:AB234),0)</f>
        <v>14837444</v>
      </c>
      <c r="M233" s="94" t="s">
        <v>6</v>
      </c>
      <c r="N233" t="s">
        <v>6</v>
      </c>
      <c r="O233" t="s">
        <v>624</v>
      </c>
      <c r="Z233" s="93">
        <f>H236+H237+H238+H239+H240+H241+H242+H243+H244+H245+H246+H248+H249+H250+H251+H252+H253+H254+H255+H257+H258+H259+H262+H263+H264+H265+H266+H267+H269+H270</f>
        <v>128710828</v>
      </c>
      <c r="AA233" s="93">
        <f>J236+J237+J238+J239+J240+J241+J242+J243+J244+J245+J246+J248+J249+J250+J251+J252+J253+J254+J255+J257+J258+J259+J262+J263+J264+J265+J266+J267+J269+J270</f>
        <v>116877666</v>
      </c>
      <c r="AB233" s="93">
        <f>L236+L237+L238+L239+L240+L241+L242+L243+L244+L245+L246+L248+L249+L250+L251+L252+L253+L254+L255+L257+L258+L259+L262+L263+L264+L265+L266+L267+L269+L270</f>
        <v>14543913</v>
      </c>
      <c r="BH233" s="92" t="s">
        <v>6</v>
      </c>
      <c r="CV233" s="92" t="s">
        <v>6</v>
      </c>
    </row>
    <row r="234" spans="1:100" ht="18.399999999999999" customHeight="1" x14ac:dyDescent="0.15">
      <c r="A234" s="91" t="s">
        <v>484</v>
      </c>
      <c r="B234" s="92" t="s">
        <v>6</v>
      </c>
      <c r="C234" s="92"/>
      <c r="D234" s="92" t="s">
        <v>6</v>
      </c>
      <c r="E234" s="93">
        <f t="shared" ref="E234:F287" si="31">G234+I234+K234</f>
        <v>0</v>
      </c>
      <c r="F234" s="93">
        <f t="shared" si="30"/>
        <v>226169032</v>
      </c>
      <c r="G234" s="90"/>
      <c r="H234" s="93">
        <f>TRUNC(H236+H237+H238+H239+H240+H241+H242+H243+H244+H245+H246+H248+H249+H250+H251+H252+H253+H254+H255+H257+H258+H259,0)</f>
        <v>122073569</v>
      </c>
      <c r="I234" s="90"/>
      <c r="J234" s="93">
        <f>TRUNC(J236+J237+J238+J239+J240+J241+J242+J243+J244+J245+J246+J248+J249+J250+J251+J252+J253+J254+J255+J257+J258+J259,0)</f>
        <v>92380572</v>
      </c>
      <c r="K234" s="90"/>
      <c r="L234" s="93">
        <f>TRUNC(L236+L237+L238+L239+L240+L241+L242+L243+L244+L245+L246+L248+L249+L250+L251+L252+L253+L254+L255+L257+L258+L259,0)</f>
        <v>11714891</v>
      </c>
      <c r="M234" s="94" t="s">
        <v>6</v>
      </c>
      <c r="N234" t="s">
        <v>6</v>
      </c>
      <c r="P234" t="s">
        <v>48</v>
      </c>
      <c r="Q234" t="s">
        <v>6</v>
      </c>
      <c r="R234" t="s">
        <v>6</v>
      </c>
      <c r="Z234" s="93">
        <f>H271+H272+H273+H274+H275+H276+H277+H279+H280+H282+H283+H284+H285+H286+H288</f>
        <v>31734886</v>
      </c>
      <c r="AA234" s="93">
        <f>J271+J272+J273+J274+J275+J276+J277+J279+J280+J282+J283+J284+J285+J286+J288</f>
        <v>914683</v>
      </c>
      <c r="AB234" s="93">
        <f>L271+L272+L273+L274+L275+L276+L277+L279+L280+L282+L283+L284+L285+L286+L288</f>
        <v>293531</v>
      </c>
      <c r="BH234" s="92" t="s">
        <v>6</v>
      </c>
      <c r="CC234" s="92" t="s">
        <v>345</v>
      </c>
    </row>
    <row r="235" spans="1:100" ht="18.399999999999999" customHeight="1" x14ac:dyDescent="0.15">
      <c r="A235" s="91" t="s">
        <v>485</v>
      </c>
      <c r="B235" s="92" t="s">
        <v>6</v>
      </c>
      <c r="C235" s="92"/>
      <c r="D235" s="92" t="s">
        <v>6</v>
      </c>
      <c r="E235" s="93">
        <f t="shared" si="31"/>
        <v>0</v>
      </c>
      <c r="F235" s="93">
        <f t="shared" si="30"/>
        <v>46557260</v>
      </c>
      <c r="G235" s="90"/>
      <c r="H235" s="93">
        <f>TRUNC(H236+H237+H238+H239+H240+H241+H242+H243+H244+H245+H246,0)</f>
        <v>15888696</v>
      </c>
      <c r="I235" s="90"/>
      <c r="J235" s="93">
        <f>TRUNC(J236+J237+J238+J239+J240+J241+J242+J243+J244+J245+J246,0)</f>
        <v>26337763</v>
      </c>
      <c r="K235" s="90"/>
      <c r="L235" s="93">
        <f>TRUNC(L236+L237+L238+L239+L240+L241+L242+L243+L244+L245+L246,0)</f>
        <v>4330801</v>
      </c>
      <c r="M235" s="94" t="s">
        <v>6</v>
      </c>
      <c r="N235" t="s">
        <v>6</v>
      </c>
      <c r="P235" t="s">
        <v>191</v>
      </c>
      <c r="Q235" t="s">
        <v>6</v>
      </c>
      <c r="R235" t="s">
        <v>6</v>
      </c>
      <c r="BH235" s="92" t="s">
        <v>6</v>
      </c>
      <c r="CC235" s="92" t="s">
        <v>364</v>
      </c>
    </row>
    <row r="236" spans="1:100" ht="18.399999999999999" customHeight="1" x14ac:dyDescent="0.15">
      <c r="A236" s="91" t="s">
        <v>385</v>
      </c>
      <c r="B236" s="92" t="s">
        <v>386</v>
      </c>
      <c r="C236" s="92">
        <v>4.0490000000000004</v>
      </c>
      <c r="D236" s="92" t="s">
        <v>388</v>
      </c>
      <c r="E236" s="93">
        <f t="shared" si="31"/>
        <v>2472509</v>
      </c>
      <c r="F236" s="93">
        <f t="shared" si="30"/>
        <v>10011187</v>
      </c>
      <c r="G236" s="93">
        <f>[4]일위대가목록!F24</f>
        <v>68680</v>
      </c>
      <c r="H236" s="93">
        <f t="shared" ref="H236:H246" si="32">TRUNC(G236*C236,0)</f>
        <v>278085</v>
      </c>
      <c r="I236" s="93">
        <f>[4]일위대가목록!G24</f>
        <v>2289361</v>
      </c>
      <c r="J236" s="93">
        <f>TRUNC(I236*C236,0)</f>
        <v>9269622</v>
      </c>
      <c r="K236" s="93">
        <f>[4]일위대가목록!H24</f>
        <v>114468</v>
      </c>
      <c r="L236" s="93">
        <f>TRUNC(K236*C236,0)</f>
        <v>463480</v>
      </c>
      <c r="M236" s="94" t="s">
        <v>389</v>
      </c>
      <c r="N236" t="s">
        <v>6</v>
      </c>
      <c r="P236" t="s">
        <v>194</v>
      </c>
      <c r="Q236" t="s">
        <v>6</v>
      </c>
      <c r="R236" t="s">
        <v>390</v>
      </c>
      <c r="T236" t="s">
        <v>212</v>
      </c>
      <c r="BH236" s="92" t="s">
        <v>6</v>
      </c>
      <c r="BJ236" s="95" t="str">
        <f>HYPERLINK("#일위대가목록!A24","K01090028000 →")</f>
        <v>K01090028000 →</v>
      </c>
      <c r="CC236" s="92" t="s">
        <v>350</v>
      </c>
    </row>
    <row r="237" spans="1:100" ht="18.399999999999999" customHeight="1" x14ac:dyDescent="0.15">
      <c r="A237" s="91" t="s">
        <v>391</v>
      </c>
      <c r="B237" s="92" t="s">
        <v>386</v>
      </c>
      <c r="C237" s="92">
        <v>4.0490000000000004</v>
      </c>
      <c r="D237" s="92" t="s">
        <v>388</v>
      </c>
      <c r="E237" s="93">
        <f t="shared" si="31"/>
        <v>3364568</v>
      </c>
      <c r="F237" s="93">
        <f t="shared" si="30"/>
        <v>13623134</v>
      </c>
      <c r="G237" s="93">
        <f>[4]일위대가목록!F32</f>
        <v>93460</v>
      </c>
      <c r="H237" s="93">
        <f t="shared" si="32"/>
        <v>378419</v>
      </c>
      <c r="I237" s="93">
        <f>[4]일위대가목록!G32</f>
        <v>3115341</v>
      </c>
      <c r="J237" s="93">
        <f>TRUNC(I237*C237,0)</f>
        <v>12614015</v>
      </c>
      <c r="K237" s="93">
        <f>[4]일위대가목록!H32</f>
        <v>155767</v>
      </c>
      <c r="L237" s="93">
        <f>TRUNC(K237*C237,0)</f>
        <v>630700</v>
      </c>
      <c r="M237" s="94" t="s">
        <v>486</v>
      </c>
      <c r="N237" t="s">
        <v>6</v>
      </c>
      <c r="P237" t="s">
        <v>198</v>
      </c>
      <c r="Q237" t="s">
        <v>6</v>
      </c>
      <c r="R237" t="s">
        <v>487</v>
      </c>
      <c r="T237" t="s">
        <v>212</v>
      </c>
      <c r="BH237" s="92" t="s">
        <v>6</v>
      </c>
      <c r="BJ237" s="95" t="str">
        <f>HYPERLINK("#일위대가목록!A32","K01090029000 →")</f>
        <v>K01090029000 →</v>
      </c>
      <c r="CC237" s="92" t="s">
        <v>350</v>
      </c>
    </row>
    <row r="238" spans="1:100" ht="18.399999999999999" customHeight="1" x14ac:dyDescent="0.15">
      <c r="A238" s="91" t="s">
        <v>488</v>
      </c>
      <c r="B238" s="92" t="s">
        <v>6</v>
      </c>
      <c r="C238" s="93">
        <v>3354</v>
      </c>
      <c r="D238" s="92" t="s">
        <v>489</v>
      </c>
      <c r="E238" s="93">
        <f t="shared" si="31"/>
        <v>950</v>
      </c>
      <c r="F238" s="93">
        <f t="shared" si="30"/>
        <v>3186300</v>
      </c>
      <c r="G238" s="93">
        <f>[4]자재조서!E55</f>
        <v>950</v>
      </c>
      <c r="H238" s="93">
        <f t="shared" si="32"/>
        <v>3186300</v>
      </c>
      <c r="I238" s="93">
        <v>0</v>
      </c>
      <c r="J238" s="93"/>
      <c r="K238" s="93">
        <v>0</v>
      </c>
      <c r="L238" s="93"/>
      <c r="M238" s="94" t="s">
        <v>490</v>
      </c>
      <c r="N238" t="s">
        <v>6</v>
      </c>
      <c r="P238" t="s">
        <v>201</v>
      </c>
      <c r="Q238" t="s">
        <v>6</v>
      </c>
      <c r="R238" t="s">
        <v>490</v>
      </c>
      <c r="BH238" s="92" t="s">
        <v>6</v>
      </c>
      <c r="BJ238" s="95" t="str">
        <f>HYPERLINK("#자재조서!A55","M9384010 →")</f>
        <v>M9384010 →</v>
      </c>
      <c r="CC238" s="92" t="s">
        <v>350</v>
      </c>
    </row>
    <row r="239" spans="1:100" ht="18.399999999999999" customHeight="1" x14ac:dyDescent="0.15">
      <c r="A239" s="91" t="s">
        <v>491</v>
      </c>
      <c r="B239" s="92" t="s">
        <v>492</v>
      </c>
      <c r="C239" s="93">
        <v>202</v>
      </c>
      <c r="D239" s="92" t="s">
        <v>493</v>
      </c>
      <c r="E239" s="93">
        <f t="shared" si="31"/>
        <v>-251</v>
      </c>
      <c r="F239" s="93">
        <f t="shared" si="30"/>
        <v>-50702</v>
      </c>
      <c r="G239" s="93">
        <f>[4]자재조서!E56</f>
        <v>-251</v>
      </c>
      <c r="H239" s="93">
        <f t="shared" si="32"/>
        <v>-50702</v>
      </c>
      <c r="I239" s="93">
        <v>0</v>
      </c>
      <c r="J239" s="93"/>
      <c r="K239" s="93">
        <v>0</v>
      </c>
      <c r="L239" s="93"/>
      <c r="M239" s="94" t="s">
        <v>494</v>
      </c>
      <c r="N239" t="s">
        <v>431</v>
      </c>
      <c r="P239" t="s">
        <v>204</v>
      </c>
      <c r="Q239" t="s">
        <v>6</v>
      </c>
      <c r="R239" t="s">
        <v>494</v>
      </c>
      <c r="BH239" s="92" t="s">
        <v>6</v>
      </c>
      <c r="BJ239" s="95" t="str">
        <f>HYPERLINK("#자재조서!A56","M9531005A →")</f>
        <v>M9531005A →</v>
      </c>
      <c r="CC239" s="92" t="s">
        <v>350</v>
      </c>
    </row>
    <row r="240" spans="1:100" ht="18.399999999999999" customHeight="1" x14ac:dyDescent="0.15">
      <c r="A240" s="91" t="s">
        <v>495</v>
      </c>
      <c r="B240" s="92" t="s">
        <v>6</v>
      </c>
      <c r="C240" s="92">
        <v>4.0490000000000004</v>
      </c>
      <c r="D240" s="92" t="s">
        <v>388</v>
      </c>
      <c r="E240" s="93">
        <f t="shared" si="31"/>
        <v>23537</v>
      </c>
      <c r="F240" s="93">
        <f t="shared" si="30"/>
        <v>95299</v>
      </c>
      <c r="G240" s="93">
        <f>[4]일위대가목록!F33</f>
        <v>6305</v>
      </c>
      <c r="H240" s="93">
        <f t="shared" si="32"/>
        <v>25528</v>
      </c>
      <c r="I240" s="93">
        <f>[4]일위대가목록!G33</f>
        <v>13194</v>
      </c>
      <c r="J240" s="93">
        <f>TRUNC(I240*C240,0)</f>
        <v>53422</v>
      </c>
      <c r="K240" s="93">
        <f>[4]일위대가목록!H33</f>
        <v>4038</v>
      </c>
      <c r="L240" s="93">
        <f>TRUNC(K240*C240,0)</f>
        <v>16349</v>
      </c>
      <c r="M240" s="94" t="s">
        <v>496</v>
      </c>
      <c r="N240" t="s">
        <v>6</v>
      </c>
      <c r="P240" t="s">
        <v>211</v>
      </c>
      <c r="Q240" t="s">
        <v>6</v>
      </c>
      <c r="R240" t="s">
        <v>497</v>
      </c>
      <c r="T240" t="s">
        <v>212</v>
      </c>
      <c r="BH240" s="92" t="s">
        <v>6</v>
      </c>
      <c r="BJ240" s="95" t="str">
        <f>HYPERLINK("#일위대가목록!A33","K03H1H204850 →")</f>
        <v>K03H1H204850 →</v>
      </c>
      <c r="CC240" s="92" t="s">
        <v>350</v>
      </c>
    </row>
    <row r="241" spans="1:81" ht="18.399999999999999" customHeight="1" x14ac:dyDescent="0.15">
      <c r="A241" s="91" t="s">
        <v>498</v>
      </c>
      <c r="B241" s="92" t="s">
        <v>499</v>
      </c>
      <c r="C241" s="93">
        <v>11</v>
      </c>
      <c r="D241" s="92" t="s">
        <v>500</v>
      </c>
      <c r="E241" s="93">
        <f t="shared" si="31"/>
        <v>773936</v>
      </c>
      <c r="F241" s="93">
        <f t="shared" si="30"/>
        <v>8513296</v>
      </c>
      <c r="G241" s="93">
        <f>[4]일위대가목록!F34</f>
        <v>81120</v>
      </c>
      <c r="H241" s="93">
        <f t="shared" si="32"/>
        <v>892320</v>
      </c>
      <c r="I241" s="93">
        <f>[4]일위대가목록!G34</f>
        <v>400064</v>
      </c>
      <c r="J241" s="93">
        <f>TRUNC(I241*C241,0)</f>
        <v>4400704</v>
      </c>
      <c r="K241" s="93">
        <f>[4]일위대가목록!H34</f>
        <v>292752</v>
      </c>
      <c r="L241" s="93">
        <f>TRUNC(K241*C241,0)</f>
        <v>3220272</v>
      </c>
      <c r="M241" s="94" t="s">
        <v>501</v>
      </c>
      <c r="N241" t="s">
        <v>6</v>
      </c>
      <c r="P241" t="s">
        <v>218</v>
      </c>
      <c r="Q241" t="s">
        <v>6</v>
      </c>
      <c r="R241" t="s">
        <v>502</v>
      </c>
      <c r="T241" t="s">
        <v>212</v>
      </c>
      <c r="BH241" s="92" t="s">
        <v>6</v>
      </c>
      <c r="BJ241" s="95" t="str">
        <f>HYPERLINK("#일위대가목록!A34","K015080D120A →")</f>
        <v>K015080D120A →</v>
      </c>
      <c r="CC241" s="92" t="s">
        <v>350</v>
      </c>
    </row>
    <row r="242" spans="1:81" ht="18.399999999999999" customHeight="1" x14ac:dyDescent="0.15">
      <c r="A242" s="91" t="s">
        <v>414</v>
      </c>
      <c r="B242" s="92" t="s">
        <v>415</v>
      </c>
      <c r="C242" s="93">
        <v>194</v>
      </c>
      <c r="D242" s="92" t="s">
        <v>410</v>
      </c>
      <c r="E242" s="93">
        <f t="shared" si="31"/>
        <v>10148</v>
      </c>
      <c r="F242" s="93">
        <f t="shared" si="30"/>
        <v>1968712</v>
      </c>
      <c r="G242" s="93">
        <f>[4]자재조서!E13</f>
        <v>10148</v>
      </c>
      <c r="H242" s="93">
        <f t="shared" si="32"/>
        <v>1968712</v>
      </c>
      <c r="I242" s="93">
        <v>0</v>
      </c>
      <c r="J242" s="93"/>
      <c r="K242" s="93">
        <v>0</v>
      </c>
      <c r="L242" s="93"/>
      <c r="M242" s="94" t="s">
        <v>627</v>
      </c>
      <c r="N242" t="s">
        <v>506</v>
      </c>
      <c r="P242" t="s">
        <v>223</v>
      </c>
      <c r="Q242" t="s">
        <v>6</v>
      </c>
      <c r="R242" t="s">
        <v>627</v>
      </c>
      <c r="BH242" s="92" t="s">
        <v>6</v>
      </c>
      <c r="BJ242" s="95" t="str">
        <f>HYPERLINK("#자재조서!A13","M0132121E →")</f>
        <v>M0132121E →</v>
      </c>
      <c r="CC242" s="92" t="s">
        <v>350</v>
      </c>
    </row>
    <row r="243" spans="1:81" ht="18.399999999999999" customHeight="1" x14ac:dyDescent="0.15">
      <c r="A243" s="91" t="s">
        <v>417</v>
      </c>
      <c r="B243" s="92" t="s">
        <v>418</v>
      </c>
      <c r="C243" s="93">
        <v>774</v>
      </c>
      <c r="D243" s="92" t="s">
        <v>410</v>
      </c>
      <c r="E243" s="93">
        <f t="shared" si="31"/>
        <v>10421</v>
      </c>
      <c r="F243" s="93">
        <f t="shared" si="30"/>
        <v>8065854</v>
      </c>
      <c r="G243" s="93">
        <f>[4]자재조서!E16</f>
        <v>10421</v>
      </c>
      <c r="H243" s="93">
        <f t="shared" si="32"/>
        <v>8065854</v>
      </c>
      <c r="I243" s="93">
        <v>0</v>
      </c>
      <c r="J243" s="93"/>
      <c r="K243" s="93">
        <v>0</v>
      </c>
      <c r="L243" s="93"/>
      <c r="M243" s="94" t="s">
        <v>628</v>
      </c>
      <c r="N243" t="s">
        <v>6</v>
      </c>
      <c r="P243" t="s">
        <v>228</v>
      </c>
      <c r="Q243" t="s">
        <v>6</v>
      </c>
      <c r="R243" t="s">
        <v>628</v>
      </c>
      <c r="BH243" s="92" t="s">
        <v>6</v>
      </c>
      <c r="BJ243" s="95" t="str">
        <f>HYPERLINK("#자재조서!A16","M0132121H →")</f>
        <v>M0132121H →</v>
      </c>
      <c r="CC243" s="92" t="s">
        <v>350</v>
      </c>
    </row>
    <row r="244" spans="1:81" ht="18.399999999999999" customHeight="1" x14ac:dyDescent="0.15">
      <c r="A244" s="91" t="s">
        <v>509</v>
      </c>
      <c r="B244" s="92" t="s">
        <v>510</v>
      </c>
      <c r="C244" s="93">
        <v>7</v>
      </c>
      <c r="D244" s="92" t="s">
        <v>511</v>
      </c>
      <c r="E244" s="93">
        <f t="shared" si="31"/>
        <v>20000</v>
      </c>
      <c r="F244" s="93">
        <f t="shared" si="30"/>
        <v>140000</v>
      </c>
      <c r="G244" s="93">
        <f>[4]자재조서!E40</f>
        <v>20000</v>
      </c>
      <c r="H244" s="93">
        <f t="shared" si="32"/>
        <v>140000</v>
      </c>
      <c r="I244" s="93">
        <v>0</v>
      </c>
      <c r="J244" s="93"/>
      <c r="K244" s="93">
        <v>0</v>
      </c>
      <c r="L244" s="93"/>
      <c r="M244" s="94" t="s">
        <v>512</v>
      </c>
      <c r="N244" t="s">
        <v>513</v>
      </c>
      <c r="P244" t="s">
        <v>252</v>
      </c>
      <c r="Q244" t="s">
        <v>6</v>
      </c>
      <c r="R244" t="s">
        <v>512</v>
      </c>
      <c r="BH244" s="92" t="s">
        <v>6</v>
      </c>
      <c r="BJ244" s="95" t="str">
        <f>HYPERLINK("#자재조서!A40","M1663037 →")</f>
        <v>M1663037 →</v>
      </c>
      <c r="CC244" s="92" t="s">
        <v>350</v>
      </c>
    </row>
    <row r="245" spans="1:81" ht="18.399999999999999" customHeight="1" x14ac:dyDescent="0.15">
      <c r="A245" s="91" t="s">
        <v>509</v>
      </c>
      <c r="B245" s="92" t="s">
        <v>514</v>
      </c>
      <c r="C245" s="93">
        <v>24</v>
      </c>
      <c r="D245" s="92" t="s">
        <v>511</v>
      </c>
      <c r="E245" s="93">
        <f t="shared" si="31"/>
        <v>10000</v>
      </c>
      <c r="F245" s="93">
        <f t="shared" si="30"/>
        <v>240000</v>
      </c>
      <c r="G245" s="93">
        <f>[4]자재조서!E39</f>
        <v>10000</v>
      </c>
      <c r="H245" s="93">
        <f t="shared" si="32"/>
        <v>240000</v>
      </c>
      <c r="I245" s="93">
        <v>0</v>
      </c>
      <c r="J245" s="93"/>
      <c r="K245" s="93">
        <v>0</v>
      </c>
      <c r="L245" s="93"/>
      <c r="M245" s="94" t="s">
        <v>515</v>
      </c>
      <c r="N245" t="s">
        <v>6</v>
      </c>
      <c r="P245" t="s">
        <v>256</v>
      </c>
      <c r="Q245" t="s">
        <v>6</v>
      </c>
      <c r="R245" t="s">
        <v>515</v>
      </c>
      <c r="BH245" s="92" t="s">
        <v>6</v>
      </c>
      <c r="BJ245" s="95" t="str">
        <f>HYPERLINK("#자재조서!A39","M1663035 →")</f>
        <v>M1663035 →</v>
      </c>
      <c r="CC245" s="92" t="s">
        <v>350</v>
      </c>
    </row>
    <row r="246" spans="1:81" ht="18.399999999999999" customHeight="1" x14ac:dyDescent="0.15">
      <c r="A246" s="91" t="s">
        <v>516</v>
      </c>
      <c r="B246" s="92" t="s">
        <v>517</v>
      </c>
      <c r="C246" s="93">
        <v>190</v>
      </c>
      <c r="D246" s="92" t="s">
        <v>410</v>
      </c>
      <c r="E246" s="93">
        <f t="shared" si="31"/>
        <v>4022</v>
      </c>
      <c r="F246" s="93">
        <f t="shared" si="30"/>
        <v>764180</v>
      </c>
      <c r="G246" s="93">
        <f>[4]자재조서!E8</f>
        <v>4022</v>
      </c>
      <c r="H246" s="93">
        <f t="shared" si="32"/>
        <v>764180</v>
      </c>
      <c r="I246" s="93">
        <v>0</v>
      </c>
      <c r="J246" s="93"/>
      <c r="K246" s="93">
        <v>0</v>
      </c>
      <c r="L246" s="93"/>
      <c r="M246" s="94" t="s">
        <v>518</v>
      </c>
      <c r="N246" t="s">
        <v>6</v>
      </c>
      <c r="P246" t="s">
        <v>261</v>
      </c>
      <c r="Q246" t="s">
        <v>6</v>
      </c>
      <c r="R246" t="s">
        <v>518</v>
      </c>
      <c r="BH246" s="92" t="s">
        <v>6</v>
      </c>
      <c r="BJ246" s="95" t="str">
        <f>HYPERLINK("#자재조서!A8","M0060024B →")</f>
        <v>M0060024B →</v>
      </c>
      <c r="CC246" s="92" t="s">
        <v>350</v>
      </c>
    </row>
    <row r="247" spans="1:81" ht="18.399999999999999" customHeight="1" x14ac:dyDescent="0.15">
      <c r="A247" s="91" t="s">
        <v>519</v>
      </c>
      <c r="B247" s="92" t="s">
        <v>6</v>
      </c>
      <c r="C247" s="92"/>
      <c r="D247" s="92" t="s">
        <v>6</v>
      </c>
      <c r="E247" s="93">
        <f t="shared" si="31"/>
        <v>0</v>
      </c>
      <c r="F247" s="93">
        <f t="shared" si="30"/>
        <v>136686098</v>
      </c>
      <c r="G247" s="90"/>
      <c r="H247" s="93">
        <f>TRUNC(H248+H249+H250+H251+H252+H253+H254+H255,0)</f>
        <v>69199530</v>
      </c>
      <c r="I247" s="90"/>
      <c r="J247" s="93">
        <f>TRUNC(J248+J249+J250+J251+J252+J253+J254+J255,0)</f>
        <v>60385350</v>
      </c>
      <c r="K247" s="90"/>
      <c r="L247" s="93">
        <f>TRUNC(L248+L249+L250+L251+L252+L253+L254+L255,0)</f>
        <v>7101218</v>
      </c>
      <c r="M247" s="94" t="s">
        <v>6</v>
      </c>
      <c r="N247" t="s">
        <v>6</v>
      </c>
      <c r="P247" t="s">
        <v>266</v>
      </c>
      <c r="Q247" t="s">
        <v>6</v>
      </c>
      <c r="R247" t="s">
        <v>6</v>
      </c>
      <c r="BH247" s="92" t="s">
        <v>6</v>
      </c>
      <c r="CC247" s="92" t="s">
        <v>364</v>
      </c>
    </row>
    <row r="248" spans="1:81" ht="18.399999999999999" customHeight="1" x14ac:dyDescent="0.15">
      <c r="A248" s="91" t="s">
        <v>391</v>
      </c>
      <c r="B248" s="92" t="s">
        <v>386</v>
      </c>
      <c r="C248" s="92">
        <v>6.4729999999999999</v>
      </c>
      <c r="D248" s="92" t="s">
        <v>388</v>
      </c>
      <c r="E248" s="93">
        <f t="shared" si="31"/>
        <v>3364568</v>
      </c>
      <c r="F248" s="93">
        <f t="shared" si="30"/>
        <v>21778847</v>
      </c>
      <c r="G248" s="93">
        <f>[4]일위대가목록!F32</f>
        <v>93460</v>
      </c>
      <c r="H248" s="93">
        <f t="shared" ref="H248:H255" si="33">TRUNC(G248*C248,0)</f>
        <v>604966</v>
      </c>
      <c r="I248" s="93">
        <f>[4]일위대가목록!G32</f>
        <v>3115341</v>
      </c>
      <c r="J248" s="93">
        <f>TRUNC(I248*C248,0)</f>
        <v>20165602</v>
      </c>
      <c r="K248" s="93">
        <f>[4]일위대가목록!H32</f>
        <v>155767</v>
      </c>
      <c r="L248" s="93">
        <f>TRUNC(K248*C248,0)</f>
        <v>1008279</v>
      </c>
      <c r="M248" s="94" t="s">
        <v>486</v>
      </c>
      <c r="N248" t="s">
        <v>6</v>
      </c>
      <c r="P248" t="s">
        <v>271</v>
      </c>
      <c r="Q248" t="s">
        <v>6</v>
      </c>
      <c r="R248" t="s">
        <v>487</v>
      </c>
      <c r="T248" t="s">
        <v>212</v>
      </c>
      <c r="BH248" s="92" t="s">
        <v>6</v>
      </c>
      <c r="BJ248" s="95" t="str">
        <f>HYPERLINK("#일위대가목록!A32","K01090029000 →")</f>
        <v>K01090029000 →</v>
      </c>
      <c r="CC248" s="92" t="s">
        <v>350</v>
      </c>
    </row>
    <row r="249" spans="1:81" ht="18.399999999999999" customHeight="1" x14ac:dyDescent="0.15">
      <c r="A249" s="91" t="s">
        <v>488</v>
      </c>
      <c r="B249" s="92" t="s">
        <v>6</v>
      </c>
      <c r="C249" s="93">
        <v>6476</v>
      </c>
      <c r="D249" s="92" t="s">
        <v>489</v>
      </c>
      <c r="E249" s="93">
        <f t="shared" si="31"/>
        <v>950</v>
      </c>
      <c r="F249" s="93">
        <f t="shared" si="30"/>
        <v>6152200</v>
      </c>
      <c r="G249" s="93">
        <f>[4]자재조서!E55</f>
        <v>950</v>
      </c>
      <c r="H249" s="93">
        <f t="shared" si="33"/>
        <v>6152200</v>
      </c>
      <c r="I249" s="93">
        <v>0</v>
      </c>
      <c r="J249" s="93"/>
      <c r="K249" s="93">
        <v>0</v>
      </c>
      <c r="L249" s="93"/>
      <c r="M249" s="94" t="s">
        <v>490</v>
      </c>
      <c r="N249" t="s">
        <v>6</v>
      </c>
      <c r="P249" t="s">
        <v>275</v>
      </c>
      <c r="Q249" t="s">
        <v>6</v>
      </c>
      <c r="R249" t="s">
        <v>490</v>
      </c>
      <c r="BH249" s="92" t="s">
        <v>6</v>
      </c>
      <c r="BJ249" s="95" t="str">
        <f>HYPERLINK("#자재조서!A55","M9384010 →")</f>
        <v>M9384010 →</v>
      </c>
      <c r="CC249" s="92" t="s">
        <v>350</v>
      </c>
    </row>
    <row r="250" spans="1:81" ht="18.399999999999999" customHeight="1" x14ac:dyDescent="0.15">
      <c r="A250" s="91" t="s">
        <v>520</v>
      </c>
      <c r="B250" s="92" t="s">
        <v>521</v>
      </c>
      <c r="C250" s="93">
        <v>766</v>
      </c>
      <c r="D250" s="92" t="s">
        <v>522</v>
      </c>
      <c r="E250" s="93">
        <f t="shared" si="31"/>
        <v>36324</v>
      </c>
      <c r="F250" s="93">
        <f t="shared" si="30"/>
        <v>27824184</v>
      </c>
      <c r="G250" s="93">
        <f>[4]일위대가목록!F35</f>
        <v>1258</v>
      </c>
      <c r="H250" s="93">
        <f t="shared" si="33"/>
        <v>963628</v>
      </c>
      <c r="I250" s="93">
        <f>[4]일위대가목록!G35</f>
        <v>33643</v>
      </c>
      <c r="J250" s="93">
        <f>TRUNC(I250*C250,0)</f>
        <v>25770538</v>
      </c>
      <c r="K250" s="93">
        <f>[4]일위대가목록!H35</f>
        <v>1423</v>
      </c>
      <c r="L250" s="93">
        <f>TRUNC(K250*C250,0)</f>
        <v>1090018</v>
      </c>
      <c r="M250" s="94" t="s">
        <v>523</v>
      </c>
      <c r="N250" t="s">
        <v>6</v>
      </c>
      <c r="P250" t="s">
        <v>279</v>
      </c>
      <c r="Q250" t="s">
        <v>6</v>
      </c>
      <c r="R250" t="s">
        <v>524</v>
      </c>
      <c r="T250" t="s">
        <v>212</v>
      </c>
      <c r="BH250" s="92" t="s">
        <v>6</v>
      </c>
      <c r="BJ250" s="95" t="str">
        <f>HYPERLINK("#일위대가목록!A35","KR09030-0020 →")</f>
        <v>KR09030-0020 →</v>
      </c>
      <c r="CC250" s="92" t="s">
        <v>350</v>
      </c>
    </row>
    <row r="251" spans="1:81" ht="18.399999999999999" customHeight="1" x14ac:dyDescent="0.15">
      <c r="A251" s="91" t="s">
        <v>495</v>
      </c>
      <c r="B251" s="92" t="s">
        <v>6</v>
      </c>
      <c r="C251" s="92">
        <v>6.4729999999999999</v>
      </c>
      <c r="D251" s="92" t="s">
        <v>388</v>
      </c>
      <c r="E251" s="93">
        <f t="shared" si="31"/>
        <v>23537</v>
      </c>
      <c r="F251" s="93">
        <f t="shared" si="30"/>
        <v>152353</v>
      </c>
      <c r="G251" s="93">
        <f>[4]일위대가목록!F33</f>
        <v>6305</v>
      </c>
      <c r="H251" s="93">
        <f t="shared" si="33"/>
        <v>40812</v>
      </c>
      <c r="I251" s="93">
        <f>[4]일위대가목록!G33</f>
        <v>13194</v>
      </c>
      <c r="J251" s="93">
        <f>TRUNC(I251*C251,0)</f>
        <v>85404</v>
      </c>
      <c r="K251" s="93">
        <f>[4]일위대가목록!H33</f>
        <v>4038</v>
      </c>
      <c r="L251" s="93">
        <f>TRUNC(K251*C251,0)</f>
        <v>26137</v>
      </c>
      <c r="M251" s="94" t="s">
        <v>496</v>
      </c>
      <c r="N251" t="s">
        <v>6</v>
      </c>
      <c r="P251" t="s">
        <v>283</v>
      </c>
      <c r="Q251" t="s">
        <v>6</v>
      </c>
      <c r="R251" t="s">
        <v>497</v>
      </c>
      <c r="T251" t="s">
        <v>212</v>
      </c>
      <c r="BH251" s="92" t="s">
        <v>6</v>
      </c>
      <c r="BJ251" s="95" t="str">
        <f>HYPERLINK("#일위대가목록!A33","K03H1H204850 →")</f>
        <v>K03H1H204850 →</v>
      </c>
      <c r="CC251" s="92" t="s">
        <v>350</v>
      </c>
    </row>
    <row r="252" spans="1:81" ht="18.399999999999999" customHeight="1" x14ac:dyDescent="0.15">
      <c r="A252" s="91" t="s">
        <v>525</v>
      </c>
      <c r="B252" s="92" t="s">
        <v>499</v>
      </c>
      <c r="C252" s="93">
        <v>17</v>
      </c>
      <c r="D252" s="92" t="s">
        <v>500</v>
      </c>
      <c r="E252" s="93">
        <f t="shared" si="31"/>
        <v>773936</v>
      </c>
      <c r="F252" s="93">
        <f t="shared" si="30"/>
        <v>13156912</v>
      </c>
      <c r="G252" s="93">
        <f>[4]일위대가목록!F36</f>
        <v>81120</v>
      </c>
      <c r="H252" s="93">
        <f t="shared" si="33"/>
        <v>1379040</v>
      </c>
      <c r="I252" s="93">
        <f>[4]일위대가목록!G36</f>
        <v>400064</v>
      </c>
      <c r="J252" s="93">
        <f>TRUNC(I252*C252,0)</f>
        <v>6801088</v>
      </c>
      <c r="K252" s="93">
        <f>[4]일위대가목록!H36</f>
        <v>292752</v>
      </c>
      <c r="L252" s="93">
        <f>TRUNC(K252*C252,0)</f>
        <v>4976784</v>
      </c>
      <c r="M252" s="94" t="s">
        <v>526</v>
      </c>
      <c r="N252" t="s">
        <v>6</v>
      </c>
      <c r="P252" t="s">
        <v>286</v>
      </c>
      <c r="Q252" t="s">
        <v>6</v>
      </c>
      <c r="R252" t="s">
        <v>527</v>
      </c>
      <c r="T252" t="s">
        <v>212</v>
      </c>
      <c r="BH252" s="92" t="s">
        <v>6</v>
      </c>
      <c r="BJ252" s="95" t="str">
        <f>HYPERLINK("#일위대가목록!A36","K015080D110A →")</f>
        <v>K015080D110A →</v>
      </c>
      <c r="CC252" s="92" t="s">
        <v>350</v>
      </c>
    </row>
    <row r="253" spans="1:81" ht="18.399999999999999" customHeight="1" x14ac:dyDescent="0.15">
      <c r="A253" s="91" t="s">
        <v>528</v>
      </c>
      <c r="B253" s="92" t="s">
        <v>529</v>
      </c>
      <c r="C253" s="93">
        <v>124</v>
      </c>
      <c r="D253" s="92" t="s">
        <v>522</v>
      </c>
      <c r="E253" s="93">
        <f t="shared" si="31"/>
        <v>402285</v>
      </c>
      <c r="F253" s="93">
        <f t="shared" si="30"/>
        <v>49883340</v>
      </c>
      <c r="G253" s="93">
        <f>[4]자재조서!E68</f>
        <v>402285</v>
      </c>
      <c r="H253" s="93">
        <f t="shared" si="33"/>
        <v>49883340</v>
      </c>
      <c r="I253" s="93">
        <v>0</v>
      </c>
      <c r="J253" s="93"/>
      <c r="K253" s="93">
        <v>0</v>
      </c>
      <c r="L253" s="93"/>
      <c r="M253" s="94" t="s">
        <v>530</v>
      </c>
      <c r="N253" t="s">
        <v>6</v>
      </c>
      <c r="P253" t="s">
        <v>291</v>
      </c>
      <c r="Q253" t="s">
        <v>6</v>
      </c>
      <c r="R253" t="s">
        <v>530</v>
      </c>
      <c r="BH253" s="92" t="s">
        <v>6</v>
      </c>
      <c r="BJ253" s="95" t="str">
        <f>HYPERLINK("#자재조서!A68","MZZ10030 →")</f>
        <v>MZZ10030 →</v>
      </c>
      <c r="CC253" s="92" t="s">
        <v>350</v>
      </c>
    </row>
    <row r="254" spans="1:81" ht="18.399999999999999" customHeight="1" x14ac:dyDescent="0.15">
      <c r="A254" s="91" t="s">
        <v>531</v>
      </c>
      <c r="B254" s="92" t="s">
        <v>532</v>
      </c>
      <c r="C254" s="93">
        <v>766</v>
      </c>
      <c r="D254" s="92" t="s">
        <v>303</v>
      </c>
      <c r="E254" s="93">
        <f t="shared" si="31"/>
        <v>19757</v>
      </c>
      <c r="F254" s="93">
        <f t="shared" si="30"/>
        <v>15133862</v>
      </c>
      <c r="G254" s="93">
        <f>[4]일위대가목록!F37</f>
        <v>9884</v>
      </c>
      <c r="H254" s="93">
        <f t="shared" si="33"/>
        <v>7571144</v>
      </c>
      <c r="I254" s="93">
        <f>[4]일위대가목록!G37</f>
        <v>9873</v>
      </c>
      <c r="J254" s="93">
        <f>TRUNC(I254*C254,0)</f>
        <v>7562718</v>
      </c>
      <c r="K254" s="93">
        <f>[4]일위대가목록!H37</f>
        <v>0</v>
      </c>
      <c r="L254" s="93">
        <f>TRUNC(K254*C254,0)</f>
        <v>0</v>
      </c>
      <c r="M254" s="94" t="s">
        <v>533</v>
      </c>
      <c r="N254" t="s">
        <v>6</v>
      </c>
      <c r="P254" t="s">
        <v>297</v>
      </c>
      <c r="Q254" t="s">
        <v>6</v>
      </c>
      <c r="R254" t="s">
        <v>534</v>
      </c>
      <c r="T254" t="s">
        <v>212</v>
      </c>
      <c r="BH254" s="92" t="s">
        <v>6</v>
      </c>
      <c r="BJ254" s="95" t="str">
        <f>HYPERLINK("#일위대가목록!A37","KR02062-0190 →")</f>
        <v>KR02062-0190 →</v>
      </c>
      <c r="CC254" s="92" t="s">
        <v>350</v>
      </c>
    </row>
    <row r="255" spans="1:81" ht="18.399999999999999" customHeight="1" x14ac:dyDescent="0.15">
      <c r="A255" s="91" t="s">
        <v>535</v>
      </c>
      <c r="B255" s="92" t="s">
        <v>536</v>
      </c>
      <c r="C255" s="93">
        <v>766</v>
      </c>
      <c r="D255" s="92" t="s">
        <v>511</v>
      </c>
      <c r="E255" s="93">
        <f t="shared" si="31"/>
        <v>3400</v>
      </c>
      <c r="F255" s="93">
        <f t="shared" si="30"/>
        <v>2604400</v>
      </c>
      <c r="G255" s="93">
        <f>[4]자재조서!E38</f>
        <v>3400</v>
      </c>
      <c r="H255" s="93">
        <f t="shared" si="33"/>
        <v>2604400</v>
      </c>
      <c r="I255" s="93">
        <v>0</v>
      </c>
      <c r="J255" s="93"/>
      <c r="K255" s="93">
        <v>0</v>
      </c>
      <c r="L255" s="93"/>
      <c r="M255" s="94" t="s">
        <v>537</v>
      </c>
      <c r="N255" t="s">
        <v>6</v>
      </c>
      <c r="P255" t="s">
        <v>307</v>
      </c>
      <c r="Q255" t="s">
        <v>6</v>
      </c>
      <c r="R255" t="s">
        <v>537</v>
      </c>
      <c r="BH255" s="92" t="s">
        <v>6</v>
      </c>
      <c r="BJ255" s="95" t="str">
        <f>HYPERLINK("#자재조서!A38","M1663027 →")</f>
        <v>M1663027 →</v>
      </c>
      <c r="CC255" s="92" t="s">
        <v>350</v>
      </c>
    </row>
    <row r="256" spans="1:81" ht="18.399999999999999" customHeight="1" x14ac:dyDescent="0.15">
      <c r="A256" s="91" t="s">
        <v>538</v>
      </c>
      <c r="B256" s="92" t="s">
        <v>6</v>
      </c>
      <c r="C256" s="92"/>
      <c r="D256" s="92" t="s">
        <v>6</v>
      </c>
      <c r="E256" s="93">
        <f t="shared" si="31"/>
        <v>0</v>
      </c>
      <c r="F256" s="93">
        <f t="shared" si="30"/>
        <v>42925674</v>
      </c>
      <c r="G256" s="90"/>
      <c r="H256" s="93">
        <f>TRUNC(H257+H258+H259,0)</f>
        <v>36985343</v>
      </c>
      <c r="I256" s="90"/>
      <c r="J256" s="93">
        <f>TRUNC(J257+J258+J259,0)</f>
        <v>5657459</v>
      </c>
      <c r="K256" s="90"/>
      <c r="L256" s="93">
        <f>TRUNC(L257+L258+L259,0)</f>
        <v>282872</v>
      </c>
      <c r="M256" s="94" t="s">
        <v>6</v>
      </c>
      <c r="N256" t="s">
        <v>6</v>
      </c>
      <c r="P256" t="s">
        <v>311</v>
      </c>
      <c r="Q256" t="s">
        <v>6</v>
      </c>
      <c r="R256" t="s">
        <v>6</v>
      </c>
      <c r="BH256" s="92" t="s">
        <v>6</v>
      </c>
      <c r="CC256" s="92" t="s">
        <v>364</v>
      </c>
    </row>
    <row r="257" spans="1:81" ht="18.399999999999999" customHeight="1" x14ac:dyDescent="0.15">
      <c r="A257" s="91" t="s">
        <v>391</v>
      </c>
      <c r="B257" s="92" t="s">
        <v>386</v>
      </c>
      <c r="C257" s="92">
        <v>1.8160000000000001</v>
      </c>
      <c r="D257" s="92" t="s">
        <v>388</v>
      </c>
      <c r="E257" s="93">
        <f t="shared" si="31"/>
        <v>3364568</v>
      </c>
      <c r="F257" s="93">
        <f t="shared" si="30"/>
        <v>6110054</v>
      </c>
      <c r="G257" s="93">
        <f>[4]일위대가목록!F32</f>
        <v>93460</v>
      </c>
      <c r="H257" s="93">
        <f>TRUNC(G257*C257,0)</f>
        <v>169723</v>
      </c>
      <c r="I257" s="93">
        <f>[4]일위대가목록!G32</f>
        <v>3115341</v>
      </c>
      <c r="J257" s="93">
        <f>TRUNC(I257*C257,0)</f>
        <v>5657459</v>
      </c>
      <c r="K257" s="93">
        <f>[4]일위대가목록!H32</f>
        <v>155767</v>
      </c>
      <c r="L257" s="93">
        <f>TRUNC(K257*C257,0)</f>
        <v>282872</v>
      </c>
      <c r="M257" s="94" t="s">
        <v>486</v>
      </c>
      <c r="N257" t="s">
        <v>6</v>
      </c>
      <c r="P257" t="s">
        <v>316</v>
      </c>
      <c r="Q257" t="s">
        <v>6</v>
      </c>
      <c r="R257" t="s">
        <v>487</v>
      </c>
      <c r="T257" t="s">
        <v>212</v>
      </c>
      <c r="BH257" s="92" t="s">
        <v>6</v>
      </c>
      <c r="BJ257" s="95" t="str">
        <f>HYPERLINK("#일위대가목록!A32","K01090029000 →")</f>
        <v>K01090029000 →</v>
      </c>
      <c r="CC257" s="92" t="s">
        <v>350</v>
      </c>
    </row>
    <row r="258" spans="1:81" ht="18.399999999999999" customHeight="1" x14ac:dyDescent="0.15">
      <c r="A258" s="91" t="s">
        <v>539</v>
      </c>
      <c r="B258" s="92" t="s">
        <v>540</v>
      </c>
      <c r="C258" s="93">
        <v>760</v>
      </c>
      <c r="D258" s="92" t="s">
        <v>303</v>
      </c>
      <c r="E258" s="93">
        <f t="shared" si="31"/>
        <v>48000</v>
      </c>
      <c r="F258" s="93">
        <f t="shared" si="30"/>
        <v>36480000</v>
      </c>
      <c r="G258" s="93">
        <f>[4]자재조서!E62</f>
        <v>48000</v>
      </c>
      <c r="H258" s="93">
        <f>TRUNC(G258*C258,0)</f>
        <v>36480000</v>
      </c>
      <c r="I258" s="93">
        <v>0</v>
      </c>
      <c r="J258" s="93"/>
      <c r="K258" s="93">
        <v>0</v>
      </c>
      <c r="L258" s="93"/>
      <c r="M258" s="94" t="s">
        <v>541</v>
      </c>
      <c r="N258" t="s">
        <v>6</v>
      </c>
      <c r="P258" t="s">
        <v>322</v>
      </c>
      <c r="Q258" t="s">
        <v>6</v>
      </c>
      <c r="R258" t="s">
        <v>541</v>
      </c>
      <c r="BH258" s="92" t="s">
        <v>6</v>
      </c>
      <c r="BJ258" s="95" t="str">
        <f>HYPERLINK("#자재조서!A62","MZZ00060B →")</f>
        <v>MZZ00060B →</v>
      </c>
      <c r="CC258" s="92" t="s">
        <v>350</v>
      </c>
    </row>
    <row r="259" spans="1:81" ht="18.399999999999999" customHeight="1" x14ac:dyDescent="0.15">
      <c r="A259" s="91" t="s">
        <v>542</v>
      </c>
      <c r="B259" s="92" t="s">
        <v>543</v>
      </c>
      <c r="C259" s="93">
        <v>194</v>
      </c>
      <c r="D259" s="92" t="s">
        <v>410</v>
      </c>
      <c r="E259" s="93">
        <f t="shared" si="31"/>
        <v>1730</v>
      </c>
      <c r="F259" s="93">
        <f t="shared" si="30"/>
        <v>335620</v>
      </c>
      <c r="G259" s="93">
        <f>[4]자재조서!E24</f>
        <v>1730</v>
      </c>
      <c r="H259" s="93">
        <f>TRUNC(G259*C259,0)</f>
        <v>335620</v>
      </c>
      <c r="I259" s="93">
        <v>0</v>
      </c>
      <c r="J259" s="93"/>
      <c r="K259" s="93">
        <v>0</v>
      </c>
      <c r="L259" s="93"/>
      <c r="M259" s="94" t="s">
        <v>544</v>
      </c>
      <c r="N259" t="s">
        <v>545</v>
      </c>
      <c r="P259" t="s">
        <v>438</v>
      </c>
      <c r="Q259" t="s">
        <v>6</v>
      </c>
      <c r="R259" t="s">
        <v>544</v>
      </c>
      <c r="BH259" s="92" t="s">
        <v>6</v>
      </c>
      <c r="BJ259" s="95" t="str">
        <f>HYPERLINK("#자재조서!A24","M0414015A →")</f>
        <v>M0414015A →</v>
      </c>
      <c r="CC259" s="92" t="s">
        <v>350</v>
      </c>
    </row>
    <row r="260" spans="1:81" ht="18.399999999999999" customHeight="1" x14ac:dyDescent="0.15">
      <c r="A260" s="91" t="s">
        <v>546</v>
      </c>
      <c r="B260" s="92" t="s">
        <v>6</v>
      </c>
      <c r="C260" s="92"/>
      <c r="D260" s="92" t="s">
        <v>6</v>
      </c>
      <c r="E260" s="93">
        <f t="shared" si="31"/>
        <v>0</v>
      </c>
      <c r="F260" s="93">
        <f t="shared" si="30"/>
        <v>58857575</v>
      </c>
      <c r="G260" s="90"/>
      <c r="H260" s="93">
        <f>TRUNC(H262+H263+H264+H265+H266+H267+H269+H270+H271+H272+H273+H274+H275+H276+H277,0)</f>
        <v>31531459</v>
      </c>
      <c r="I260" s="90"/>
      <c r="J260" s="93">
        <f>TRUNC(J262+J263+J264+J265+J266+J267+J269+J270+J271+J272+J273+J274+J275+J276+J277,0)</f>
        <v>24497094</v>
      </c>
      <c r="K260" s="90"/>
      <c r="L260" s="93">
        <f>TRUNC(L262+L263+L264+L265+L266+L267+L269+L270+L271+L272+L273+L274+L275+L276+L277,0)</f>
        <v>2829022</v>
      </c>
      <c r="M260" s="94" t="s">
        <v>6</v>
      </c>
      <c r="N260" t="s">
        <v>6</v>
      </c>
      <c r="P260" t="s">
        <v>441</v>
      </c>
      <c r="Q260" t="s">
        <v>6</v>
      </c>
      <c r="R260" t="s">
        <v>6</v>
      </c>
      <c r="BH260" s="92" t="s">
        <v>6</v>
      </c>
      <c r="CC260" s="92" t="s">
        <v>345</v>
      </c>
    </row>
    <row r="261" spans="1:81" ht="18.399999999999999" customHeight="1" x14ac:dyDescent="0.15">
      <c r="A261" s="91" t="s">
        <v>547</v>
      </c>
      <c r="B261" s="92" t="s">
        <v>6</v>
      </c>
      <c r="C261" s="92"/>
      <c r="D261" s="92" t="s">
        <v>6</v>
      </c>
      <c r="E261" s="93">
        <f t="shared" si="31"/>
        <v>0</v>
      </c>
      <c r="F261" s="93">
        <f t="shared" si="30"/>
        <v>28382835</v>
      </c>
      <c r="G261" s="90"/>
      <c r="H261" s="93">
        <f>TRUNC(H262+H263+H264+H265+H266+H267,0)</f>
        <v>1056719</v>
      </c>
      <c r="I261" s="90"/>
      <c r="J261" s="93">
        <f>TRUNC(J262+J263+J264+J265+J266+J267,0)</f>
        <v>24497094</v>
      </c>
      <c r="K261" s="90"/>
      <c r="L261" s="93">
        <f>TRUNC(L262+L263+L264+L265+L266+L267,0)</f>
        <v>2829022</v>
      </c>
      <c r="M261" s="94" t="s">
        <v>6</v>
      </c>
      <c r="N261" t="s">
        <v>6</v>
      </c>
      <c r="P261" t="s">
        <v>443</v>
      </c>
      <c r="Q261" t="s">
        <v>6</v>
      </c>
      <c r="R261" t="s">
        <v>6</v>
      </c>
      <c r="BH261" s="92" t="s">
        <v>6</v>
      </c>
      <c r="CC261" s="92" t="s">
        <v>364</v>
      </c>
    </row>
    <row r="262" spans="1:81" ht="18.399999999999999" customHeight="1" x14ac:dyDescent="0.15">
      <c r="A262" s="91" t="s">
        <v>385</v>
      </c>
      <c r="B262" s="92" t="s">
        <v>436</v>
      </c>
      <c r="C262" s="92">
        <v>2.7749999999999999</v>
      </c>
      <c r="D262" s="92" t="s">
        <v>388</v>
      </c>
      <c r="E262" s="93">
        <f t="shared" si="31"/>
        <v>3152180</v>
      </c>
      <c r="F262" s="93">
        <f t="shared" si="30"/>
        <v>8747299</v>
      </c>
      <c r="G262" s="93">
        <f>[4]일위대가목록!F30</f>
        <v>59475</v>
      </c>
      <c r="H262" s="93">
        <f t="shared" ref="H262:H267" si="34">TRUNC(G262*C262,0)</f>
        <v>165043</v>
      </c>
      <c r="I262" s="93">
        <f>[4]일위대가목록!G30</f>
        <v>2973755</v>
      </c>
      <c r="J262" s="93">
        <f t="shared" ref="J262:J267" si="35">TRUNC(I262*C262,0)</f>
        <v>8252170</v>
      </c>
      <c r="K262" s="93">
        <f>[4]일위대가목록!H30</f>
        <v>118950</v>
      </c>
      <c r="L262" s="93">
        <f t="shared" ref="L262:L267" si="36">TRUNC(K262*C262,0)</f>
        <v>330086</v>
      </c>
      <c r="M262" s="94" t="s">
        <v>437</v>
      </c>
      <c r="N262" t="s">
        <v>6</v>
      </c>
      <c r="P262" t="s">
        <v>444</v>
      </c>
      <c r="Q262" t="s">
        <v>6</v>
      </c>
      <c r="R262" t="s">
        <v>439</v>
      </c>
      <c r="T262" t="s">
        <v>212</v>
      </c>
      <c r="BH262" s="92" t="s">
        <v>6</v>
      </c>
      <c r="BJ262" s="95" t="str">
        <f>HYPERLINK("#일위대가목록!A30","K01090034000 →")</f>
        <v>K01090034000 →</v>
      </c>
      <c r="CC262" s="92" t="s">
        <v>350</v>
      </c>
    </row>
    <row r="263" spans="1:81" ht="18.399999999999999" customHeight="1" x14ac:dyDescent="0.15">
      <c r="A263" s="91" t="s">
        <v>391</v>
      </c>
      <c r="B263" s="92" t="s">
        <v>436</v>
      </c>
      <c r="C263" s="92">
        <v>2.7749999999999999</v>
      </c>
      <c r="D263" s="92" t="s">
        <v>388</v>
      </c>
      <c r="E263" s="93">
        <f t="shared" si="31"/>
        <v>4294167</v>
      </c>
      <c r="F263" s="93">
        <f t="shared" si="30"/>
        <v>11916313</v>
      </c>
      <c r="G263" s="93">
        <f>[4]일위대가목록!F31</f>
        <v>81022</v>
      </c>
      <c r="H263" s="93">
        <f t="shared" si="34"/>
        <v>224836</v>
      </c>
      <c r="I263" s="93">
        <f>[4]일위대가목록!G31</f>
        <v>4051101</v>
      </c>
      <c r="J263" s="93">
        <f t="shared" si="35"/>
        <v>11241805</v>
      </c>
      <c r="K263" s="93">
        <f>[4]일위대가목록!H31</f>
        <v>162044</v>
      </c>
      <c r="L263" s="93">
        <f t="shared" si="36"/>
        <v>449672</v>
      </c>
      <c r="M263" s="94" t="s">
        <v>440</v>
      </c>
      <c r="N263" t="s">
        <v>6</v>
      </c>
      <c r="P263" t="s">
        <v>445</v>
      </c>
      <c r="Q263" t="s">
        <v>6</v>
      </c>
      <c r="R263" t="s">
        <v>442</v>
      </c>
      <c r="T263" t="s">
        <v>212</v>
      </c>
      <c r="BH263" s="92" t="s">
        <v>6</v>
      </c>
      <c r="BJ263" s="95" t="str">
        <f>HYPERLINK("#일위대가목록!A31","K01090035000 →")</f>
        <v>K01090035000 →</v>
      </c>
      <c r="CC263" s="92" t="s">
        <v>350</v>
      </c>
    </row>
    <row r="264" spans="1:81" ht="18.399999999999999" customHeight="1" x14ac:dyDescent="0.15">
      <c r="A264" s="91" t="s">
        <v>395</v>
      </c>
      <c r="B264" s="92" t="s">
        <v>396</v>
      </c>
      <c r="C264" s="93">
        <v>7</v>
      </c>
      <c r="D264" s="92" t="s">
        <v>397</v>
      </c>
      <c r="E264" s="93">
        <f t="shared" si="31"/>
        <v>946634</v>
      </c>
      <c r="F264" s="93">
        <f t="shared" si="30"/>
        <v>6626438</v>
      </c>
      <c r="G264" s="93">
        <f>[4]일위대가목록!F26</f>
        <v>81120</v>
      </c>
      <c r="H264" s="93">
        <f t="shared" si="34"/>
        <v>567840</v>
      </c>
      <c r="I264" s="93">
        <f>[4]일위대가목록!G26</f>
        <v>572762</v>
      </c>
      <c r="J264" s="93">
        <f t="shared" si="35"/>
        <v>4009334</v>
      </c>
      <c r="K264" s="93">
        <f>[4]일위대가목록!H26</f>
        <v>292752</v>
      </c>
      <c r="L264" s="93">
        <f t="shared" si="36"/>
        <v>2049264</v>
      </c>
      <c r="M264" s="94" t="s">
        <v>398</v>
      </c>
      <c r="N264" t="s">
        <v>6</v>
      </c>
      <c r="P264" t="s">
        <v>446</v>
      </c>
      <c r="Q264" t="s">
        <v>6</v>
      </c>
      <c r="R264" t="s">
        <v>399</v>
      </c>
      <c r="T264" t="s">
        <v>212</v>
      </c>
      <c r="BH264" s="92" t="s">
        <v>6</v>
      </c>
      <c r="BJ264" s="95" t="str">
        <f>HYPERLINK("#일위대가목록!A26","KR012601 →")</f>
        <v>KR012601 →</v>
      </c>
      <c r="CC264" s="92" t="s">
        <v>350</v>
      </c>
    </row>
    <row r="265" spans="1:81" ht="18.399999999999999" hidden="1" customHeight="1" x14ac:dyDescent="0.15">
      <c r="A265" s="91" t="s">
        <v>400</v>
      </c>
      <c r="B265" s="92" t="s">
        <v>401</v>
      </c>
      <c r="C265" s="93">
        <v>0</v>
      </c>
      <c r="D265" s="92" t="s">
        <v>402</v>
      </c>
      <c r="E265" s="93">
        <f t="shared" si="31"/>
        <v>60173</v>
      </c>
      <c r="F265" s="93">
        <f t="shared" si="30"/>
        <v>0</v>
      </c>
      <c r="G265" s="93">
        <f>[4]일위대가목록!F27</f>
        <v>0</v>
      </c>
      <c r="H265" s="93">
        <f t="shared" si="34"/>
        <v>0</v>
      </c>
      <c r="I265" s="93">
        <f>[4]일위대가목록!G27</f>
        <v>60173</v>
      </c>
      <c r="J265" s="93">
        <f t="shared" si="35"/>
        <v>0</v>
      </c>
      <c r="K265" s="93">
        <f>[4]일위대가목록!H27</f>
        <v>0</v>
      </c>
      <c r="L265" s="93">
        <f t="shared" si="36"/>
        <v>0</v>
      </c>
      <c r="M265" s="94" t="s">
        <v>403</v>
      </c>
      <c r="N265" t="s">
        <v>6</v>
      </c>
      <c r="P265" t="s">
        <v>448</v>
      </c>
      <c r="Q265" t="s">
        <v>6</v>
      </c>
      <c r="R265" t="s">
        <v>404</v>
      </c>
      <c r="T265" t="s">
        <v>212</v>
      </c>
      <c r="BH265" s="92" t="s">
        <v>6</v>
      </c>
      <c r="BJ265" s="95" t="str">
        <f>HYPERLINK("#일위대가목록!A27","KR012602 →")</f>
        <v>KR012602 →</v>
      </c>
      <c r="CC265" s="92" t="s">
        <v>350</v>
      </c>
    </row>
    <row r="266" spans="1:81" ht="18.399999999999999" customHeight="1" x14ac:dyDescent="0.15">
      <c r="A266" s="91" t="s">
        <v>400</v>
      </c>
      <c r="B266" s="92" t="s">
        <v>405</v>
      </c>
      <c r="C266" s="92">
        <v>2.7749999999999999</v>
      </c>
      <c r="D266" s="92" t="s">
        <v>402</v>
      </c>
      <c r="E266" s="93">
        <f t="shared" si="31"/>
        <v>104665</v>
      </c>
      <c r="F266" s="93">
        <f t="shared" si="30"/>
        <v>290445</v>
      </c>
      <c r="G266" s="93">
        <f>[4]일위대가목록!F28</f>
        <v>0</v>
      </c>
      <c r="H266" s="93">
        <f t="shared" si="34"/>
        <v>0</v>
      </c>
      <c r="I266" s="93">
        <f>[4]일위대가목록!G28</f>
        <v>104665</v>
      </c>
      <c r="J266" s="93">
        <f t="shared" si="35"/>
        <v>290445</v>
      </c>
      <c r="K266" s="93">
        <f>[4]일위대가목록!H28</f>
        <v>0</v>
      </c>
      <c r="L266" s="93">
        <f t="shared" si="36"/>
        <v>0</v>
      </c>
      <c r="M266" s="94" t="s">
        <v>406</v>
      </c>
      <c r="N266" t="s">
        <v>6</v>
      </c>
      <c r="P266" t="s">
        <v>452</v>
      </c>
      <c r="Q266" t="s">
        <v>6</v>
      </c>
      <c r="R266" t="s">
        <v>407</v>
      </c>
      <c r="T266" t="s">
        <v>212</v>
      </c>
      <c r="BH266" s="92" t="s">
        <v>6</v>
      </c>
      <c r="BJ266" s="95" t="str">
        <f>HYPERLINK("#일위대가목록!A28","KR012603 →")</f>
        <v>KR012603 →</v>
      </c>
      <c r="CC266" s="92" t="s">
        <v>350</v>
      </c>
    </row>
    <row r="267" spans="1:81" ht="18.399999999999999" customHeight="1" x14ac:dyDescent="0.15">
      <c r="A267" s="91" t="s">
        <v>408</v>
      </c>
      <c r="B267" s="92" t="s">
        <v>409</v>
      </c>
      <c r="C267" s="93">
        <v>10</v>
      </c>
      <c r="D267" s="92" t="s">
        <v>410</v>
      </c>
      <c r="E267" s="93">
        <f t="shared" si="31"/>
        <v>80234</v>
      </c>
      <c r="F267" s="93">
        <f t="shared" si="30"/>
        <v>802340</v>
      </c>
      <c r="G267" s="93">
        <f>[4]일위대가목록!F29</f>
        <v>9900</v>
      </c>
      <c r="H267" s="93">
        <f t="shared" si="34"/>
        <v>99000</v>
      </c>
      <c r="I267" s="93">
        <f>[4]일위대가목록!G29</f>
        <v>70334</v>
      </c>
      <c r="J267" s="93">
        <f t="shared" si="35"/>
        <v>703340</v>
      </c>
      <c r="K267" s="93">
        <f>[4]일위대가목록!H29</f>
        <v>0</v>
      </c>
      <c r="L267" s="93">
        <f t="shared" si="36"/>
        <v>0</v>
      </c>
      <c r="M267" s="94" t="s">
        <v>411</v>
      </c>
      <c r="N267" t="s">
        <v>6</v>
      </c>
      <c r="P267" t="s">
        <v>456</v>
      </c>
      <c r="Q267" t="s">
        <v>6</v>
      </c>
      <c r="R267" t="s">
        <v>412</v>
      </c>
      <c r="T267" t="s">
        <v>212</v>
      </c>
      <c r="BH267" s="92" t="s">
        <v>6</v>
      </c>
      <c r="BJ267" s="95" t="str">
        <f>HYPERLINK("#일위대가목록!A29","K03H1H202650 →")</f>
        <v>K03H1H202650 →</v>
      </c>
      <c r="CC267" s="92" t="s">
        <v>350</v>
      </c>
    </row>
    <row r="268" spans="1:81" ht="18.399999999999999" customHeight="1" x14ac:dyDescent="0.15">
      <c r="A268" s="91" t="s">
        <v>548</v>
      </c>
      <c r="B268" s="92" t="s">
        <v>6</v>
      </c>
      <c r="C268" s="92"/>
      <c r="D268" s="92" t="s">
        <v>6</v>
      </c>
      <c r="E268" s="93">
        <f t="shared" si="31"/>
        <v>0</v>
      </c>
      <c r="F268" s="93">
        <f t="shared" si="30"/>
        <v>30474740</v>
      </c>
      <c r="G268" s="90"/>
      <c r="H268" s="93">
        <f>TRUNC(H269+H270+H271+H272+H273+H274+H275+H276+H277,0)</f>
        <v>30474740</v>
      </c>
      <c r="I268" s="90"/>
      <c r="J268" s="93">
        <f>TRUNC(J269+J270+J271+J272+J273+J274+J275+J276+J277,0)</f>
        <v>0</v>
      </c>
      <c r="K268" s="90"/>
      <c r="L268" s="93">
        <f>TRUNC(L269+L270+L271+L272+L273+L274+L275+L276+L277,0)</f>
        <v>0</v>
      </c>
      <c r="M268" s="94" t="s">
        <v>6</v>
      </c>
      <c r="N268" t="s">
        <v>6</v>
      </c>
      <c r="P268" t="s">
        <v>457</v>
      </c>
      <c r="Q268" t="s">
        <v>6</v>
      </c>
      <c r="R268" t="s">
        <v>6</v>
      </c>
      <c r="BH268" s="92" t="s">
        <v>6</v>
      </c>
      <c r="CC268" s="92" t="s">
        <v>364</v>
      </c>
    </row>
    <row r="269" spans="1:81" ht="18.399999999999999" customHeight="1" x14ac:dyDescent="0.15">
      <c r="A269" s="91" t="s">
        <v>449</v>
      </c>
      <c r="B269" s="92" t="s">
        <v>450</v>
      </c>
      <c r="C269" s="93">
        <v>0</v>
      </c>
      <c r="D269" s="92" t="s">
        <v>402</v>
      </c>
      <c r="E269" s="93">
        <f t="shared" si="31"/>
        <v>3550000</v>
      </c>
      <c r="F269" s="93">
        <f t="shared" si="30"/>
        <v>0</v>
      </c>
      <c r="G269" s="93">
        <f>[4]자재조서!E19</f>
        <v>3550000</v>
      </c>
      <c r="H269" s="93">
        <f t="shared" ref="H269:H277" si="37">TRUNC(G269*C269,0)</f>
        <v>0</v>
      </c>
      <c r="I269" s="93">
        <v>0</v>
      </c>
      <c r="J269" s="93"/>
      <c r="K269" s="93">
        <v>0</v>
      </c>
      <c r="L269" s="93"/>
      <c r="M269" s="94" t="s">
        <v>451</v>
      </c>
      <c r="N269" t="s">
        <v>6</v>
      </c>
      <c r="P269" t="s">
        <v>460</v>
      </c>
      <c r="Q269" t="s">
        <v>6</v>
      </c>
      <c r="R269" t="s">
        <v>451</v>
      </c>
      <c r="BH269" s="92" t="s">
        <v>6</v>
      </c>
      <c r="BJ269" s="95" t="str">
        <f>HYPERLINK("#자재조서!A19","M0195057 →")</f>
        <v>M0195057 →</v>
      </c>
      <c r="CC269" s="92" t="s">
        <v>350</v>
      </c>
    </row>
    <row r="270" spans="1:81" ht="18.399999999999999" customHeight="1" x14ac:dyDescent="0.15">
      <c r="A270" s="91" t="s">
        <v>453</v>
      </c>
      <c r="B270" s="92" t="s">
        <v>454</v>
      </c>
      <c r="C270" s="93">
        <v>387</v>
      </c>
      <c r="D270" s="92" t="s">
        <v>410</v>
      </c>
      <c r="E270" s="93">
        <f t="shared" si="31"/>
        <v>14420</v>
      </c>
      <c r="F270" s="93">
        <f t="shared" si="30"/>
        <v>5580540</v>
      </c>
      <c r="G270" s="93">
        <f>[4]자재조서!E23</f>
        <v>14420</v>
      </c>
      <c r="H270" s="93">
        <f t="shared" si="37"/>
        <v>5580540</v>
      </c>
      <c r="I270" s="93">
        <v>0</v>
      </c>
      <c r="J270" s="93"/>
      <c r="K270" s="93">
        <v>0</v>
      </c>
      <c r="L270" s="93"/>
      <c r="M270" s="94" t="s">
        <v>455</v>
      </c>
      <c r="N270" t="s">
        <v>431</v>
      </c>
      <c r="P270" t="s">
        <v>463</v>
      </c>
      <c r="Q270" t="s">
        <v>6</v>
      </c>
      <c r="R270" t="s">
        <v>455</v>
      </c>
      <c r="BH270" s="92" t="s">
        <v>6</v>
      </c>
      <c r="BJ270" s="95" t="str">
        <f>HYPERLINK("#자재조서!A23","M0240087 →")</f>
        <v>M0240087 →</v>
      </c>
      <c r="CC270" s="92" t="s">
        <v>350</v>
      </c>
    </row>
    <row r="271" spans="1:81" ht="18.399999999999999" customHeight="1" x14ac:dyDescent="0.15">
      <c r="A271" s="91" t="s">
        <v>453</v>
      </c>
      <c r="B271" s="92" t="s">
        <v>454</v>
      </c>
      <c r="C271" s="93">
        <v>220</v>
      </c>
      <c r="D271" s="92" t="s">
        <v>410</v>
      </c>
      <c r="E271" s="93">
        <f t="shared" si="31"/>
        <v>14420</v>
      </c>
      <c r="F271" s="93">
        <f t="shared" si="30"/>
        <v>3172400</v>
      </c>
      <c r="G271" s="93">
        <f>[4]자재조서!E23</f>
        <v>14420</v>
      </c>
      <c r="H271" s="93">
        <f t="shared" si="37"/>
        <v>3172400</v>
      </c>
      <c r="I271" s="93">
        <v>0</v>
      </c>
      <c r="J271" s="93"/>
      <c r="K271" s="93">
        <v>0</v>
      </c>
      <c r="L271" s="93"/>
      <c r="M271" s="94" t="s">
        <v>455</v>
      </c>
      <c r="N271" t="s">
        <v>431</v>
      </c>
      <c r="P271" t="s">
        <v>466</v>
      </c>
      <c r="Q271" t="s">
        <v>6</v>
      </c>
      <c r="R271" t="s">
        <v>455</v>
      </c>
      <c r="BH271" s="92" t="s">
        <v>6</v>
      </c>
      <c r="BJ271" s="95" t="str">
        <f>HYPERLINK("#자재조서!A23","M0240087 →")</f>
        <v>M0240087 →</v>
      </c>
      <c r="CC271" s="92" t="s">
        <v>350</v>
      </c>
    </row>
    <row r="272" spans="1:81" ht="18.399999999999999" customHeight="1" x14ac:dyDescent="0.15">
      <c r="A272" s="91" t="s">
        <v>453</v>
      </c>
      <c r="B272" s="92" t="s">
        <v>458</v>
      </c>
      <c r="C272" s="93">
        <v>735</v>
      </c>
      <c r="D272" s="92" t="s">
        <v>410</v>
      </c>
      <c r="E272" s="93">
        <f t="shared" si="31"/>
        <v>10710</v>
      </c>
      <c r="F272" s="93">
        <f t="shared" si="30"/>
        <v>7871850</v>
      </c>
      <c r="G272" s="93">
        <f>[4]자재조서!E21</f>
        <v>10710</v>
      </c>
      <c r="H272" s="93">
        <f t="shared" si="37"/>
        <v>7871850</v>
      </c>
      <c r="I272" s="93">
        <v>0</v>
      </c>
      <c r="J272" s="93"/>
      <c r="K272" s="93">
        <v>0</v>
      </c>
      <c r="L272" s="93"/>
      <c r="M272" s="94" t="s">
        <v>459</v>
      </c>
      <c r="N272" t="s">
        <v>431</v>
      </c>
      <c r="P272" t="s">
        <v>472</v>
      </c>
      <c r="Q272" t="s">
        <v>6</v>
      </c>
      <c r="R272" t="s">
        <v>459</v>
      </c>
      <c r="BH272" s="92" t="s">
        <v>6</v>
      </c>
      <c r="BJ272" s="95" t="str">
        <f>HYPERLINK("#자재조서!A21","M0240075 →")</f>
        <v>M0240075 →</v>
      </c>
      <c r="CC272" s="92" t="s">
        <v>350</v>
      </c>
    </row>
    <row r="273" spans="1:81" ht="18.399999999999999" customHeight="1" x14ac:dyDescent="0.15">
      <c r="A273" s="91" t="s">
        <v>453</v>
      </c>
      <c r="B273" s="92" t="s">
        <v>461</v>
      </c>
      <c r="C273" s="93">
        <v>2</v>
      </c>
      <c r="D273" s="92" t="s">
        <v>410</v>
      </c>
      <c r="E273" s="93">
        <f t="shared" si="31"/>
        <v>7510</v>
      </c>
      <c r="F273" s="93">
        <f t="shared" si="30"/>
        <v>15020</v>
      </c>
      <c r="G273" s="93">
        <f>[4]자재조서!E22</f>
        <v>7510</v>
      </c>
      <c r="H273" s="93">
        <f t="shared" si="37"/>
        <v>15020</v>
      </c>
      <c r="I273" s="93">
        <v>0</v>
      </c>
      <c r="J273" s="93"/>
      <c r="K273" s="93">
        <v>0</v>
      </c>
      <c r="L273" s="93"/>
      <c r="M273" s="94" t="s">
        <v>462</v>
      </c>
      <c r="N273" t="s">
        <v>6</v>
      </c>
      <c r="P273" t="s">
        <v>474</v>
      </c>
      <c r="Q273" t="s">
        <v>6</v>
      </c>
      <c r="R273" t="s">
        <v>462</v>
      </c>
      <c r="BH273" s="92" t="s">
        <v>6</v>
      </c>
      <c r="BJ273" s="95" t="str">
        <f>HYPERLINK("#자재조서!A22","M0240078 →")</f>
        <v>M0240078 →</v>
      </c>
      <c r="CC273" s="92" t="s">
        <v>350</v>
      </c>
    </row>
    <row r="274" spans="1:81" ht="18.399999999999999" customHeight="1" x14ac:dyDescent="0.15">
      <c r="A274" s="91" t="s">
        <v>453</v>
      </c>
      <c r="B274" s="92" t="s">
        <v>464</v>
      </c>
      <c r="C274" s="93">
        <v>3</v>
      </c>
      <c r="D274" s="92" t="s">
        <v>410</v>
      </c>
      <c r="E274" s="93">
        <f t="shared" si="31"/>
        <v>4660</v>
      </c>
      <c r="F274" s="93">
        <f t="shared" si="30"/>
        <v>13980</v>
      </c>
      <c r="G274" s="93">
        <f>[4]자재조서!E20</f>
        <v>4660</v>
      </c>
      <c r="H274" s="93">
        <f t="shared" si="37"/>
        <v>13980</v>
      </c>
      <c r="I274" s="93">
        <v>0</v>
      </c>
      <c r="J274" s="93"/>
      <c r="K274" s="93">
        <v>0</v>
      </c>
      <c r="L274" s="93"/>
      <c r="M274" s="94" t="s">
        <v>465</v>
      </c>
      <c r="N274" t="s">
        <v>6</v>
      </c>
      <c r="P274" t="s">
        <v>478</v>
      </c>
      <c r="Q274" t="s">
        <v>6</v>
      </c>
      <c r="R274" t="s">
        <v>465</v>
      </c>
      <c r="BH274" s="92" t="s">
        <v>6</v>
      </c>
      <c r="BJ274" s="95" t="str">
        <f>HYPERLINK("#자재조서!A20","M0240056 →")</f>
        <v>M0240056 →</v>
      </c>
      <c r="CC274" s="92" t="s">
        <v>350</v>
      </c>
    </row>
    <row r="275" spans="1:81" ht="18.399999999999999" customHeight="1" x14ac:dyDescent="0.15">
      <c r="A275" s="91" t="s">
        <v>467</v>
      </c>
      <c r="B275" s="92" t="s">
        <v>468</v>
      </c>
      <c r="C275" s="93">
        <v>295</v>
      </c>
      <c r="D275" s="92" t="s">
        <v>469</v>
      </c>
      <c r="E275" s="93">
        <f t="shared" si="31"/>
        <v>32730</v>
      </c>
      <c r="F275" s="93">
        <f t="shared" si="30"/>
        <v>9655350</v>
      </c>
      <c r="G275" s="93">
        <f>[4]자재조서!E26</f>
        <v>32730</v>
      </c>
      <c r="H275" s="93">
        <f t="shared" si="37"/>
        <v>9655350</v>
      </c>
      <c r="I275" s="93">
        <v>0</v>
      </c>
      <c r="J275" s="93"/>
      <c r="K275" s="93">
        <v>0</v>
      </c>
      <c r="L275" s="93"/>
      <c r="M275" s="94" t="s">
        <v>470</v>
      </c>
      <c r="N275" t="s">
        <v>471</v>
      </c>
      <c r="P275" t="s">
        <v>482</v>
      </c>
      <c r="Q275" t="s">
        <v>6</v>
      </c>
      <c r="R275" t="s">
        <v>470</v>
      </c>
      <c r="BH275" s="92" t="s">
        <v>6</v>
      </c>
      <c r="BJ275" s="95" t="str">
        <f>HYPERLINK("#자재조서!A26","M0687017 →")</f>
        <v>M0687017 →</v>
      </c>
      <c r="CC275" s="92" t="s">
        <v>350</v>
      </c>
    </row>
    <row r="276" spans="1:81" ht="18.399999999999999" customHeight="1" x14ac:dyDescent="0.15">
      <c r="A276" s="91" t="s">
        <v>549</v>
      </c>
      <c r="B276" s="92" t="s">
        <v>6</v>
      </c>
      <c r="C276" s="93">
        <v>1106</v>
      </c>
      <c r="D276" s="92" t="s">
        <v>303</v>
      </c>
      <c r="E276" s="93">
        <f t="shared" si="31"/>
        <v>3600</v>
      </c>
      <c r="F276" s="93">
        <f t="shared" si="30"/>
        <v>3981600</v>
      </c>
      <c r="G276" s="93">
        <f>[4]자재조서!E70</f>
        <v>3600</v>
      </c>
      <c r="H276" s="93">
        <f t="shared" si="37"/>
        <v>3981600</v>
      </c>
      <c r="I276" s="93">
        <v>0</v>
      </c>
      <c r="J276" s="93"/>
      <c r="K276" s="93">
        <v>0</v>
      </c>
      <c r="L276" s="93"/>
      <c r="M276" s="94" t="s">
        <v>550</v>
      </c>
      <c r="N276" t="s">
        <v>551</v>
      </c>
      <c r="P276" t="s">
        <v>483</v>
      </c>
      <c r="Q276" t="s">
        <v>6</v>
      </c>
      <c r="R276" t="s">
        <v>550</v>
      </c>
      <c r="BH276" s="92" t="s">
        <v>6</v>
      </c>
      <c r="BJ276" s="95" t="str">
        <f>HYPERLINK("#자재조서!A70","MZZ10070 →")</f>
        <v>MZZ10070 →</v>
      </c>
      <c r="CC276" s="92" t="s">
        <v>350</v>
      </c>
    </row>
    <row r="277" spans="1:81" ht="18.399999999999999" customHeight="1" x14ac:dyDescent="0.15">
      <c r="A277" s="91" t="s">
        <v>552</v>
      </c>
      <c r="B277" s="92" t="s">
        <v>553</v>
      </c>
      <c r="C277" s="93">
        <v>184</v>
      </c>
      <c r="D277" s="92" t="s">
        <v>410</v>
      </c>
      <c r="E277" s="93">
        <f t="shared" si="31"/>
        <v>1000</v>
      </c>
      <c r="F277" s="93">
        <f t="shared" si="30"/>
        <v>184000</v>
      </c>
      <c r="G277" s="93">
        <f>[4]자재조서!E71</f>
        <v>1000</v>
      </c>
      <c r="H277" s="93">
        <f t="shared" si="37"/>
        <v>184000</v>
      </c>
      <c r="I277" s="93">
        <v>0</v>
      </c>
      <c r="J277" s="93"/>
      <c r="K277" s="93">
        <v>0</v>
      </c>
      <c r="L277" s="93"/>
      <c r="M277" s="94" t="s">
        <v>554</v>
      </c>
      <c r="N277" t="s">
        <v>6</v>
      </c>
      <c r="P277" t="s">
        <v>557</v>
      </c>
      <c r="Q277" t="s">
        <v>6</v>
      </c>
      <c r="R277" t="s">
        <v>554</v>
      </c>
      <c r="BH277" s="92" t="s">
        <v>6</v>
      </c>
      <c r="BJ277" s="95" t="str">
        <f>HYPERLINK("#자재조서!A71","MZZ10080 →")</f>
        <v>MZZ10080 →</v>
      </c>
      <c r="CC277" s="92" t="s">
        <v>350</v>
      </c>
    </row>
    <row r="278" spans="1:81" ht="18.399999999999999" customHeight="1" x14ac:dyDescent="0.15">
      <c r="A278" s="91" t="s">
        <v>555</v>
      </c>
      <c r="B278" s="92" t="s">
        <v>6</v>
      </c>
      <c r="C278" s="92"/>
      <c r="D278" s="92" t="s">
        <v>6</v>
      </c>
      <c r="E278" s="93">
        <f t="shared" si="31"/>
        <v>0</v>
      </c>
      <c r="F278" s="93">
        <f t="shared" si="30"/>
        <v>5250000</v>
      </c>
      <c r="G278" s="90"/>
      <c r="H278" s="93">
        <f>TRUNC(H279+H280,0)</f>
        <v>5250000</v>
      </c>
      <c r="I278" s="90"/>
      <c r="J278" s="93">
        <f>TRUNC(J279+J280,0)</f>
        <v>0</v>
      </c>
      <c r="K278" s="90"/>
      <c r="L278" s="93">
        <f>TRUNC(L279+L280,0)</f>
        <v>0</v>
      </c>
      <c r="M278" s="94" t="s">
        <v>6</v>
      </c>
      <c r="N278" t="s">
        <v>6</v>
      </c>
      <c r="P278" t="s">
        <v>560</v>
      </c>
      <c r="Q278" t="s">
        <v>6</v>
      </c>
      <c r="R278" t="s">
        <v>6</v>
      </c>
      <c r="BH278" s="92" t="s">
        <v>6</v>
      </c>
      <c r="CC278" s="92" t="s">
        <v>345</v>
      </c>
    </row>
    <row r="279" spans="1:81" ht="18.399999999999999" hidden="1" customHeight="1" x14ac:dyDescent="0.15">
      <c r="A279" s="91" t="s">
        <v>475</v>
      </c>
      <c r="B279" s="92" t="s">
        <v>476</v>
      </c>
      <c r="C279" s="93">
        <v>0</v>
      </c>
      <c r="D279" s="92" t="s">
        <v>410</v>
      </c>
      <c r="E279" s="93">
        <f t="shared" si="31"/>
        <v>210000</v>
      </c>
      <c r="F279" s="93">
        <f t="shared" si="30"/>
        <v>0</v>
      </c>
      <c r="G279" s="93">
        <f>[4]자재조서!E66</f>
        <v>210000</v>
      </c>
      <c r="H279" s="93">
        <f>TRUNC(G279*C279,0)</f>
        <v>0</v>
      </c>
      <c r="I279" s="93">
        <v>0</v>
      </c>
      <c r="J279" s="93"/>
      <c r="K279" s="93">
        <v>0</v>
      </c>
      <c r="L279" s="93"/>
      <c r="M279" s="94" t="s">
        <v>477</v>
      </c>
      <c r="N279" t="s">
        <v>6</v>
      </c>
      <c r="P279" t="s">
        <v>562</v>
      </c>
      <c r="Q279" t="s">
        <v>6</v>
      </c>
      <c r="R279" t="s">
        <v>477</v>
      </c>
      <c r="BH279" s="92" t="s">
        <v>6</v>
      </c>
      <c r="BJ279" s="95" t="str">
        <f>HYPERLINK("#자재조서!A66","MZZ10010 →")</f>
        <v>MZZ10010 →</v>
      </c>
      <c r="CC279" s="92" t="s">
        <v>350</v>
      </c>
    </row>
    <row r="280" spans="1:81" ht="18.399999999999999" customHeight="1" x14ac:dyDescent="0.15">
      <c r="A280" s="91" t="s">
        <v>479</v>
      </c>
      <c r="B280" s="92" t="s">
        <v>480</v>
      </c>
      <c r="C280" s="93">
        <v>7</v>
      </c>
      <c r="D280" s="92" t="s">
        <v>305</v>
      </c>
      <c r="E280" s="93">
        <f t="shared" si="31"/>
        <v>750000</v>
      </c>
      <c r="F280" s="93">
        <f t="shared" si="30"/>
        <v>5250000</v>
      </c>
      <c r="G280" s="93">
        <f>[4]자재조서!E67</f>
        <v>750000</v>
      </c>
      <c r="H280" s="93">
        <f>TRUNC(G280*C280,0)</f>
        <v>5250000</v>
      </c>
      <c r="I280" s="93">
        <v>0</v>
      </c>
      <c r="J280" s="93"/>
      <c r="K280" s="93">
        <v>0</v>
      </c>
      <c r="L280" s="93"/>
      <c r="M280" s="94" t="s">
        <v>481</v>
      </c>
      <c r="N280" t="s">
        <v>6</v>
      </c>
      <c r="P280" t="s">
        <v>563</v>
      </c>
      <c r="Q280" t="s">
        <v>6</v>
      </c>
      <c r="R280" t="s">
        <v>481</v>
      </c>
      <c r="BH280" s="92" t="s">
        <v>6</v>
      </c>
      <c r="BJ280" s="95" t="str">
        <f>HYPERLINK("#자재조서!A67","MZZ10025 →")</f>
        <v>MZZ10025 →</v>
      </c>
      <c r="CC280" s="92" t="s">
        <v>350</v>
      </c>
    </row>
    <row r="281" spans="1:81" ht="18.399999999999999" customHeight="1" x14ac:dyDescent="0.15">
      <c r="A281" s="91" t="s">
        <v>556</v>
      </c>
      <c r="B281" s="92" t="s">
        <v>6</v>
      </c>
      <c r="C281" s="92"/>
      <c r="D281" s="92" t="s">
        <v>6</v>
      </c>
      <c r="E281" s="93">
        <f t="shared" si="31"/>
        <v>0</v>
      </c>
      <c r="F281" s="93">
        <f t="shared" si="30"/>
        <v>919836</v>
      </c>
      <c r="G281" s="90"/>
      <c r="H281" s="93">
        <f>TRUNC(H282+H283+H284+H285+H286,0)</f>
        <v>19666</v>
      </c>
      <c r="I281" s="90"/>
      <c r="J281" s="93">
        <f>TRUNC(J282+J283+J284+J285+J286,0)</f>
        <v>606639</v>
      </c>
      <c r="K281" s="90"/>
      <c r="L281" s="93">
        <f>TRUNC(L282+L283+L284+L285+L286,0)</f>
        <v>293531</v>
      </c>
      <c r="M281" s="94" t="s">
        <v>6</v>
      </c>
      <c r="N281" t="s">
        <v>6</v>
      </c>
      <c r="P281" t="s">
        <v>564</v>
      </c>
      <c r="Q281" t="s">
        <v>6</v>
      </c>
      <c r="R281" t="s">
        <v>6</v>
      </c>
      <c r="BH281" s="92" t="s">
        <v>6</v>
      </c>
      <c r="CC281" s="92" t="s">
        <v>345</v>
      </c>
    </row>
    <row r="282" spans="1:81" ht="18.399999999999999" customHeight="1" x14ac:dyDescent="0.15">
      <c r="A282" s="91" t="s">
        <v>558</v>
      </c>
      <c r="B282" s="92" t="s">
        <v>381</v>
      </c>
      <c r="C282" s="92">
        <v>3.4000000000000002E-2</v>
      </c>
      <c r="D282" s="92" t="s">
        <v>388</v>
      </c>
      <c r="E282" s="93">
        <f t="shared" si="31"/>
        <v>1007249</v>
      </c>
      <c r="F282" s="93">
        <f t="shared" si="30"/>
        <v>34244</v>
      </c>
      <c r="G282" s="93">
        <f>[4]일위대가목록!F38</f>
        <v>92554</v>
      </c>
      <c r="H282" s="93">
        <f>TRUNC(G282*C282,0)</f>
        <v>3146</v>
      </c>
      <c r="I282" s="93">
        <f>[4]일위대가목록!G38</f>
        <v>891755</v>
      </c>
      <c r="J282" s="93">
        <f>TRUNC(I282*C282,0)</f>
        <v>30319</v>
      </c>
      <c r="K282" s="93">
        <f>[4]일위대가목록!H38</f>
        <v>22940</v>
      </c>
      <c r="L282" s="93">
        <f>TRUNC(K282*C282,0)</f>
        <v>779</v>
      </c>
      <c r="M282" s="94" t="s">
        <v>559</v>
      </c>
      <c r="N282" t="s">
        <v>6</v>
      </c>
      <c r="P282" t="s">
        <v>568</v>
      </c>
      <c r="Q282" t="s">
        <v>6</v>
      </c>
      <c r="R282" t="s">
        <v>561</v>
      </c>
      <c r="T282" t="s">
        <v>212</v>
      </c>
      <c r="BH282" s="92" t="s">
        <v>6</v>
      </c>
      <c r="BJ282" s="95" t="str">
        <f>HYPERLINK("#일위대가목록!A38","K16A06A00010 →")</f>
        <v>K16A06A00010 →</v>
      </c>
      <c r="CC282" s="92" t="s">
        <v>350</v>
      </c>
    </row>
    <row r="283" spans="1:81" ht="18.399999999999999" customHeight="1" x14ac:dyDescent="0.15">
      <c r="A283" s="91" t="s">
        <v>395</v>
      </c>
      <c r="B283" s="92" t="s">
        <v>396</v>
      </c>
      <c r="C283" s="93">
        <v>1</v>
      </c>
      <c r="D283" s="92" t="s">
        <v>397</v>
      </c>
      <c r="E283" s="93">
        <f t="shared" si="31"/>
        <v>946634</v>
      </c>
      <c r="F283" s="93">
        <f t="shared" si="30"/>
        <v>946634</v>
      </c>
      <c r="G283" s="93">
        <f>[4]일위대가목록!F26</f>
        <v>81120</v>
      </c>
      <c r="H283" s="93">
        <f>TRUNC(G283*C283,0)</f>
        <v>81120</v>
      </c>
      <c r="I283" s="93">
        <f>[4]일위대가목록!G26</f>
        <v>572762</v>
      </c>
      <c r="J283" s="93">
        <f>TRUNC(I283*C283,0)</f>
        <v>572762</v>
      </c>
      <c r="K283" s="93">
        <f>[4]일위대가목록!H26</f>
        <v>292752</v>
      </c>
      <c r="L283" s="93">
        <f>TRUNC(K283*C283,0)</f>
        <v>292752</v>
      </c>
      <c r="M283" s="94" t="s">
        <v>398</v>
      </c>
      <c r="N283" t="s">
        <v>6</v>
      </c>
      <c r="P283" t="s">
        <v>570</v>
      </c>
      <c r="Q283" t="s">
        <v>6</v>
      </c>
      <c r="R283" t="s">
        <v>399</v>
      </c>
      <c r="T283" t="s">
        <v>212</v>
      </c>
      <c r="BH283" s="92" t="s">
        <v>6</v>
      </c>
      <c r="BJ283" s="95" t="str">
        <f>HYPERLINK("#일위대가목록!A26","KR012601 →")</f>
        <v>KR012601 →</v>
      </c>
      <c r="CC283" s="92" t="s">
        <v>350</v>
      </c>
    </row>
    <row r="284" spans="1:81" ht="18.399999999999999" customHeight="1" x14ac:dyDescent="0.15">
      <c r="A284" s="91" t="s">
        <v>400</v>
      </c>
      <c r="B284" s="92" t="s">
        <v>401</v>
      </c>
      <c r="C284" s="93">
        <v>0</v>
      </c>
      <c r="D284" s="92" t="s">
        <v>402</v>
      </c>
      <c r="E284" s="93">
        <f t="shared" si="31"/>
        <v>60173</v>
      </c>
      <c r="F284" s="93">
        <f t="shared" si="30"/>
        <v>0</v>
      </c>
      <c r="G284" s="93">
        <f>[4]일위대가목록!F27</f>
        <v>0</v>
      </c>
      <c r="H284" s="93">
        <f>TRUNC(G284*C284,0)</f>
        <v>0</v>
      </c>
      <c r="I284" s="93">
        <f>[4]일위대가목록!G27</f>
        <v>60173</v>
      </c>
      <c r="J284" s="93">
        <f>TRUNC(I284*C284,0)</f>
        <v>0</v>
      </c>
      <c r="K284" s="93">
        <f>[4]일위대가목록!H27</f>
        <v>0</v>
      </c>
      <c r="L284" s="93">
        <f>TRUNC(K284*C284,0)</f>
        <v>0</v>
      </c>
      <c r="M284" s="94" t="s">
        <v>403</v>
      </c>
      <c r="N284" t="s">
        <v>6</v>
      </c>
      <c r="P284" t="s">
        <v>573</v>
      </c>
      <c r="Q284" t="s">
        <v>6</v>
      </c>
      <c r="R284" t="s">
        <v>404</v>
      </c>
      <c r="T284" t="s">
        <v>212</v>
      </c>
      <c r="BH284" s="92" t="s">
        <v>6</v>
      </c>
      <c r="BJ284" s="95" t="str">
        <f>HYPERLINK("#일위대가목록!A27","KR012602 →")</f>
        <v>KR012602 →</v>
      </c>
      <c r="CC284" s="92" t="s">
        <v>350</v>
      </c>
    </row>
    <row r="285" spans="1:81" ht="18.399999999999999" customHeight="1" x14ac:dyDescent="0.15">
      <c r="A285" s="91" t="s">
        <v>400</v>
      </c>
      <c r="B285" s="92" t="s">
        <v>405</v>
      </c>
      <c r="C285" s="92">
        <v>3.4000000000000002E-2</v>
      </c>
      <c r="D285" s="92" t="s">
        <v>402</v>
      </c>
      <c r="E285" s="93">
        <f t="shared" si="31"/>
        <v>104665</v>
      </c>
      <c r="F285" s="93">
        <f t="shared" si="30"/>
        <v>3558</v>
      </c>
      <c r="G285" s="93">
        <f>[4]일위대가목록!F28</f>
        <v>0</v>
      </c>
      <c r="H285" s="93">
        <f>TRUNC(G285*C285,0)</f>
        <v>0</v>
      </c>
      <c r="I285" s="93">
        <f>[4]일위대가목록!G28</f>
        <v>104665</v>
      </c>
      <c r="J285" s="93">
        <f>TRUNC(I285*C285,0)</f>
        <v>3558</v>
      </c>
      <c r="K285" s="93">
        <f>[4]일위대가목록!H28</f>
        <v>0</v>
      </c>
      <c r="L285" s="93">
        <f>TRUNC(K285*C285,0)</f>
        <v>0</v>
      </c>
      <c r="M285" s="94" t="s">
        <v>406</v>
      </c>
      <c r="N285" t="s">
        <v>6</v>
      </c>
      <c r="P285" t="s">
        <v>575</v>
      </c>
      <c r="Q285" t="s">
        <v>6</v>
      </c>
      <c r="R285" t="s">
        <v>407</v>
      </c>
      <c r="T285" t="s">
        <v>212</v>
      </c>
      <c r="BH285" s="92" t="s">
        <v>6</v>
      </c>
      <c r="BJ285" s="95" t="str">
        <f>HYPERLINK("#일위대가목록!A28","KR012603 →")</f>
        <v>KR012603 →</v>
      </c>
      <c r="CC285" s="92" t="s">
        <v>350</v>
      </c>
    </row>
    <row r="286" spans="1:81" ht="18.399999999999999" customHeight="1" x14ac:dyDescent="0.15">
      <c r="A286" s="91" t="s">
        <v>565</v>
      </c>
      <c r="B286" s="92" t="s">
        <v>566</v>
      </c>
      <c r="C286" s="92">
        <v>3.4000000000000002E-2</v>
      </c>
      <c r="D286" s="92" t="s">
        <v>402</v>
      </c>
      <c r="E286" s="93">
        <f t="shared" si="31"/>
        <v>-1900000</v>
      </c>
      <c r="F286" s="93">
        <f t="shared" si="30"/>
        <v>-64600</v>
      </c>
      <c r="G286" s="93">
        <f>[4]자재조서!E57</f>
        <v>-1900000</v>
      </c>
      <c r="H286" s="93">
        <f>TRUNC(G286*C286,0)</f>
        <v>-64600</v>
      </c>
      <c r="I286" s="93">
        <v>0</v>
      </c>
      <c r="J286" s="93"/>
      <c r="K286" s="93">
        <v>0</v>
      </c>
      <c r="L286" s="93"/>
      <c r="M286" s="94" t="s">
        <v>567</v>
      </c>
      <c r="N286" t="s">
        <v>6</v>
      </c>
      <c r="P286" t="s">
        <v>587</v>
      </c>
      <c r="Q286" t="s">
        <v>6</v>
      </c>
      <c r="R286" t="s">
        <v>567</v>
      </c>
      <c r="BH286" s="92" t="s">
        <v>6</v>
      </c>
      <c r="BJ286" s="95" t="str">
        <f>HYPERLINK("#자재조서!A57","M9534003A →")</f>
        <v>M9534003A →</v>
      </c>
      <c r="CC286" s="92" t="s">
        <v>350</v>
      </c>
    </row>
    <row r="287" spans="1:81" ht="18.399999999999999" customHeight="1" x14ac:dyDescent="0.15">
      <c r="A287" s="91" t="s">
        <v>629</v>
      </c>
      <c r="B287" s="92" t="s">
        <v>6</v>
      </c>
      <c r="C287" s="92"/>
      <c r="D287" s="92" t="s">
        <v>6</v>
      </c>
      <c r="E287" s="93">
        <f t="shared" si="31"/>
        <v>0</v>
      </c>
      <c r="F287" s="93">
        <f t="shared" si="31"/>
        <v>1879064</v>
      </c>
      <c r="G287" s="90"/>
      <c r="H287" s="93">
        <f>TRUNC(H288,0)</f>
        <v>1571020</v>
      </c>
      <c r="I287" s="90"/>
      <c r="J287" s="93">
        <f>TRUNC(J288,0)</f>
        <v>308044</v>
      </c>
      <c r="K287" s="90"/>
      <c r="L287" s="93">
        <f>TRUNC(L288,0)</f>
        <v>0</v>
      </c>
      <c r="M287" s="94" t="s">
        <v>6</v>
      </c>
      <c r="N287" t="s">
        <v>6</v>
      </c>
      <c r="P287" t="s">
        <v>588</v>
      </c>
      <c r="Q287" t="s">
        <v>6</v>
      </c>
      <c r="R287" t="s">
        <v>6</v>
      </c>
      <c r="BH287" s="92" t="s">
        <v>6</v>
      </c>
      <c r="CC287" s="92" t="s">
        <v>345</v>
      </c>
    </row>
    <row r="288" spans="1:81" ht="18.399999999999999" customHeight="1" x14ac:dyDescent="0.15">
      <c r="A288" s="91" t="s">
        <v>630</v>
      </c>
      <c r="B288" s="92" t="s">
        <v>6</v>
      </c>
      <c r="C288" s="93">
        <v>44</v>
      </c>
      <c r="D288" s="92" t="s">
        <v>347</v>
      </c>
      <c r="E288" s="93">
        <f t="shared" ref="E288:F311" si="38">G288+I288+K288</f>
        <v>42706</v>
      </c>
      <c r="F288" s="93">
        <f t="shared" si="38"/>
        <v>1879064</v>
      </c>
      <c r="G288" s="93">
        <f>[4]일위대가목록!F53</f>
        <v>35705</v>
      </c>
      <c r="H288" s="93">
        <f>TRUNC(G288*C288,0)</f>
        <v>1571020</v>
      </c>
      <c r="I288" s="93">
        <f>[4]일위대가목록!G53</f>
        <v>7001</v>
      </c>
      <c r="J288" s="93">
        <f>TRUNC(I288*C288,0)</f>
        <v>308044</v>
      </c>
      <c r="K288" s="93">
        <f>[4]일위대가목록!H53</f>
        <v>0</v>
      </c>
      <c r="L288" s="93">
        <f>TRUNC(K288*C288,0)</f>
        <v>0</v>
      </c>
      <c r="M288" s="94" t="s">
        <v>572</v>
      </c>
      <c r="N288" t="s">
        <v>359</v>
      </c>
      <c r="P288" t="s">
        <v>589</v>
      </c>
      <c r="Q288" t="s">
        <v>6</v>
      </c>
      <c r="R288" t="s">
        <v>574</v>
      </c>
      <c r="T288" t="s">
        <v>361</v>
      </c>
      <c r="BH288" s="92" t="s">
        <v>6</v>
      </c>
      <c r="BJ288" s="95" t="str">
        <f>HYPERLINK("#일위대가목록!A53","KRZ100010140 →")</f>
        <v>KRZ100010140 →</v>
      </c>
      <c r="CC288" s="92" t="s">
        <v>350</v>
      </c>
    </row>
    <row r="289" spans="1:100" ht="18.399999999999999" customHeight="1" x14ac:dyDescent="0.15">
      <c r="A289" s="91" t="s">
        <v>6</v>
      </c>
      <c r="B289" s="92" t="s">
        <v>6</v>
      </c>
      <c r="C289" s="92"/>
      <c r="D289" s="92" t="s">
        <v>6</v>
      </c>
      <c r="E289" s="93">
        <f t="shared" si="38"/>
        <v>0</v>
      </c>
      <c r="F289" s="93">
        <f t="shared" si="38"/>
        <v>0</v>
      </c>
      <c r="G289" s="90"/>
      <c r="H289" s="93">
        <v>0</v>
      </c>
      <c r="I289" s="90"/>
      <c r="J289" s="93">
        <v>0</v>
      </c>
      <c r="K289" s="90"/>
      <c r="L289" s="93">
        <v>0</v>
      </c>
      <c r="M289" s="94" t="s">
        <v>6</v>
      </c>
      <c r="N289" t="s">
        <v>6</v>
      </c>
      <c r="P289" t="s">
        <v>591</v>
      </c>
      <c r="Q289" t="s">
        <v>6</v>
      </c>
      <c r="R289" t="s">
        <v>6</v>
      </c>
      <c r="BH289" s="92" t="s">
        <v>6</v>
      </c>
      <c r="CC289" s="92" t="s">
        <v>6</v>
      </c>
    </row>
    <row r="290" spans="1:100" ht="18.399999999999999" customHeight="1" x14ac:dyDescent="0.15">
      <c r="A290" s="91" t="s">
        <v>625</v>
      </c>
      <c r="B290" s="92" t="s">
        <v>6</v>
      </c>
      <c r="C290" s="93">
        <v>1</v>
      </c>
      <c r="D290" s="92" t="s">
        <v>188</v>
      </c>
      <c r="E290" s="90"/>
      <c r="F290" s="93">
        <f t="shared" si="38"/>
        <v>345346035</v>
      </c>
      <c r="G290" s="90"/>
      <c r="H290" s="93">
        <f>TRUNC(SUM(Z290:Z291),0)</f>
        <v>166812079</v>
      </c>
      <c r="I290" s="90"/>
      <c r="J290" s="93">
        <f>TRUNC(SUM(AA290:AA291),0)</f>
        <v>148964588</v>
      </c>
      <c r="K290" s="90"/>
      <c r="L290" s="93">
        <f>TRUNC(SUM(AB290:AB291),0)</f>
        <v>29569368</v>
      </c>
      <c r="M290" s="94" t="s">
        <v>6</v>
      </c>
      <c r="N290" t="s">
        <v>6</v>
      </c>
      <c r="O290" t="s">
        <v>626</v>
      </c>
      <c r="Z290" s="93">
        <f>H293+H294+H295+H296+H297+H298+H299+H300+H301+H302+H303+H305+H306+H307+H308+H309+H310+H311+H312+H314+H315+H316+H319+H320+H321+H322+H323+H324+H326+H327</f>
        <v>127089399</v>
      </c>
      <c r="AA290" s="93">
        <f>J293+J294+J295+J296+J297+J298+J299+J300+J301+J302+J303+J305+J306+J307+J308+J309+J310+J311+J312+J314+J315+J316+J319+J320+J321+J322+J323+J324+J326+J327</f>
        <v>115234855</v>
      </c>
      <c r="AB290" s="93">
        <f>L293+L294+L295+L296+L297+L298+L299+L300+L301+L302+L303+L305+L306+L307+L308+L309+L310+L311+L312+L314+L315+L316+L319+L320+L321+L322+L323+L324+L326+L327</f>
        <v>13789131</v>
      </c>
      <c r="BH290" s="92" t="s">
        <v>6</v>
      </c>
      <c r="CV290" s="92" t="s">
        <v>6</v>
      </c>
    </row>
    <row r="291" spans="1:100" ht="18.399999999999999" customHeight="1" x14ac:dyDescent="0.15">
      <c r="A291" s="91" t="s">
        <v>631</v>
      </c>
      <c r="B291" s="92" t="s">
        <v>6</v>
      </c>
      <c r="C291" s="92"/>
      <c r="D291" s="92" t="s">
        <v>6</v>
      </c>
      <c r="E291" s="93">
        <f t="shared" ref="E291:F322" si="39">G291+I291+K291</f>
        <v>0</v>
      </c>
      <c r="F291" s="93">
        <f t="shared" si="38"/>
        <v>239357006</v>
      </c>
      <c r="G291" s="90"/>
      <c r="H291" s="93">
        <f>TRUNC(H293+H294+H295+H296+H297+H298+H299+H300+H301+H302+H303+H305+H306+H307+H308+H309+H310+H311+H312+H314+H315+H316,0)</f>
        <v>123991283</v>
      </c>
      <c r="I291" s="90"/>
      <c r="J291" s="93">
        <f>TRUNC(J293+J294+J295+J296+J297+J298+J299+J300+J301+J302+J303+J305+J306+J307+J308+J309+J310+J311+J312+J314+J315+J316,0)</f>
        <v>103107552</v>
      </c>
      <c r="K291" s="90"/>
      <c r="L291" s="93">
        <f>TRUNC(L293+L294+L295+L296+L297+L298+L299+L300+L301+L302+L303+L305+L306+L307+L308+L309+L310+L311+L312+L314+L315+L316,0)</f>
        <v>12258171</v>
      </c>
      <c r="M291" s="94" t="s">
        <v>6</v>
      </c>
      <c r="N291" t="s">
        <v>6</v>
      </c>
      <c r="P291" t="s">
        <v>48</v>
      </c>
      <c r="Q291" t="s">
        <v>6</v>
      </c>
      <c r="R291" t="s">
        <v>6</v>
      </c>
      <c r="Z291" s="93">
        <f>H328+H329+H330+H331+H332+H333+H334+H336+H337+H339+H340+H341+H342+H343+H344+H345</f>
        <v>39722680</v>
      </c>
      <c r="AA291" s="93">
        <f>J328+J329+J330+J331+J332+J333+J334+J336+J337+J339+J340+J341+J342+J343+J344+J345</f>
        <v>33729733</v>
      </c>
      <c r="AB291" s="93">
        <f>L328+L329+L330+L331+L332+L333+L334+L336+L337+L339+L340+L341+L342+L343+L344+L345</f>
        <v>15780237</v>
      </c>
      <c r="BH291" s="92" t="s">
        <v>6</v>
      </c>
      <c r="CC291" s="92" t="s">
        <v>345</v>
      </c>
    </row>
    <row r="292" spans="1:100" ht="18.399999999999999" customHeight="1" x14ac:dyDescent="0.15">
      <c r="A292" s="91" t="s">
        <v>632</v>
      </c>
      <c r="B292" s="92" t="s">
        <v>6</v>
      </c>
      <c r="C292" s="92"/>
      <c r="D292" s="92" t="s">
        <v>6</v>
      </c>
      <c r="E292" s="93">
        <f t="shared" si="39"/>
        <v>0</v>
      </c>
      <c r="F292" s="93">
        <f t="shared" si="38"/>
        <v>19446682</v>
      </c>
      <c r="G292" s="90"/>
      <c r="H292" s="93">
        <f>TRUNC(H293+H294+H295+H296+H297+H298+H299+H300+H301+H302+H303,0)</f>
        <v>5161791</v>
      </c>
      <c r="I292" s="90"/>
      <c r="J292" s="93">
        <f>TRUNC(J293+J294+J295+J296+J297+J298+J299+J300+J301+J302+J303,0)</f>
        <v>12299739</v>
      </c>
      <c r="K292" s="90"/>
      <c r="L292" s="93">
        <f>TRUNC(L293+L294+L295+L296+L297+L298+L299+L300+L301+L302+L303,0)</f>
        <v>1985152</v>
      </c>
      <c r="M292" s="94" t="s">
        <v>6</v>
      </c>
      <c r="N292" t="s">
        <v>6</v>
      </c>
      <c r="P292" t="s">
        <v>191</v>
      </c>
      <c r="Q292" t="s">
        <v>6</v>
      </c>
      <c r="R292" t="s">
        <v>6</v>
      </c>
      <c r="BH292" s="92" t="s">
        <v>6</v>
      </c>
      <c r="CC292" s="92" t="s">
        <v>364</v>
      </c>
    </row>
    <row r="293" spans="1:100" ht="18.399999999999999" customHeight="1" x14ac:dyDescent="0.15">
      <c r="A293" s="91" t="s">
        <v>385</v>
      </c>
      <c r="B293" s="92" t="s">
        <v>386</v>
      </c>
      <c r="C293" s="92">
        <v>1.901</v>
      </c>
      <c r="D293" s="92" t="s">
        <v>388</v>
      </c>
      <c r="E293" s="93">
        <f t="shared" si="39"/>
        <v>2472509</v>
      </c>
      <c r="F293" s="93">
        <f t="shared" si="38"/>
        <v>4700238</v>
      </c>
      <c r="G293" s="93">
        <f>[4]일위대가목록!F24</f>
        <v>68680</v>
      </c>
      <c r="H293" s="93">
        <f t="shared" ref="H293:H303" si="40">TRUNC(G293*C293,0)</f>
        <v>130560</v>
      </c>
      <c r="I293" s="93">
        <f>[4]일위대가목록!G24</f>
        <v>2289361</v>
      </c>
      <c r="J293" s="93">
        <f>TRUNC(I293*C293,0)</f>
        <v>4352075</v>
      </c>
      <c r="K293" s="93">
        <f>[4]일위대가목록!H24</f>
        <v>114468</v>
      </c>
      <c r="L293" s="93">
        <f>TRUNC(K293*C293,0)</f>
        <v>217603</v>
      </c>
      <c r="M293" s="94" t="s">
        <v>389</v>
      </c>
      <c r="N293" t="s">
        <v>6</v>
      </c>
      <c r="P293" t="s">
        <v>194</v>
      </c>
      <c r="Q293" t="s">
        <v>6</v>
      </c>
      <c r="R293" t="s">
        <v>390</v>
      </c>
      <c r="T293" t="s">
        <v>212</v>
      </c>
      <c r="BH293" s="92" t="s">
        <v>6</v>
      </c>
      <c r="BJ293" s="95" t="str">
        <f>HYPERLINK("#일위대가목록!A24","K01090028000 →")</f>
        <v>K01090028000 →</v>
      </c>
      <c r="CC293" s="92" t="s">
        <v>350</v>
      </c>
    </row>
    <row r="294" spans="1:100" ht="18.399999999999999" customHeight="1" x14ac:dyDescent="0.15">
      <c r="A294" s="91" t="s">
        <v>391</v>
      </c>
      <c r="B294" s="92" t="s">
        <v>386</v>
      </c>
      <c r="C294" s="92">
        <v>1.901</v>
      </c>
      <c r="D294" s="92" t="s">
        <v>388</v>
      </c>
      <c r="E294" s="93">
        <f t="shared" si="39"/>
        <v>3364568</v>
      </c>
      <c r="F294" s="93">
        <f t="shared" si="38"/>
        <v>6396043</v>
      </c>
      <c r="G294" s="93">
        <f>[4]일위대가목록!F32</f>
        <v>93460</v>
      </c>
      <c r="H294" s="93">
        <f t="shared" si="40"/>
        <v>177667</v>
      </c>
      <c r="I294" s="93">
        <f>[4]일위대가목록!G32</f>
        <v>3115341</v>
      </c>
      <c r="J294" s="93">
        <f>TRUNC(I294*C294,0)</f>
        <v>5922263</v>
      </c>
      <c r="K294" s="93">
        <f>[4]일위대가목록!H32</f>
        <v>155767</v>
      </c>
      <c r="L294" s="93">
        <f>TRUNC(K294*C294,0)</f>
        <v>296113</v>
      </c>
      <c r="M294" s="94" t="s">
        <v>486</v>
      </c>
      <c r="N294" t="s">
        <v>6</v>
      </c>
      <c r="P294" t="s">
        <v>198</v>
      </c>
      <c r="Q294" t="s">
        <v>6</v>
      </c>
      <c r="R294" t="s">
        <v>487</v>
      </c>
      <c r="T294" t="s">
        <v>212</v>
      </c>
      <c r="BH294" s="92" t="s">
        <v>6</v>
      </c>
      <c r="BJ294" s="95" t="str">
        <f>HYPERLINK("#일위대가목록!A32","K01090029000 →")</f>
        <v>K01090029000 →</v>
      </c>
      <c r="CC294" s="92" t="s">
        <v>350</v>
      </c>
    </row>
    <row r="295" spans="1:100" ht="18.399999999999999" customHeight="1" x14ac:dyDescent="0.15">
      <c r="A295" s="91" t="s">
        <v>488</v>
      </c>
      <c r="B295" s="92" t="s">
        <v>6</v>
      </c>
      <c r="C295" s="93">
        <v>1575</v>
      </c>
      <c r="D295" s="92" t="s">
        <v>489</v>
      </c>
      <c r="E295" s="93">
        <f t="shared" si="39"/>
        <v>950</v>
      </c>
      <c r="F295" s="93">
        <f t="shared" si="38"/>
        <v>1496250</v>
      </c>
      <c r="G295" s="93">
        <f>[4]자재조서!E55</f>
        <v>950</v>
      </c>
      <c r="H295" s="93">
        <f t="shared" si="40"/>
        <v>1496250</v>
      </c>
      <c r="I295" s="93">
        <v>0</v>
      </c>
      <c r="J295" s="93"/>
      <c r="K295" s="93">
        <v>0</v>
      </c>
      <c r="L295" s="93"/>
      <c r="M295" s="94" t="s">
        <v>490</v>
      </c>
      <c r="N295" t="s">
        <v>6</v>
      </c>
      <c r="P295" t="s">
        <v>201</v>
      </c>
      <c r="Q295" t="s">
        <v>6</v>
      </c>
      <c r="R295" t="s">
        <v>490</v>
      </c>
      <c r="BH295" s="92" t="s">
        <v>6</v>
      </c>
      <c r="BJ295" s="95" t="str">
        <f>HYPERLINK("#자재조서!A55","M9384010 →")</f>
        <v>M9384010 →</v>
      </c>
      <c r="CC295" s="92" t="s">
        <v>350</v>
      </c>
    </row>
    <row r="296" spans="1:100" ht="18.399999999999999" customHeight="1" x14ac:dyDescent="0.15">
      <c r="A296" s="91" t="s">
        <v>491</v>
      </c>
      <c r="B296" s="92" t="s">
        <v>492</v>
      </c>
      <c r="C296" s="93">
        <v>95</v>
      </c>
      <c r="D296" s="92" t="s">
        <v>493</v>
      </c>
      <c r="E296" s="93">
        <f t="shared" si="39"/>
        <v>-251</v>
      </c>
      <c r="F296" s="93">
        <f t="shared" si="38"/>
        <v>-23845</v>
      </c>
      <c r="G296" s="93">
        <f>[4]자재조서!E56</f>
        <v>-251</v>
      </c>
      <c r="H296" s="93">
        <f t="shared" si="40"/>
        <v>-23845</v>
      </c>
      <c r="I296" s="93">
        <v>0</v>
      </c>
      <c r="J296" s="93"/>
      <c r="K296" s="93">
        <v>0</v>
      </c>
      <c r="L296" s="93"/>
      <c r="M296" s="94" t="s">
        <v>494</v>
      </c>
      <c r="N296" t="s">
        <v>431</v>
      </c>
      <c r="P296" t="s">
        <v>204</v>
      </c>
      <c r="Q296" t="s">
        <v>6</v>
      </c>
      <c r="R296" t="s">
        <v>494</v>
      </c>
      <c r="BH296" s="92" t="s">
        <v>6</v>
      </c>
      <c r="BJ296" s="95" t="str">
        <f>HYPERLINK("#자재조서!A56","M9531005A →")</f>
        <v>M9531005A →</v>
      </c>
      <c r="CC296" s="92" t="s">
        <v>350</v>
      </c>
    </row>
    <row r="297" spans="1:100" ht="18.399999999999999" customHeight="1" x14ac:dyDescent="0.15">
      <c r="A297" s="91" t="s">
        <v>495</v>
      </c>
      <c r="B297" s="92" t="s">
        <v>6</v>
      </c>
      <c r="C297" s="92">
        <v>1.901</v>
      </c>
      <c r="D297" s="92" t="s">
        <v>388</v>
      </c>
      <c r="E297" s="93">
        <f t="shared" si="39"/>
        <v>23537</v>
      </c>
      <c r="F297" s="93">
        <f t="shared" si="38"/>
        <v>44742</v>
      </c>
      <c r="G297" s="93">
        <f>[4]일위대가목록!F33</f>
        <v>6305</v>
      </c>
      <c r="H297" s="93">
        <f t="shared" si="40"/>
        <v>11985</v>
      </c>
      <c r="I297" s="93">
        <f>[4]일위대가목록!G33</f>
        <v>13194</v>
      </c>
      <c r="J297" s="93">
        <f>TRUNC(I297*C297,0)</f>
        <v>25081</v>
      </c>
      <c r="K297" s="93">
        <f>[4]일위대가목록!H33</f>
        <v>4038</v>
      </c>
      <c r="L297" s="93">
        <f>TRUNC(K297*C297,0)</f>
        <v>7676</v>
      </c>
      <c r="M297" s="94" t="s">
        <v>496</v>
      </c>
      <c r="N297" t="s">
        <v>6</v>
      </c>
      <c r="P297" t="s">
        <v>211</v>
      </c>
      <c r="Q297" t="s">
        <v>6</v>
      </c>
      <c r="R297" t="s">
        <v>497</v>
      </c>
      <c r="T297" t="s">
        <v>212</v>
      </c>
      <c r="BH297" s="92" t="s">
        <v>6</v>
      </c>
      <c r="BJ297" s="95" t="str">
        <f>HYPERLINK("#일위대가목록!A33","K03H1H204850 →")</f>
        <v>K03H1H204850 →</v>
      </c>
      <c r="CC297" s="92" t="s">
        <v>350</v>
      </c>
    </row>
    <row r="298" spans="1:100" ht="18.399999999999999" customHeight="1" x14ac:dyDescent="0.15">
      <c r="A298" s="91" t="s">
        <v>498</v>
      </c>
      <c r="B298" s="92" t="s">
        <v>499</v>
      </c>
      <c r="C298" s="93">
        <v>5</v>
      </c>
      <c r="D298" s="92" t="s">
        <v>500</v>
      </c>
      <c r="E298" s="93">
        <f t="shared" si="39"/>
        <v>773936</v>
      </c>
      <c r="F298" s="93">
        <f t="shared" si="38"/>
        <v>3869680</v>
      </c>
      <c r="G298" s="93">
        <f>[4]일위대가목록!F34</f>
        <v>81120</v>
      </c>
      <c r="H298" s="93">
        <f t="shared" si="40"/>
        <v>405600</v>
      </c>
      <c r="I298" s="93">
        <f>[4]일위대가목록!G34</f>
        <v>400064</v>
      </c>
      <c r="J298" s="93">
        <f>TRUNC(I298*C298,0)</f>
        <v>2000320</v>
      </c>
      <c r="K298" s="93">
        <f>[4]일위대가목록!H34</f>
        <v>292752</v>
      </c>
      <c r="L298" s="93">
        <f>TRUNC(K298*C298,0)</f>
        <v>1463760</v>
      </c>
      <c r="M298" s="94" t="s">
        <v>501</v>
      </c>
      <c r="N298" t="s">
        <v>6</v>
      </c>
      <c r="P298" t="s">
        <v>218</v>
      </c>
      <c r="Q298" t="s">
        <v>6</v>
      </c>
      <c r="R298" t="s">
        <v>502</v>
      </c>
      <c r="T298" t="s">
        <v>212</v>
      </c>
      <c r="BH298" s="92" t="s">
        <v>6</v>
      </c>
      <c r="BJ298" s="95" t="str">
        <f>HYPERLINK("#일위대가목록!A34","K015080D120A →")</f>
        <v>K015080D120A →</v>
      </c>
      <c r="CC298" s="92" t="s">
        <v>350</v>
      </c>
    </row>
    <row r="299" spans="1:100" ht="18.399999999999999" customHeight="1" x14ac:dyDescent="0.15">
      <c r="A299" s="91" t="s">
        <v>503</v>
      </c>
      <c r="B299" s="92" t="s">
        <v>504</v>
      </c>
      <c r="C299" s="93">
        <v>91</v>
      </c>
      <c r="D299" s="92" t="s">
        <v>410</v>
      </c>
      <c r="E299" s="93">
        <f t="shared" si="39"/>
        <v>8840</v>
      </c>
      <c r="F299" s="93">
        <f t="shared" si="38"/>
        <v>804440</v>
      </c>
      <c r="G299" s="93">
        <f>[4]자재조서!E14</f>
        <v>8840</v>
      </c>
      <c r="H299" s="93">
        <f t="shared" si="40"/>
        <v>804440</v>
      </c>
      <c r="I299" s="93">
        <v>0</v>
      </c>
      <c r="J299" s="93"/>
      <c r="K299" s="93">
        <v>0</v>
      </c>
      <c r="L299" s="93"/>
      <c r="M299" s="94" t="s">
        <v>505</v>
      </c>
      <c r="N299" t="s">
        <v>506</v>
      </c>
      <c r="P299" t="s">
        <v>223</v>
      </c>
      <c r="Q299" t="s">
        <v>6</v>
      </c>
      <c r="R299" t="s">
        <v>505</v>
      </c>
      <c r="BH299" s="92" t="s">
        <v>6</v>
      </c>
      <c r="BJ299" s="95" t="str">
        <f>HYPERLINK("#자재조서!A14","M0132121F →")</f>
        <v>M0132121F →</v>
      </c>
      <c r="CC299" s="92" t="s">
        <v>350</v>
      </c>
    </row>
    <row r="300" spans="1:100" ht="18.399999999999999" customHeight="1" x14ac:dyDescent="0.15">
      <c r="A300" s="91" t="s">
        <v>503</v>
      </c>
      <c r="B300" s="92" t="s">
        <v>507</v>
      </c>
      <c r="C300" s="93">
        <v>364</v>
      </c>
      <c r="D300" s="92" t="s">
        <v>410</v>
      </c>
      <c r="E300" s="93">
        <f t="shared" si="39"/>
        <v>4234</v>
      </c>
      <c r="F300" s="93">
        <f t="shared" si="38"/>
        <v>1541176</v>
      </c>
      <c r="G300" s="93">
        <f>[4]자재조서!E15</f>
        <v>4234</v>
      </c>
      <c r="H300" s="93">
        <f t="shared" si="40"/>
        <v>1541176</v>
      </c>
      <c r="I300" s="93">
        <v>0</v>
      </c>
      <c r="J300" s="93"/>
      <c r="K300" s="93">
        <v>0</v>
      </c>
      <c r="L300" s="93"/>
      <c r="M300" s="94" t="s">
        <v>508</v>
      </c>
      <c r="N300" t="s">
        <v>6</v>
      </c>
      <c r="P300" t="s">
        <v>228</v>
      </c>
      <c r="Q300" t="s">
        <v>6</v>
      </c>
      <c r="R300" t="s">
        <v>508</v>
      </c>
      <c r="BH300" s="92" t="s">
        <v>6</v>
      </c>
      <c r="BJ300" s="95" t="str">
        <f>HYPERLINK("#자재조서!A15","M0132121G →")</f>
        <v>M0132121G →</v>
      </c>
      <c r="CC300" s="92" t="s">
        <v>350</v>
      </c>
    </row>
    <row r="301" spans="1:100" ht="18.399999999999999" customHeight="1" x14ac:dyDescent="0.15">
      <c r="A301" s="91" t="s">
        <v>509</v>
      </c>
      <c r="B301" s="92" t="s">
        <v>510</v>
      </c>
      <c r="C301" s="93">
        <v>7</v>
      </c>
      <c r="D301" s="92" t="s">
        <v>511</v>
      </c>
      <c r="E301" s="93">
        <f t="shared" si="39"/>
        <v>20000</v>
      </c>
      <c r="F301" s="93">
        <f t="shared" si="38"/>
        <v>140000</v>
      </c>
      <c r="G301" s="93">
        <f>[4]자재조서!E40</f>
        <v>20000</v>
      </c>
      <c r="H301" s="93">
        <f t="shared" si="40"/>
        <v>140000</v>
      </c>
      <c r="I301" s="93">
        <v>0</v>
      </c>
      <c r="J301" s="93"/>
      <c r="K301" s="93">
        <v>0</v>
      </c>
      <c r="L301" s="93"/>
      <c r="M301" s="94" t="s">
        <v>512</v>
      </c>
      <c r="N301" t="s">
        <v>513</v>
      </c>
      <c r="P301" t="s">
        <v>240</v>
      </c>
      <c r="Q301" t="s">
        <v>6</v>
      </c>
      <c r="R301" t="s">
        <v>512</v>
      </c>
      <c r="BH301" s="92" t="s">
        <v>6</v>
      </c>
      <c r="BJ301" s="95" t="str">
        <f>HYPERLINK("#자재조서!A40","M1663037 →")</f>
        <v>M1663037 →</v>
      </c>
      <c r="CC301" s="92" t="s">
        <v>350</v>
      </c>
    </row>
    <row r="302" spans="1:100" ht="18.399999999999999" customHeight="1" x14ac:dyDescent="0.15">
      <c r="A302" s="91" t="s">
        <v>509</v>
      </c>
      <c r="B302" s="92" t="s">
        <v>514</v>
      </c>
      <c r="C302" s="93">
        <v>12</v>
      </c>
      <c r="D302" s="92" t="s">
        <v>511</v>
      </c>
      <c r="E302" s="93">
        <f t="shared" si="39"/>
        <v>10000</v>
      </c>
      <c r="F302" s="93">
        <f t="shared" si="38"/>
        <v>120000</v>
      </c>
      <c r="G302" s="93">
        <f>[4]자재조서!E39</f>
        <v>10000</v>
      </c>
      <c r="H302" s="93">
        <f t="shared" si="40"/>
        <v>120000</v>
      </c>
      <c r="I302" s="93">
        <v>0</v>
      </c>
      <c r="J302" s="93"/>
      <c r="K302" s="93">
        <v>0</v>
      </c>
      <c r="L302" s="93"/>
      <c r="M302" s="94" t="s">
        <v>515</v>
      </c>
      <c r="N302" t="s">
        <v>6</v>
      </c>
      <c r="P302" t="s">
        <v>245</v>
      </c>
      <c r="Q302" t="s">
        <v>6</v>
      </c>
      <c r="R302" t="s">
        <v>515</v>
      </c>
      <c r="BH302" s="92" t="s">
        <v>6</v>
      </c>
      <c r="BJ302" s="95" t="str">
        <f>HYPERLINK("#자재조서!A39","M1663035 →")</f>
        <v>M1663035 →</v>
      </c>
      <c r="CC302" s="92" t="s">
        <v>350</v>
      </c>
    </row>
    <row r="303" spans="1:100" ht="18.399999999999999" customHeight="1" x14ac:dyDescent="0.15">
      <c r="A303" s="91" t="s">
        <v>516</v>
      </c>
      <c r="B303" s="92" t="s">
        <v>517</v>
      </c>
      <c r="C303" s="93">
        <v>89</v>
      </c>
      <c r="D303" s="92" t="s">
        <v>410</v>
      </c>
      <c r="E303" s="93">
        <f t="shared" si="39"/>
        <v>4022</v>
      </c>
      <c r="F303" s="93">
        <f t="shared" si="38"/>
        <v>357958</v>
      </c>
      <c r="G303" s="93">
        <f>[4]자재조서!E8</f>
        <v>4022</v>
      </c>
      <c r="H303" s="93">
        <f t="shared" si="40"/>
        <v>357958</v>
      </c>
      <c r="I303" s="93">
        <v>0</v>
      </c>
      <c r="J303" s="93"/>
      <c r="K303" s="93">
        <v>0</v>
      </c>
      <c r="L303" s="93"/>
      <c r="M303" s="94" t="s">
        <v>518</v>
      </c>
      <c r="N303" t="s">
        <v>6</v>
      </c>
      <c r="P303" t="s">
        <v>252</v>
      </c>
      <c r="Q303" t="s">
        <v>6</v>
      </c>
      <c r="R303" t="s">
        <v>518</v>
      </c>
      <c r="BH303" s="92" t="s">
        <v>6</v>
      </c>
      <c r="BJ303" s="95" t="str">
        <f>HYPERLINK("#자재조서!A8","M0060024B →")</f>
        <v>M0060024B →</v>
      </c>
      <c r="CC303" s="92" t="s">
        <v>350</v>
      </c>
    </row>
    <row r="304" spans="1:100" ht="18.399999999999999" customHeight="1" x14ac:dyDescent="0.15">
      <c r="A304" s="91" t="s">
        <v>633</v>
      </c>
      <c r="B304" s="92" t="s">
        <v>6</v>
      </c>
      <c r="C304" s="92"/>
      <c r="D304" s="92" t="s">
        <v>6</v>
      </c>
      <c r="E304" s="93">
        <f t="shared" si="39"/>
        <v>0</v>
      </c>
      <c r="F304" s="93">
        <f t="shared" si="38"/>
        <v>199750284</v>
      </c>
      <c r="G304" s="90"/>
      <c r="H304" s="93">
        <f>TRUNC(H305+H306+H307+H308+H309+H310+H311+H312,0)</f>
        <v>101456435</v>
      </c>
      <c r="I304" s="90"/>
      <c r="J304" s="93">
        <f>TRUNC(J305+J306+J307+J308+J309+J310+J311+J312,0)</f>
        <v>88153543</v>
      </c>
      <c r="K304" s="90"/>
      <c r="L304" s="93">
        <f>TRUNC(L305+L306+L307+L308+L309+L310+L311+L312,0)</f>
        <v>10140306</v>
      </c>
      <c r="M304" s="94" t="s">
        <v>6</v>
      </c>
      <c r="N304" t="s">
        <v>6</v>
      </c>
      <c r="P304" t="s">
        <v>256</v>
      </c>
      <c r="Q304" t="s">
        <v>6</v>
      </c>
      <c r="R304" t="s">
        <v>6</v>
      </c>
      <c r="BH304" s="92" t="s">
        <v>6</v>
      </c>
      <c r="CC304" s="92" t="s">
        <v>364</v>
      </c>
    </row>
    <row r="305" spans="1:81" ht="18.399999999999999" customHeight="1" x14ac:dyDescent="0.15">
      <c r="A305" s="91" t="s">
        <v>391</v>
      </c>
      <c r="B305" s="92" t="s">
        <v>386</v>
      </c>
      <c r="C305" s="92">
        <v>9.4879999999999995</v>
      </c>
      <c r="D305" s="92" t="s">
        <v>388</v>
      </c>
      <c r="E305" s="93">
        <f t="shared" si="39"/>
        <v>3364568</v>
      </c>
      <c r="F305" s="93">
        <f t="shared" si="38"/>
        <v>31923020</v>
      </c>
      <c r="G305" s="93">
        <f>[4]일위대가목록!F32</f>
        <v>93460</v>
      </c>
      <c r="H305" s="93">
        <f t="shared" ref="H305:H312" si="41">TRUNC(G305*C305,0)</f>
        <v>886748</v>
      </c>
      <c r="I305" s="93">
        <f>[4]일위대가목록!G32</f>
        <v>3115341</v>
      </c>
      <c r="J305" s="93">
        <f>TRUNC(I305*C305,0)</f>
        <v>29558355</v>
      </c>
      <c r="K305" s="93">
        <f>[4]일위대가목록!H32</f>
        <v>155767</v>
      </c>
      <c r="L305" s="93">
        <f>TRUNC(K305*C305,0)</f>
        <v>1477917</v>
      </c>
      <c r="M305" s="94" t="s">
        <v>486</v>
      </c>
      <c r="N305" t="s">
        <v>6</v>
      </c>
      <c r="P305" t="s">
        <v>261</v>
      </c>
      <c r="Q305" t="s">
        <v>6</v>
      </c>
      <c r="R305" t="s">
        <v>487</v>
      </c>
      <c r="T305" t="s">
        <v>212</v>
      </c>
      <c r="BH305" s="92" t="s">
        <v>6</v>
      </c>
      <c r="BJ305" s="95" t="str">
        <f>HYPERLINK("#일위대가목록!A32","K01090029000 →")</f>
        <v>K01090029000 →</v>
      </c>
      <c r="CC305" s="92" t="s">
        <v>350</v>
      </c>
    </row>
    <row r="306" spans="1:81" ht="18.399999999999999" customHeight="1" x14ac:dyDescent="0.15">
      <c r="A306" s="91" t="s">
        <v>488</v>
      </c>
      <c r="B306" s="92" t="s">
        <v>6</v>
      </c>
      <c r="C306" s="93">
        <v>9491</v>
      </c>
      <c r="D306" s="92" t="s">
        <v>489</v>
      </c>
      <c r="E306" s="93">
        <f t="shared" si="39"/>
        <v>950</v>
      </c>
      <c r="F306" s="93">
        <f t="shared" si="38"/>
        <v>9016450</v>
      </c>
      <c r="G306" s="93">
        <f>[4]자재조서!E55</f>
        <v>950</v>
      </c>
      <c r="H306" s="93">
        <f t="shared" si="41"/>
        <v>9016450</v>
      </c>
      <c r="I306" s="93">
        <v>0</v>
      </c>
      <c r="J306" s="93"/>
      <c r="K306" s="93">
        <v>0</v>
      </c>
      <c r="L306" s="93"/>
      <c r="M306" s="94" t="s">
        <v>490</v>
      </c>
      <c r="N306" t="s">
        <v>6</v>
      </c>
      <c r="P306" t="s">
        <v>266</v>
      </c>
      <c r="Q306" t="s">
        <v>6</v>
      </c>
      <c r="R306" t="s">
        <v>490</v>
      </c>
      <c r="BH306" s="92" t="s">
        <v>6</v>
      </c>
      <c r="BJ306" s="95" t="str">
        <f>HYPERLINK("#자재조서!A55","M9384010 →")</f>
        <v>M9384010 →</v>
      </c>
      <c r="CC306" s="92" t="s">
        <v>350</v>
      </c>
    </row>
    <row r="307" spans="1:81" ht="18.399999999999999" customHeight="1" x14ac:dyDescent="0.15">
      <c r="A307" s="91" t="s">
        <v>634</v>
      </c>
      <c r="B307" s="92" t="s">
        <v>635</v>
      </c>
      <c r="C307" s="93">
        <v>1123</v>
      </c>
      <c r="D307" s="92" t="s">
        <v>522</v>
      </c>
      <c r="E307" s="93">
        <f t="shared" si="39"/>
        <v>36324</v>
      </c>
      <c r="F307" s="93">
        <f t="shared" si="38"/>
        <v>40791852</v>
      </c>
      <c r="G307" s="93">
        <f>[4]일위대가목록!F35</f>
        <v>1258</v>
      </c>
      <c r="H307" s="93">
        <f t="shared" si="41"/>
        <v>1412734</v>
      </c>
      <c r="I307" s="93">
        <f>[4]일위대가목록!G35</f>
        <v>33643</v>
      </c>
      <c r="J307" s="93">
        <f>TRUNC(I307*C307,0)</f>
        <v>37781089</v>
      </c>
      <c r="K307" s="93">
        <f>[4]일위대가목록!H35</f>
        <v>1423</v>
      </c>
      <c r="L307" s="93">
        <f>TRUNC(K307*C307,0)</f>
        <v>1598029</v>
      </c>
      <c r="M307" s="94" t="s">
        <v>523</v>
      </c>
      <c r="N307" t="s">
        <v>6</v>
      </c>
      <c r="P307" t="s">
        <v>271</v>
      </c>
      <c r="Q307" t="s">
        <v>6</v>
      </c>
      <c r="R307" t="s">
        <v>524</v>
      </c>
      <c r="T307" t="s">
        <v>212</v>
      </c>
      <c r="BH307" s="92" t="s">
        <v>6</v>
      </c>
      <c r="BJ307" s="95" t="str">
        <f>HYPERLINK("#일위대가목록!A35","KR09030-0020 →")</f>
        <v>KR09030-0020 →</v>
      </c>
      <c r="CC307" s="92" t="s">
        <v>350</v>
      </c>
    </row>
    <row r="308" spans="1:81" ht="18.399999999999999" customHeight="1" x14ac:dyDescent="0.15">
      <c r="A308" s="91" t="s">
        <v>495</v>
      </c>
      <c r="B308" s="92" t="s">
        <v>6</v>
      </c>
      <c r="C308" s="92">
        <v>9.4879999999999995</v>
      </c>
      <c r="D308" s="92" t="s">
        <v>388</v>
      </c>
      <c r="E308" s="93">
        <f t="shared" si="39"/>
        <v>23537</v>
      </c>
      <c r="F308" s="93">
        <f t="shared" si="38"/>
        <v>223317</v>
      </c>
      <c r="G308" s="93">
        <f>[4]일위대가목록!F33</f>
        <v>6305</v>
      </c>
      <c r="H308" s="93">
        <f t="shared" si="41"/>
        <v>59821</v>
      </c>
      <c r="I308" s="93">
        <f>[4]일위대가목록!G33</f>
        <v>13194</v>
      </c>
      <c r="J308" s="93">
        <f>TRUNC(I308*C308,0)</f>
        <v>125184</v>
      </c>
      <c r="K308" s="93">
        <f>[4]일위대가목록!H33</f>
        <v>4038</v>
      </c>
      <c r="L308" s="93">
        <f>TRUNC(K308*C308,0)</f>
        <v>38312</v>
      </c>
      <c r="M308" s="94" t="s">
        <v>496</v>
      </c>
      <c r="N308" t="s">
        <v>6</v>
      </c>
      <c r="P308" t="s">
        <v>275</v>
      </c>
      <c r="Q308" t="s">
        <v>6</v>
      </c>
      <c r="R308" t="s">
        <v>497</v>
      </c>
      <c r="T308" t="s">
        <v>212</v>
      </c>
      <c r="BH308" s="92" t="s">
        <v>6</v>
      </c>
      <c r="BJ308" s="95" t="str">
        <f>HYPERLINK("#일위대가목록!A33","K03H1H204850 →")</f>
        <v>K03H1H204850 →</v>
      </c>
      <c r="CC308" s="92" t="s">
        <v>350</v>
      </c>
    </row>
    <row r="309" spans="1:81" ht="18.399999999999999" customHeight="1" x14ac:dyDescent="0.15">
      <c r="A309" s="91" t="s">
        <v>525</v>
      </c>
      <c r="B309" s="92" t="s">
        <v>499</v>
      </c>
      <c r="C309" s="93">
        <v>24</v>
      </c>
      <c r="D309" s="92" t="s">
        <v>500</v>
      </c>
      <c r="E309" s="93">
        <f t="shared" si="39"/>
        <v>773936</v>
      </c>
      <c r="F309" s="93">
        <f t="shared" si="38"/>
        <v>18574464</v>
      </c>
      <c r="G309" s="93">
        <f>[4]일위대가목록!F36</f>
        <v>81120</v>
      </c>
      <c r="H309" s="93">
        <f t="shared" si="41"/>
        <v>1946880</v>
      </c>
      <c r="I309" s="93">
        <f>[4]일위대가목록!G36</f>
        <v>400064</v>
      </c>
      <c r="J309" s="93">
        <f>TRUNC(I309*C309,0)</f>
        <v>9601536</v>
      </c>
      <c r="K309" s="93">
        <f>[4]일위대가목록!H36</f>
        <v>292752</v>
      </c>
      <c r="L309" s="93">
        <f>TRUNC(K309*C309,0)</f>
        <v>7026048</v>
      </c>
      <c r="M309" s="94" t="s">
        <v>526</v>
      </c>
      <c r="N309" t="s">
        <v>6</v>
      </c>
      <c r="P309" t="s">
        <v>279</v>
      </c>
      <c r="Q309" t="s">
        <v>6</v>
      </c>
      <c r="R309" t="s">
        <v>527</v>
      </c>
      <c r="T309" t="s">
        <v>212</v>
      </c>
      <c r="BH309" s="92" t="s">
        <v>6</v>
      </c>
      <c r="BJ309" s="95" t="str">
        <f>HYPERLINK("#일위대가목록!A36","K015080D110A →")</f>
        <v>K015080D110A →</v>
      </c>
      <c r="CC309" s="92" t="s">
        <v>350</v>
      </c>
    </row>
    <row r="310" spans="1:81" ht="18.399999999999999" customHeight="1" x14ac:dyDescent="0.15">
      <c r="A310" s="91" t="s">
        <v>528</v>
      </c>
      <c r="B310" s="92" t="s">
        <v>529</v>
      </c>
      <c r="C310" s="93">
        <v>182</v>
      </c>
      <c r="D310" s="92" t="s">
        <v>522</v>
      </c>
      <c r="E310" s="93">
        <f t="shared" si="39"/>
        <v>402285</v>
      </c>
      <c r="F310" s="93">
        <f t="shared" si="38"/>
        <v>73215870</v>
      </c>
      <c r="G310" s="93">
        <f>[4]자재조서!E68</f>
        <v>402285</v>
      </c>
      <c r="H310" s="93">
        <f t="shared" si="41"/>
        <v>73215870</v>
      </c>
      <c r="I310" s="93">
        <v>0</v>
      </c>
      <c r="J310" s="93"/>
      <c r="K310" s="93">
        <v>0</v>
      </c>
      <c r="L310" s="93"/>
      <c r="M310" s="94" t="s">
        <v>530</v>
      </c>
      <c r="N310" t="s">
        <v>6</v>
      </c>
      <c r="P310" t="s">
        <v>283</v>
      </c>
      <c r="Q310" t="s">
        <v>6</v>
      </c>
      <c r="R310" t="s">
        <v>530</v>
      </c>
      <c r="BH310" s="92" t="s">
        <v>6</v>
      </c>
      <c r="BJ310" s="95" t="str">
        <f>HYPERLINK("#자재조서!A68","MZZ10030 →")</f>
        <v>MZZ10030 →</v>
      </c>
      <c r="CC310" s="92" t="s">
        <v>350</v>
      </c>
    </row>
    <row r="311" spans="1:81" ht="18.399999999999999" customHeight="1" x14ac:dyDescent="0.15">
      <c r="A311" s="91" t="s">
        <v>531</v>
      </c>
      <c r="B311" s="92" t="s">
        <v>532</v>
      </c>
      <c r="C311" s="93">
        <v>1123</v>
      </c>
      <c r="D311" s="92" t="s">
        <v>303</v>
      </c>
      <c r="E311" s="93">
        <f t="shared" si="39"/>
        <v>19757</v>
      </c>
      <c r="F311" s="93">
        <f t="shared" si="38"/>
        <v>22187111</v>
      </c>
      <c r="G311" s="93">
        <f>[4]일위대가목록!F37</f>
        <v>9884</v>
      </c>
      <c r="H311" s="93">
        <f t="shared" si="41"/>
        <v>11099732</v>
      </c>
      <c r="I311" s="93">
        <f>[4]일위대가목록!G37</f>
        <v>9873</v>
      </c>
      <c r="J311" s="93">
        <f>TRUNC(I311*C311,0)</f>
        <v>11087379</v>
      </c>
      <c r="K311" s="93">
        <f>[4]일위대가목록!H37</f>
        <v>0</v>
      </c>
      <c r="L311" s="93">
        <f>TRUNC(K311*C311,0)</f>
        <v>0</v>
      </c>
      <c r="M311" s="94" t="s">
        <v>533</v>
      </c>
      <c r="N311" t="s">
        <v>6</v>
      </c>
      <c r="P311" t="s">
        <v>286</v>
      </c>
      <c r="Q311" t="s">
        <v>6</v>
      </c>
      <c r="R311" t="s">
        <v>534</v>
      </c>
      <c r="T311" t="s">
        <v>212</v>
      </c>
      <c r="BH311" s="92" t="s">
        <v>6</v>
      </c>
      <c r="BJ311" s="95" t="str">
        <f>HYPERLINK("#일위대가목록!A37","KR02062-0190 →")</f>
        <v>KR02062-0190 →</v>
      </c>
      <c r="CC311" s="92" t="s">
        <v>350</v>
      </c>
    </row>
    <row r="312" spans="1:81" ht="18.399999999999999" customHeight="1" x14ac:dyDescent="0.15">
      <c r="A312" s="91" t="s">
        <v>535</v>
      </c>
      <c r="B312" s="92" t="s">
        <v>536</v>
      </c>
      <c r="C312" s="93">
        <v>1123</v>
      </c>
      <c r="D312" s="92" t="s">
        <v>511</v>
      </c>
      <c r="E312" s="93">
        <f t="shared" si="39"/>
        <v>3400</v>
      </c>
      <c r="F312" s="93">
        <f t="shared" si="39"/>
        <v>3818200</v>
      </c>
      <c r="G312" s="93">
        <f>[4]자재조서!E38</f>
        <v>3400</v>
      </c>
      <c r="H312" s="93">
        <f t="shared" si="41"/>
        <v>3818200</v>
      </c>
      <c r="I312" s="93">
        <v>0</v>
      </c>
      <c r="J312" s="93"/>
      <c r="K312" s="93">
        <v>0</v>
      </c>
      <c r="L312" s="93"/>
      <c r="M312" s="94" t="s">
        <v>537</v>
      </c>
      <c r="N312" t="s">
        <v>6</v>
      </c>
      <c r="P312" t="s">
        <v>291</v>
      </c>
      <c r="Q312" t="s">
        <v>6</v>
      </c>
      <c r="R312" t="s">
        <v>537</v>
      </c>
      <c r="BH312" s="92" t="s">
        <v>6</v>
      </c>
      <c r="BJ312" s="95" t="str">
        <f>HYPERLINK("#자재조서!A38","M1663027 →")</f>
        <v>M1663027 →</v>
      </c>
      <c r="CC312" s="92" t="s">
        <v>350</v>
      </c>
    </row>
    <row r="313" spans="1:81" ht="18.399999999999999" customHeight="1" x14ac:dyDescent="0.15">
      <c r="A313" s="91" t="s">
        <v>636</v>
      </c>
      <c r="B313" s="92" t="s">
        <v>6</v>
      </c>
      <c r="C313" s="92"/>
      <c r="D313" s="92" t="s">
        <v>6</v>
      </c>
      <c r="E313" s="93">
        <f t="shared" si="39"/>
        <v>0</v>
      </c>
      <c r="F313" s="93">
        <f t="shared" si="39"/>
        <v>20160040</v>
      </c>
      <c r="G313" s="90"/>
      <c r="H313" s="93">
        <f>TRUNC(H314+H315+H316,0)</f>
        <v>17373057</v>
      </c>
      <c r="I313" s="90"/>
      <c r="J313" s="93">
        <f>TRUNC(J314+J315+J316,0)</f>
        <v>2654270</v>
      </c>
      <c r="K313" s="90"/>
      <c r="L313" s="93">
        <f>TRUNC(L314+L315+L316,0)</f>
        <v>132713</v>
      </c>
      <c r="M313" s="94" t="s">
        <v>6</v>
      </c>
      <c r="N313" t="s">
        <v>6</v>
      </c>
      <c r="P313" t="s">
        <v>297</v>
      </c>
      <c r="Q313" t="s">
        <v>6</v>
      </c>
      <c r="R313" t="s">
        <v>6</v>
      </c>
      <c r="BH313" s="92" t="s">
        <v>6</v>
      </c>
      <c r="CC313" s="92" t="s">
        <v>364</v>
      </c>
    </row>
    <row r="314" spans="1:81" ht="18.399999999999999" customHeight="1" x14ac:dyDescent="0.15">
      <c r="A314" s="91" t="s">
        <v>391</v>
      </c>
      <c r="B314" s="92" t="s">
        <v>386</v>
      </c>
      <c r="C314" s="92">
        <v>0.85199999999999998</v>
      </c>
      <c r="D314" s="92" t="s">
        <v>388</v>
      </c>
      <c r="E314" s="93">
        <f t="shared" si="39"/>
        <v>3364568</v>
      </c>
      <c r="F314" s="93">
        <f t="shared" si="39"/>
        <v>2866610</v>
      </c>
      <c r="G314" s="93">
        <f>[4]일위대가목록!F32</f>
        <v>93460</v>
      </c>
      <c r="H314" s="93">
        <f>TRUNC(G314*C314,0)</f>
        <v>79627</v>
      </c>
      <c r="I314" s="93">
        <f>[4]일위대가목록!G32</f>
        <v>3115341</v>
      </c>
      <c r="J314" s="93">
        <f>TRUNC(I314*C314,0)</f>
        <v>2654270</v>
      </c>
      <c r="K314" s="93">
        <f>[4]일위대가목록!H32</f>
        <v>155767</v>
      </c>
      <c r="L314" s="93">
        <f>TRUNC(K314*C314,0)</f>
        <v>132713</v>
      </c>
      <c r="M314" s="94" t="s">
        <v>486</v>
      </c>
      <c r="N314" t="s">
        <v>6</v>
      </c>
      <c r="P314" t="s">
        <v>307</v>
      </c>
      <c r="Q314" t="s">
        <v>6</v>
      </c>
      <c r="R314" t="s">
        <v>487</v>
      </c>
      <c r="T314" t="s">
        <v>212</v>
      </c>
      <c r="BH314" s="92" t="s">
        <v>6</v>
      </c>
      <c r="BJ314" s="95" t="str">
        <f>HYPERLINK("#일위대가목록!A32","K01090029000 →")</f>
        <v>K01090029000 →</v>
      </c>
      <c r="CC314" s="92" t="s">
        <v>350</v>
      </c>
    </row>
    <row r="315" spans="1:81" ht="18.399999999999999" customHeight="1" x14ac:dyDescent="0.15">
      <c r="A315" s="91" t="s">
        <v>539</v>
      </c>
      <c r="B315" s="92" t="s">
        <v>540</v>
      </c>
      <c r="C315" s="93">
        <v>357</v>
      </c>
      <c r="D315" s="92" t="s">
        <v>303</v>
      </c>
      <c r="E315" s="93">
        <f t="shared" si="39"/>
        <v>48000</v>
      </c>
      <c r="F315" s="93">
        <f t="shared" si="39"/>
        <v>17136000</v>
      </c>
      <c r="G315" s="93">
        <f>[4]자재조서!E62</f>
        <v>48000</v>
      </c>
      <c r="H315" s="93">
        <f>TRUNC(G315*C315,0)</f>
        <v>17136000</v>
      </c>
      <c r="I315" s="93">
        <v>0</v>
      </c>
      <c r="J315" s="93"/>
      <c r="K315" s="93">
        <v>0</v>
      </c>
      <c r="L315" s="93"/>
      <c r="M315" s="94" t="s">
        <v>541</v>
      </c>
      <c r="N315" t="s">
        <v>6</v>
      </c>
      <c r="P315" t="s">
        <v>311</v>
      </c>
      <c r="Q315" t="s">
        <v>6</v>
      </c>
      <c r="R315" t="s">
        <v>541</v>
      </c>
      <c r="BH315" s="92" t="s">
        <v>6</v>
      </c>
      <c r="BJ315" s="95" t="str">
        <f>HYPERLINK("#자재조서!A62","MZZ00060B →")</f>
        <v>MZZ00060B →</v>
      </c>
      <c r="CC315" s="92" t="s">
        <v>350</v>
      </c>
    </row>
    <row r="316" spans="1:81" ht="18.399999999999999" customHeight="1" x14ac:dyDescent="0.15">
      <c r="A316" s="91" t="s">
        <v>542</v>
      </c>
      <c r="B316" s="92" t="s">
        <v>543</v>
      </c>
      <c r="C316" s="93">
        <v>91</v>
      </c>
      <c r="D316" s="92" t="s">
        <v>410</v>
      </c>
      <c r="E316" s="93">
        <f t="shared" si="39"/>
        <v>1730</v>
      </c>
      <c r="F316" s="93">
        <f t="shared" si="39"/>
        <v>157430</v>
      </c>
      <c r="G316" s="93">
        <f>[4]자재조서!E24</f>
        <v>1730</v>
      </c>
      <c r="H316" s="93">
        <f>TRUNC(G316*C316,0)</f>
        <v>157430</v>
      </c>
      <c r="I316" s="93">
        <v>0</v>
      </c>
      <c r="J316" s="93"/>
      <c r="K316" s="93">
        <v>0</v>
      </c>
      <c r="L316" s="93"/>
      <c r="M316" s="94" t="s">
        <v>544</v>
      </c>
      <c r="N316" t="s">
        <v>545</v>
      </c>
      <c r="P316" t="s">
        <v>316</v>
      </c>
      <c r="Q316" t="s">
        <v>6</v>
      </c>
      <c r="R316" t="s">
        <v>544</v>
      </c>
      <c r="BH316" s="92" t="s">
        <v>6</v>
      </c>
      <c r="BJ316" s="95" t="str">
        <f>HYPERLINK("#자재조서!A24","M0414015A →")</f>
        <v>M0414015A →</v>
      </c>
      <c r="CC316" s="92" t="s">
        <v>350</v>
      </c>
    </row>
    <row r="317" spans="1:81" ht="18.399999999999999" customHeight="1" x14ac:dyDescent="0.15">
      <c r="A317" s="91" t="s">
        <v>637</v>
      </c>
      <c r="B317" s="92" t="s">
        <v>6</v>
      </c>
      <c r="C317" s="92"/>
      <c r="D317" s="92" t="s">
        <v>6</v>
      </c>
      <c r="E317" s="93">
        <f t="shared" si="39"/>
        <v>0</v>
      </c>
      <c r="F317" s="93">
        <f t="shared" si="39"/>
        <v>28420968</v>
      </c>
      <c r="G317" s="90"/>
      <c r="H317" s="93">
        <f>TRUNC(H319+H320+H321+H322+H323+H324+H326+H327+H328+H329+H330+H331+H332+H333+H334,0)</f>
        <v>14762705</v>
      </c>
      <c r="I317" s="90"/>
      <c r="J317" s="93">
        <f>TRUNC(J319+J320+J321+J322+J323+J324+J326+J327+J328+J329+J330+J331+J332+J333+J334,0)</f>
        <v>12127303</v>
      </c>
      <c r="K317" s="90"/>
      <c r="L317" s="93">
        <f>TRUNC(L319+L320+L321+L322+L323+L324+L326+L327+L328+L329+L330+L331+L332+L333+L334,0)</f>
        <v>1530960</v>
      </c>
      <c r="M317" s="94" t="s">
        <v>6</v>
      </c>
      <c r="N317" t="s">
        <v>6</v>
      </c>
      <c r="P317" t="s">
        <v>322</v>
      </c>
      <c r="Q317" t="s">
        <v>6</v>
      </c>
      <c r="R317" t="s">
        <v>6</v>
      </c>
      <c r="BH317" s="92" t="s">
        <v>6</v>
      </c>
      <c r="CC317" s="92" t="s">
        <v>345</v>
      </c>
    </row>
    <row r="318" spans="1:81" ht="18.399999999999999" customHeight="1" x14ac:dyDescent="0.15">
      <c r="A318" s="91" t="s">
        <v>638</v>
      </c>
      <c r="B318" s="92" t="s">
        <v>6</v>
      </c>
      <c r="C318" s="92"/>
      <c r="D318" s="92" t="s">
        <v>6</v>
      </c>
      <c r="E318" s="93">
        <f t="shared" si="39"/>
        <v>0</v>
      </c>
      <c r="F318" s="93">
        <f t="shared" si="39"/>
        <v>14261719</v>
      </c>
      <c r="G318" s="90"/>
      <c r="H318" s="93">
        <f>TRUNC(H319+H320+H321+H322+H323+H324,0)</f>
        <v>603456</v>
      </c>
      <c r="I318" s="90"/>
      <c r="J318" s="93">
        <f>TRUNC(J319+J320+J321+J322+J323+J324,0)</f>
        <v>12127303</v>
      </c>
      <c r="K318" s="90"/>
      <c r="L318" s="93">
        <f>TRUNC(L319+L320+L321+L322+L323+L324,0)</f>
        <v>1530960</v>
      </c>
      <c r="M318" s="94" t="s">
        <v>6</v>
      </c>
      <c r="N318" t="s">
        <v>6</v>
      </c>
      <c r="P318" t="s">
        <v>326</v>
      </c>
      <c r="Q318" t="s">
        <v>6</v>
      </c>
      <c r="R318" t="s">
        <v>6</v>
      </c>
      <c r="BH318" s="92" t="s">
        <v>6</v>
      </c>
      <c r="CC318" s="92" t="s">
        <v>364</v>
      </c>
    </row>
    <row r="319" spans="1:81" ht="18.399999999999999" customHeight="1" x14ac:dyDescent="0.15">
      <c r="A319" s="91" t="s">
        <v>385</v>
      </c>
      <c r="B319" s="92" t="s">
        <v>436</v>
      </c>
      <c r="C319" s="92">
        <v>1.2809999999999999</v>
      </c>
      <c r="D319" s="92" t="s">
        <v>388</v>
      </c>
      <c r="E319" s="93">
        <f t="shared" si="39"/>
        <v>3152180</v>
      </c>
      <c r="F319" s="93">
        <f t="shared" si="39"/>
        <v>4037941</v>
      </c>
      <c r="G319" s="93">
        <f>[4]일위대가목록!F30</f>
        <v>59475</v>
      </c>
      <c r="H319" s="93">
        <f t="shared" ref="H319:H324" si="42">TRUNC(G319*C319,0)</f>
        <v>76187</v>
      </c>
      <c r="I319" s="93">
        <f>[4]일위대가목록!G30</f>
        <v>2973755</v>
      </c>
      <c r="J319" s="93">
        <f t="shared" ref="J319:J324" si="43">TRUNC(I319*C319,0)</f>
        <v>3809380</v>
      </c>
      <c r="K319" s="93">
        <f>[4]일위대가목록!H30</f>
        <v>118950</v>
      </c>
      <c r="L319" s="93">
        <f t="shared" ref="L319:L324" si="44">TRUNC(K319*C319,0)</f>
        <v>152374</v>
      </c>
      <c r="M319" s="94" t="s">
        <v>437</v>
      </c>
      <c r="N319" t="s">
        <v>6</v>
      </c>
      <c r="P319" t="s">
        <v>328</v>
      </c>
      <c r="Q319" t="s">
        <v>6</v>
      </c>
      <c r="R319" t="s">
        <v>439</v>
      </c>
      <c r="T319" t="s">
        <v>212</v>
      </c>
      <c r="BH319" s="92" t="s">
        <v>6</v>
      </c>
      <c r="BJ319" s="95" t="str">
        <f>HYPERLINK("#일위대가목록!A30","K01090034000 →")</f>
        <v>K01090034000 →</v>
      </c>
      <c r="CC319" s="92" t="s">
        <v>350</v>
      </c>
    </row>
    <row r="320" spans="1:81" ht="18.399999999999999" customHeight="1" x14ac:dyDescent="0.15">
      <c r="A320" s="91" t="s">
        <v>391</v>
      </c>
      <c r="B320" s="92" t="s">
        <v>436</v>
      </c>
      <c r="C320" s="92">
        <v>1.2809999999999999</v>
      </c>
      <c r="D320" s="92" t="s">
        <v>388</v>
      </c>
      <c r="E320" s="93">
        <f t="shared" si="39"/>
        <v>4294167</v>
      </c>
      <c r="F320" s="93">
        <f t="shared" si="39"/>
        <v>5500827</v>
      </c>
      <c r="G320" s="93">
        <f>[4]일위대가목록!F31</f>
        <v>81022</v>
      </c>
      <c r="H320" s="93">
        <f t="shared" si="42"/>
        <v>103789</v>
      </c>
      <c r="I320" s="93">
        <f>[4]일위대가목록!G31</f>
        <v>4051101</v>
      </c>
      <c r="J320" s="93">
        <f t="shared" si="43"/>
        <v>5189460</v>
      </c>
      <c r="K320" s="93">
        <f>[4]일위대가목록!H31</f>
        <v>162044</v>
      </c>
      <c r="L320" s="93">
        <f t="shared" si="44"/>
        <v>207578</v>
      </c>
      <c r="M320" s="94" t="s">
        <v>440</v>
      </c>
      <c r="N320" t="s">
        <v>6</v>
      </c>
      <c r="P320" t="s">
        <v>438</v>
      </c>
      <c r="Q320" t="s">
        <v>6</v>
      </c>
      <c r="R320" t="s">
        <v>442</v>
      </c>
      <c r="T320" t="s">
        <v>212</v>
      </c>
      <c r="BH320" s="92" t="s">
        <v>6</v>
      </c>
      <c r="BJ320" s="95" t="str">
        <f>HYPERLINK("#일위대가목록!A31","K01090035000 →")</f>
        <v>K01090035000 →</v>
      </c>
      <c r="CC320" s="92" t="s">
        <v>350</v>
      </c>
    </row>
    <row r="321" spans="1:81" ht="18.399999999999999" customHeight="1" x14ac:dyDescent="0.15">
      <c r="A321" s="91" t="s">
        <v>395</v>
      </c>
      <c r="B321" s="92" t="s">
        <v>396</v>
      </c>
      <c r="C321" s="93">
        <v>4</v>
      </c>
      <c r="D321" s="92" t="s">
        <v>397</v>
      </c>
      <c r="E321" s="93">
        <f t="shared" si="39"/>
        <v>946634</v>
      </c>
      <c r="F321" s="93">
        <f t="shared" si="39"/>
        <v>3786536</v>
      </c>
      <c r="G321" s="93">
        <f>[4]일위대가목록!F26</f>
        <v>81120</v>
      </c>
      <c r="H321" s="93">
        <f t="shared" si="42"/>
        <v>324480</v>
      </c>
      <c r="I321" s="93">
        <f>[4]일위대가목록!G26</f>
        <v>572762</v>
      </c>
      <c r="J321" s="93">
        <f t="shared" si="43"/>
        <v>2291048</v>
      </c>
      <c r="K321" s="93">
        <f>[4]일위대가목록!H26</f>
        <v>292752</v>
      </c>
      <c r="L321" s="93">
        <f t="shared" si="44"/>
        <v>1171008</v>
      </c>
      <c r="M321" s="94" t="s">
        <v>398</v>
      </c>
      <c r="N321" t="s">
        <v>6</v>
      </c>
      <c r="P321" t="s">
        <v>441</v>
      </c>
      <c r="Q321" t="s">
        <v>6</v>
      </c>
      <c r="R321" t="s">
        <v>399</v>
      </c>
      <c r="T321" t="s">
        <v>212</v>
      </c>
      <c r="BH321" s="92" t="s">
        <v>6</v>
      </c>
      <c r="BJ321" s="95" t="str">
        <f>HYPERLINK("#일위대가목록!A26","KR012601 →")</f>
        <v>KR012601 →</v>
      </c>
      <c r="CC321" s="92" t="s">
        <v>350</v>
      </c>
    </row>
    <row r="322" spans="1:81" ht="18.399999999999999" hidden="1" customHeight="1" x14ac:dyDescent="0.15">
      <c r="A322" s="91" t="s">
        <v>400</v>
      </c>
      <c r="B322" s="92" t="s">
        <v>401</v>
      </c>
      <c r="C322" s="93">
        <v>0</v>
      </c>
      <c r="D322" s="92" t="s">
        <v>402</v>
      </c>
      <c r="E322" s="93">
        <f t="shared" si="39"/>
        <v>60173</v>
      </c>
      <c r="F322" s="93">
        <f t="shared" si="39"/>
        <v>0</v>
      </c>
      <c r="G322" s="93">
        <f>[4]일위대가목록!F27</f>
        <v>0</v>
      </c>
      <c r="H322" s="93">
        <f t="shared" si="42"/>
        <v>0</v>
      </c>
      <c r="I322" s="93">
        <f>[4]일위대가목록!G27</f>
        <v>60173</v>
      </c>
      <c r="J322" s="93">
        <f t="shared" si="43"/>
        <v>0</v>
      </c>
      <c r="K322" s="93">
        <f>[4]일위대가목록!H27</f>
        <v>0</v>
      </c>
      <c r="L322" s="93">
        <f t="shared" si="44"/>
        <v>0</v>
      </c>
      <c r="M322" s="94" t="s">
        <v>403</v>
      </c>
      <c r="N322" t="s">
        <v>6</v>
      </c>
      <c r="P322" t="s">
        <v>443</v>
      </c>
      <c r="Q322" t="s">
        <v>6</v>
      </c>
      <c r="R322" t="s">
        <v>404</v>
      </c>
      <c r="T322" t="s">
        <v>212</v>
      </c>
      <c r="BH322" s="92" t="s">
        <v>6</v>
      </c>
      <c r="BJ322" s="95" t="str">
        <f>HYPERLINK("#일위대가목록!A27","KR012602 →")</f>
        <v>KR012602 →</v>
      </c>
      <c r="CC322" s="92" t="s">
        <v>350</v>
      </c>
    </row>
    <row r="323" spans="1:81" ht="18.399999999999999" customHeight="1" x14ac:dyDescent="0.15">
      <c r="A323" s="91" t="s">
        <v>400</v>
      </c>
      <c r="B323" s="92" t="s">
        <v>405</v>
      </c>
      <c r="C323" s="92">
        <v>1.2809999999999999</v>
      </c>
      <c r="D323" s="92" t="s">
        <v>402</v>
      </c>
      <c r="E323" s="93">
        <f t="shared" ref="E323:F346" si="45">G323+I323+K323</f>
        <v>104665</v>
      </c>
      <c r="F323" s="93">
        <f t="shared" si="45"/>
        <v>134075</v>
      </c>
      <c r="G323" s="93">
        <f>[4]일위대가목록!F28</f>
        <v>0</v>
      </c>
      <c r="H323" s="93">
        <f t="shared" si="42"/>
        <v>0</v>
      </c>
      <c r="I323" s="93">
        <f>[4]일위대가목록!G28</f>
        <v>104665</v>
      </c>
      <c r="J323" s="93">
        <f t="shared" si="43"/>
        <v>134075</v>
      </c>
      <c r="K323" s="93">
        <f>[4]일위대가목록!H28</f>
        <v>0</v>
      </c>
      <c r="L323" s="93">
        <f t="shared" si="44"/>
        <v>0</v>
      </c>
      <c r="M323" s="94" t="s">
        <v>406</v>
      </c>
      <c r="N323" t="s">
        <v>6</v>
      </c>
      <c r="P323" t="s">
        <v>444</v>
      </c>
      <c r="Q323" t="s">
        <v>6</v>
      </c>
      <c r="R323" t="s">
        <v>407</v>
      </c>
      <c r="T323" t="s">
        <v>212</v>
      </c>
      <c r="BH323" s="92" t="s">
        <v>6</v>
      </c>
      <c r="BJ323" s="95" t="str">
        <f>HYPERLINK("#일위대가목록!A28","KR012603 →")</f>
        <v>KR012603 →</v>
      </c>
      <c r="CC323" s="92" t="s">
        <v>350</v>
      </c>
    </row>
    <row r="324" spans="1:81" ht="18.399999999999999" customHeight="1" x14ac:dyDescent="0.15">
      <c r="A324" s="91" t="s">
        <v>408</v>
      </c>
      <c r="B324" s="92" t="s">
        <v>409</v>
      </c>
      <c r="C324" s="93">
        <v>10</v>
      </c>
      <c r="D324" s="92" t="s">
        <v>410</v>
      </c>
      <c r="E324" s="93">
        <f t="shared" si="45"/>
        <v>80234</v>
      </c>
      <c r="F324" s="93">
        <f t="shared" si="45"/>
        <v>802340</v>
      </c>
      <c r="G324" s="93">
        <f>[4]일위대가목록!F29</f>
        <v>9900</v>
      </c>
      <c r="H324" s="93">
        <f t="shared" si="42"/>
        <v>99000</v>
      </c>
      <c r="I324" s="93">
        <f>[4]일위대가목록!G29</f>
        <v>70334</v>
      </c>
      <c r="J324" s="93">
        <f t="shared" si="43"/>
        <v>703340</v>
      </c>
      <c r="K324" s="93">
        <f>[4]일위대가목록!H29</f>
        <v>0</v>
      </c>
      <c r="L324" s="93">
        <f t="shared" si="44"/>
        <v>0</v>
      </c>
      <c r="M324" s="94" t="s">
        <v>411</v>
      </c>
      <c r="N324" t="s">
        <v>6</v>
      </c>
      <c r="P324" t="s">
        <v>445</v>
      </c>
      <c r="Q324" t="s">
        <v>6</v>
      </c>
      <c r="R324" t="s">
        <v>412</v>
      </c>
      <c r="T324" t="s">
        <v>212</v>
      </c>
      <c r="BH324" s="92" t="s">
        <v>6</v>
      </c>
      <c r="BJ324" s="95" t="str">
        <f>HYPERLINK("#일위대가목록!A29","K03H1H202650 →")</f>
        <v>K03H1H202650 →</v>
      </c>
      <c r="CC324" s="92" t="s">
        <v>350</v>
      </c>
    </row>
    <row r="325" spans="1:81" ht="18.399999999999999" customHeight="1" x14ac:dyDescent="0.15">
      <c r="A325" s="91" t="s">
        <v>639</v>
      </c>
      <c r="B325" s="92" t="s">
        <v>6</v>
      </c>
      <c r="C325" s="92"/>
      <c r="D325" s="92" t="s">
        <v>6</v>
      </c>
      <c r="E325" s="93">
        <f t="shared" si="45"/>
        <v>0</v>
      </c>
      <c r="F325" s="93">
        <f t="shared" si="45"/>
        <v>14159249</v>
      </c>
      <c r="G325" s="90"/>
      <c r="H325" s="93">
        <f>TRUNC(H326+H327+H328+H329+H330+H331+H332+H333+H334,0)</f>
        <v>14159249</v>
      </c>
      <c r="I325" s="90"/>
      <c r="J325" s="93">
        <f>TRUNC(J326+J327+J328+J329+J330+J331+J332+J333+J334,0)</f>
        <v>0</v>
      </c>
      <c r="K325" s="90"/>
      <c r="L325" s="93">
        <f>TRUNC(L326+L327+L328+L329+L330+L331+L332+L333+L334,0)</f>
        <v>0</v>
      </c>
      <c r="M325" s="94" t="s">
        <v>6</v>
      </c>
      <c r="N325" t="s">
        <v>6</v>
      </c>
      <c r="P325" t="s">
        <v>446</v>
      </c>
      <c r="Q325" t="s">
        <v>6</v>
      </c>
      <c r="R325" t="s">
        <v>6</v>
      </c>
      <c r="BH325" s="92" t="s">
        <v>6</v>
      </c>
      <c r="CC325" s="92" t="s">
        <v>364</v>
      </c>
    </row>
    <row r="326" spans="1:81" ht="18.399999999999999" hidden="1" customHeight="1" x14ac:dyDescent="0.15">
      <c r="A326" s="91" t="s">
        <v>449</v>
      </c>
      <c r="B326" s="92" t="s">
        <v>450</v>
      </c>
      <c r="C326" s="93">
        <v>0</v>
      </c>
      <c r="D326" s="92" t="s">
        <v>402</v>
      </c>
      <c r="E326" s="93">
        <f t="shared" si="45"/>
        <v>3550000</v>
      </c>
      <c r="F326" s="93">
        <f t="shared" si="45"/>
        <v>0</v>
      </c>
      <c r="G326" s="93">
        <f>[4]자재조서!E19</f>
        <v>3550000</v>
      </c>
      <c r="H326" s="93">
        <f t="shared" ref="H326:H334" si="46">TRUNC(G326*C326,0)</f>
        <v>0</v>
      </c>
      <c r="I326" s="93">
        <v>0</v>
      </c>
      <c r="J326" s="93"/>
      <c r="K326" s="93">
        <v>0</v>
      </c>
      <c r="L326" s="93"/>
      <c r="M326" s="94" t="s">
        <v>451</v>
      </c>
      <c r="N326" t="s">
        <v>6</v>
      </c>
      <c r="P326" t="s">
        <v>448</v>
      </c>
      <c r="Q326" t="s">
        <v>6</v>
      </c>
      <c r="R326" t="s">
        <v>451</v>
      </c>
      <c r="BH326" s="92" t="s">
        <v>6</v>
      </c>
      <c r="BJ326" s="95" t="str">
        <f>HYPERLINK("#자재조서!A19","M0195057 →")</f>
        <v>M0195057 →</v>
      </c>
      <c r="CC326" s="92" t="s">
        <v>350</v>
      </c>
    </row>
    <row r="327" spans="1:81" ht="18.399999999999999" customHeight="1" x14ac:dyDescent="0.15">
      <c r="A327" s="91" t="s">
        <v>453</v>
      </c>
      <c r="B327" s="92" t="s">
        <v>454</v>
      </c>
      <c r="C327" s="93">
        <v>173</v>
      </c>
      <c r="D327" s="92" t="s">
        <v>410</v>
      </c>
      <c r="E327" s="93">
        <f t="shared" si="45"/>
        <v>14420</v>
      </c>
      <c r="F327" s="93">
        <f t="shared" si="45"/>
        <v>2494660</v>
      </c>
      <c r="G327" s="93">
        <f>[4]자재조서!E23</f>
        <v>14420</v>
      </c>
      <c r="H327" s="93">
        <f t="shared" si="46"/>
        <v>2494660</v>
      </c>
      <c r="I327" s="93">
        <v>0</v>
      </c>
      <c r="J327" s="93"/>
      <c r="K327" s="93">
        <v>0</v>
      </c>
      <c r="L327" s="93"/>
      <c r="M327" s="94" t="s">
        <v>455</v>
      </c>
      <c r="N327" t="s">
        <v>431</v>
      </c>
      <c r="P327" t="s">
        <v>452</v>
      </c>
      <c r="Q327" t="s">
        <v>6</v>
      </c>
      <c r="R327" t="s">
        <v>455</v>
      </c>
      <c r="BH327" s="92" t="s">
        <v>6</v>
      </c>
      <c r="BJ327" s="95" t="str">
        <f>HYPERLINK("#자재조서!A23","M0240087 →")</f>
        <v>M0240087 →</v>
      </c>
      <c r="CC327" s="92" t="s">
        <v>350</v>
      </c>
    </row>
    <row r="328" spans="1:81" ht="18.399999999999999" customHeight="1" x14ac:dyDescent="0.15">
      <c r="A328" s="91" t="s">
        <v>453</v>
      </c>
      <c r="B328" s="92" t="s">
        <v>454</v>
      </c>
      <c r="C328" s="93">
        <v>103</v>
      </c>
      <c r="D328" s="92" t="s">
        <v>410</v>
      </c>
      <c r="E328" s="93">
        <f t="shared" si="45"/>
        <v>14420</v>
      </c>
      <c r="F328" s="93">
        <f t="shared" si="45"/>
        <v>1485260</v>
      </c>
      <c r="G328" s="93">
        <f>[4]자재조서!E23</f>
        <v>14420</v>
      </c>
      <c r="H328" s="93">
        <f t="shared" si="46"/>
        <v>1485260</v>
      </c>
      <c r="I328" s="93">
        <v>0</v>
      </c>
      <c r="J328" s="93"/>
      <c r="K328" s="93">
        <v>0</v>
      </c>
      <c r="L328" s="93"/>
      <c r="M328" s="94" t="s">
        <v>455</v>
      </c>
      <c r="N328" t="s">
        <v>431</v>
      </c>
      <c r="P328" t="s">
        <v>456</v>
      </c>
      <c r="Q328" t="s">
        <v>6</v>
      </c>
      <c r="R328" t="s">
        <v>455</v>
      </c>
      <c r="BH328" s="92" t="s">
        <v>6</v>
      </c>
      <c r="BJ328" s="95" t="str">
        <f>HYPERLINK("#자재조서!A23","M0240087 →")</f>
        <v>M0240087 →</v>
      </c>
      <c r="CC328" s="92" t="s">
        <v>350</v>
      </c>
    </row>
    <row r="329" spans="1:81" ht="18.399999999999999" customHeight="1" x14ac:dyDescent="0.15">
      <c r="A329" s="91" t="s">
        <v>453</v>
      </c>
      <c r="B329" s="92" t="s">
        <v>458</v>
      </c>
      <c r="C329" s="93">
        <v>345</v>
      </c>
      <c r="D329" s="92" t="s">
        <v>410</v>
      </c>
      <c r="E329" s="93">
        <f t="shared" si="45"/>
        <v>10710</v>
      </c>
      <c r="F329" s="93">
        <f t="shared" si="45"/>
        <v>3694950</v>
      </c>
      <c r="G329" s="93">
        <f>[4]자재조서!E21</f>
        <v>10710</v>
      </c>
      <c r="H329" s="93">
        <f t="shared" si="46"/>
        <v>3694950</v>
      </c>
      <c r="I329" s="93">
        <v>0</v>
      </c>
      <c r="J329" s="93"/>
      <c r="K329" s="93">
        <v>0</v>
      </c>
      <c r="L329" s="93"/>
      <c r="M329" s="94" t="s">
        <v>459</v>
      </c>
      <c r="N329" t="s">
        <v>431</v>
      </c>
      <c r="P329" t="s">
        <v>457</v>
      </c>
      <c r="Q329" t="s">
        <v>6</v>
      </c>
      <c r="R329" t="s">
        <v>459</v>
      </c>
      <c r="BH329" s="92" t="s">
        <v>6</v>
      </c>
      <c r="BJ329" s="95" t="str">
        <f>HYPERLINK("#자재조서!A21","M0240075 →")</f>
        <v>M0240075 →</v>
      </c>
      <c r="CC329" s="92" t="s">
        <v>350</v>
      </c>
    </row>
    <row r="330" spans="1:81" ht="18.399999999999999" customHeight="1" x14ac:dyDescent="0.15">
      <c r="A330" s="91" t="s">
        <v>453</v>
      </c>
      <c r="B330" s="92" t="s">
        <v>461</v>
      </c>
      <c r="C330" s="92">
        <v>0.73</v>
      </c>
      <c r="D330" s="92" t="s">
        <v>410</v>
      </c>
      <c r="E330" s="93">
        <f t="shared" si="45"/>
        <v>7510</v>
      </c>
      <c r="F330" s="93">
        <f t="shared" si="45"/>
        <v>5482</v>
      </c>
      <c r="G330" s="93">
        <f>[4]자재조서!E22</f>
        <v>7510</v>
      </c>
      <c r="H330" s="93">
        <f t="shared" si="46"/>
        <v>5482</v>
      </c>
      <c r="I330" s="93">
        <v>0</v>
      </c>
      <c r="J330" s="93"/>
      <c r="K330" s="93">
        <v>0</v>
      </c>
      <c r="L330" s="93"/>
      <c r="M330" s="94" t="s">
        <v>462</v>
      </c>
      <c r="N330" t="s">
        <v>6</v>
      </c>
      <c r="P330" t="s">
        <v>460</v>
      </c>
      <c r="Q330" t="s">
        <v>6</v>
      </c>
      <c r="R330" t="s">
        <v>462</v>
      </c>
      <c r="BH330" s="92" t="s">
        <v>6</v>
      </c>
      <c r="BJ330" s="95" t="str">
        <f>HYPERLINK("#자재조서!A22","M0240078 →")</f>
        <v>M0240078 →</v>
      </c>
      <c r="CC330" s="92" t="s">
        <v>350</v>
      </c>
    </row>
    <row r="331" spans="1:81" ht="18.399999999999999" customHeight="1" x14ac:dyDescent="0.15">
      <c r="A331" s="91" t="s">
        <v>453</v>
      </c>
      <c r="B331" s="92" t="s">
        <v>464</v>
      </c>
      <c r="C331" s="92">
        <v>1.45</v>
      </c>
      <c r="D331" s="92" t="s">
        <v>410</v>
      </c>
      <c r="E331" s="93">
        <f t="shared" si="45"/>
        <v>4660</v>
      </c>
      <c r="F331" s="93">
        <f t="shared" si="45"/>
        <v>6757</v>
      </c>
      <c r="G331" s="93">
        <f>[4]자재조서!E20</f>
        <v>4660</v>
      </c>
      <c r="H331" s="93">
        <f t="shared" si="46"/>
        <v>6757</v>
      </c>
      <c r="I331" s="93">
        <v>0</v>
      </c>
      <c r="J331" s="93"/>
      <c r="K331" s="93">
        <v>0</v>
      </c>
      <c r="L331" s="93"/>
      <c r="M331" s="94" t="s">
        <v>465</v>
      </c>
      <c r="N331" t="s">
        <v>6</v>
      </c>
      <c r="P331" t="s">
        <v>463</v>
      </c>
      <c r="Q331" t="s">
        <v>6</v>
      </c>
      <c r="R331" t="s">
        <v>465</v>
      </c>
      <c r="BH331" s="92" t="s">
        <v>6</v>
      </c>
      <c r="BJ331" s="95" t="str">
        <f>HYPERLINK("#자재조서!A20","M0240056 →")</f>
        <v>M0240056 →</v>
      </c>
      <c r="CC331" s="92" t="s">
        <v>350</v>
      </c>
    </row>
    <row r="332" spans="1:81" ht="18.399999999999999" customHeight="1" x14ac:dyDescent="0.15">
      <c r="A332" s="91" t="s">
        <v>467</v>
      </c>
      <c r="B332" s="92" t="s">
        <v>468</v>
      </c>
      <c r="C332" s="93">
        <v>138</v>
      </c>
      <c r="D332" s="92" t="s">
        <v>469</v>
      </c>
      <c r="E332" s="93">
        <f t="shared" si="45"/>
        <v>32730</v>
      </c>
      <c r="F332" s="93">
        <f t="shared" si="45"/>
        <v>4516740</v>
      </c>
      <c r="G332" s="93">
        <f>[4]자재조서!E26</f>
        <v>32730</v>
      </c>
      <c r="H332" s="93">
        <f t="shared" si="46"/>
        <v>4516740</v>
      </c>
      <c r="I332" s="93">
        <v>0</v>
      </c>
      <c r="J332" s="93"/>
      <c r="K332" s="93">
        <v>0</v>
      </c>
      <c r="L332" s="93"/>
      <c r="M332" s="94" t="s">
        <v>470</v>
      </c>
      <c r="N332" t="s">
        <v>471</v>
      </c>
      <c r="P332" t="s">
        <v>466</v>
      </c>
      <c r="Q332" t="s">
        <v>6</v>
      </c>
      <c r="R332" t="s">
        <v>470</v>
      </c>
      <c r="BH332" s="92" t="s">
        <v>6</v>
      </c>
      <c r="BJ332" s="95" t="str">
        <f>HYPERLINK("#자재조서!A26","M0687017 →")</f>
        <v>M0687017 →</v>
      </c>
      <c r="CC332" s="92" t="s">
        <v>350</v>
      </c>
    </row>
    <row r="333" spans="1:81" ht="18.399999999999999" customHeight="1" x14ac:dyDescent="0.15">
      <c r="A333" s="91" t="s">
        <v>549</v>
      </c>
      <c r="B333" s="92" t="s">
        <v>6</v>
      </c>
      <c r="C333" s="93">
        <v>519</v>
      </c>
      <c r="D333" s="92" t="s">
        <v>303</v>
      </c>
      <c r="E333" s="93">
        <f t="shared" si="45"/>
        <v>3600</v>
      </c>
      <c r="F333" s="93">
        <f t="shared" si="45"/>
        <v>1868400</v>
      </c>
      <c r="G333" s="93">
        <f>[4]자재조서!E70</f>
        <v>3600</v>
      </c>
      <c r="H333" s="93">
        <f t="shared" si="46"/>
        <v>1868400</v>
      </c>
      <c r="I333" s="93">
        <v>0</v>
      </c>
      <c r="J333" s="93"/>
      <c r="K333" s="93">
        <v>0</v>
      </c>
      <c r="L333" s="93"/>
      <c r="M333" s="94" t="s">
        <v>550</v>
      </c>
      <c r="N333" t="s">
        <v>551</v>
      </c>
      <c r="P333" t="s">
        <v>472</v>
      </c>
      <c r="Q333" t="s">
        <v>6</v>
      </c>
      <c r="R333" t="s">
        <v>550</v>
      </c>
      <c r="BH333" s="92" t="s">
        <v>6</v>
      </c>
      <c r="BJ333" s="95" t="str">
        <f>HYPERLINK("#자재조서!A70","MZZ10070 →")</f>
        <v>MZZ10070 →</v>
      </c>
      <c r="CC333" s="92" t="s">
        <v>350</v>
      </c>
    </row>
    <row r="334" spans="1:81" ht="18.399999999999999" customHeight="1" x14ac:dyDescent="0.15">
      <c r="A334" s="91" t="s">
        <v>552</v>
      </c>
      <c r="B334" s="92" t="s">
        <v>553</v>
      </c>
      <c r="C334" s="93">
        <v>87</v>
      </c>
      <c r="D334" s="92" t="s">
        <v>410</v>
      </c>
      <c r="E334" s="93">
        <f t="shared" si="45"/>
        <v>1000</v>
      </c>
      <c r="F334" s="93">
        <f t="shared" si="45"/>
        <v>87000</v>
      </c>
      <c r="G334" s="93">
        <f>[4]자재조서!E71</f>
        <v>1000</v>
      </c>
      <c r="H334" s="93">
        <f t="shared" si="46"/>
        <v>87000</v>
      </c>
      <c r="I334" s="93">
        <v>0</v>
      </c>
      <c r="J334" s="93"/>
      <c r="K334" s="93">
        <v>0</v>
      </c>
      <c r="L334" s="93"/>
      <c r="M334" s="94" t="s">
        <v>554</v>
      </c>
      <c r="N334" t="s">
        <v>6</v>
      </c>
      <c r="P334" t="s">
        <v>474</v>
      </c>
      <c r="Q334" t="s">
        <v>6</v>
      </c>
      <c r="R334" t="s">
        <v>554</v>
      </c>
      <c r="BH334" s="92" t="s">
        <v>6</v>
      </c>
      <c r="BJ334" s="95" t="str">
        <f>HYPERLINK("#자재조서!A71","MZZ10080 →")</f>
        <v>MZZ10080 →</v>
      </c>
      <c r="CC334" s="92" t="s">
        <v>350</v>
      </c>
    </row>
    <row r="335" spans="1:81" ht="18.399999999999999" customHeight="1" x14ac:dyDescent="0.15">
      <c r="A335" s="91" t="s">
        <v>640</v>
      </c>
      <c r="B335" s="92" t="s">
        <v>6</v>
      </c>
      <c r="C335" s="92"/>
      <c r="D335" s="92" t="s">
        <v>6</v>
      </c>
      <c r="E335" s="93">
        <f t="shared" si="45"/>
        <v>0</v>
      </c>
      <c r="F335" s="93">
        <f t="shared" si="45"/>
        <v>2250000</v>
      </c>
      <c r="G335" s="90"/>
      <c r="H335" s="93">
        <f>TRUNC(H336+H337,0)</f>
        <v>2250000</v>
      </c>
      <c r="I335" s="90"/>
      <c r="J335" s="93">
        <f>TRUNC(J336+J337,0)</f>
        <v>0</v>
      </c>
      <c r="K335" s="90"/>
      <c r="L335" s="93">
        <f>TRUNC(L336+L337,0)</f>
        <v>0</v>
      </c>
      <c r="M335" s="94" t="s">
        <v>6</v>
      </c>
      <c r="N335" t="s">
        <v>6</v>
      </c>
      <c r="P335" t="s">
        <v>478</v>
      </c>
      <c r="Q335" t="s">
        <v>6</v>
      </c>
      <c r="R335" t="s">
        <v>6</v>
      </c>
      <c r="BH335" s="92" t="s">
        <v>6</v>
      </c>
      <c r="CC335" s="92" t="s">
        <v>345</v>
      </c>
    </row>
    <row r="336" spans="1:81" ht="18.399999999999999" hidden="1" customHeight="1" x14ac:dyDescent="0.15">
      <c r="A336" s="91" t="s">
        <v>475</v>
      </c>
      <c r="B336" s="92" t="s">
        <v>476</v>
      </c>
      <c r="C336" s="93">
        <v>0</v>
      </c>
      <c r="D336" s="92" t="s">
        <v>410</v>
      </c>
      <c r="E336" s="93">
        <f t="shared" si="45"/>
        <v>210000</v>
      </c>
      <c r="F336" s="93">
        <f t="shared" si="45"/>
        <v>0</v>
      </c>
      <c r="G336" s="93">
        <f>[4]자재조서!E66</f>
        <v>210000</v>
      </c>
      <c r="H336" s="93">
        <f>TRUNC(G336*C336,0)</f>
        <v>0</v>
      </c>
      <c r="I336" s="93">
        <v>0</v>
      </c>
      <c r="J336" s="93"/>
      <c r="K336" s="93">
        <v>0</v>
      </c>
      <c r="L336" s="93"/>
      <c r="M336" s="94" t="s">
        <v>477</v>
      </c>
      <c r="N336" t="s">
        <v>6</v>
      </c>
      <c r="P336" t="s">
        <v>482</v>
      </c>
      <c r="Q336" t="s">
        <v>6</v>
      </c>
      <c r="R336" t="s">
        <v>477</v>
      </c>
      <c r="BH336" s="92" t="s">
        <v>6</v>
      </c>
      <c r="BJ336" s="95" t="str">
        <f>HYPERLINK("#자재조서!A66","MZZ10010 →")</f>
        <v>MZZ10010 →</v>
      </c>
      <c r="CC336" s="92" t="s">
        <v>350</v>
      </c>
    </row>
    <row r="337" spans="1:100" ht="18.399999999999999" customHeight="1" x14ac:dyDescent="0.15">
      <c r="A337" s="91" t="s">
        <v>479</v>
      </c>
      <c r="B337" s="92" t="s">
        <v>641</v>
      </c>
      <c r="C337" s="93">
        <v>3</v>
      </c>
      <c r="D337" s="92" t="s">
        <v>305</v>
      </c>
      <c r="E337" s="93">
        <f t="shared" si="45"/>
        <v>750000</v>
      </c>
      <c r="F337" s="93">
        <f t="shared" si="45"/>
        <v>2250000</v>
      </c>
      <c r="G337" s="93">
        <f>[4]자재조서!E67</f>
        <v>750000</v>
      </c>
      <c r="H337" s="93">
        <f>TRUNC(G337*C337,0)</f>
        <v>2250000</v>
      </c>
      <c r="I337" s="93">
        <v>0</v>
      </c>
      <c r="J337" s="93"/>
      <c r="K337" s="93">
        <v>0</v>
      </c>
      <c r="L337" s="93"/>
      <c r="M337" s="94" t="s">
        <v>481</v>
      </c>
      <c r="N337" t="s">
        <v>6</v>
      </c>
      <c r="P337" t="s">
        <v>483</v>
      </c>
      <c r="Q337" t="s">
        <v>6</v>
      </c>
      <c r="R337" t="s">
        <v>481</v>
      </c>
      <c r="BH337" s="92" t="s">
        <v>6</v>
      </c>
      <c r="BJ337" s="95" t="str">
        <f>HYPERLINK("#자재조서!A67","MZZ10025 →")</f>
        <v>MZZ10025 →</v>
      </c>
      <c r="CC337" s="92" t="s">
        <v>350</v>
      </c>
    </row>
    <row r="338" spans="1:100" ht="18.399999999999999" customHeight="1" x14ac:dyDescent="0.15">
      <c r="A338" s="91" t="s">
        <v>642</v>
      </c>
      <c r="B338" s="92" t="s">
        <v>6</v>
      </c>
      <c r="C338" s="92"/>
      <c r="D338" s="92" t="s">
        <v>6</v>
      </c>
      <c r="E338" s="93">
        <f t="shared" si="45"/>
        <v>0</v>
      </c>
      <c r="F338" s="93">
        <f t="shared" si="45"/>
        <v>75318061</v>
      </c>
      <c r="G338" s="90"/>
      <c r="H338" s="93">
        <f>TRUNC(H339+H340+H341+H342+H343+H344+H345,0)</f>
        <v>25808091</v>
      </c>
      <c r="I338" s="90"/>
      <c r="J338" s="93">
        <f>TRUNC(J339+J340+J341+J342+J343+J344+J345,0)</f>
        <v>33729733</v>
      </c>
      <c r="K338" s="90"/>
      <c r="L338" s="93">
        <f>TRUNC(L339+L340+L341+L342+L343+L344+L345,0)</f>
        <v>15780237</v>
      </c>
      <c r="M338" s="94" t="s">
        <v>6</v>
      </c>
      <c r="N338" t="s">
        <v>6</v>
      </c>
      <c r="P338" t="s">
        <v>557</v>
      </c>
      <c r="Q338" t="s">
        <v>6</v>
      </c>
      <c r="R338" t="s">
        <v>6</v>
      </c>
      <c r="BH338" s="92" t="s">
        <v>6</v>
      </c>
      <c r="CC338" s="92" t="s">
        <v>345</v>
      </c>
    </row>
    <row r="339" spans="1:100" ht="18.399999999999999" customHeight="1" x14ac:dyDescent="0.15">
      <c r="A339" s="91" t="s">
        <v>558</v>
      </c>
      <c r="B339" s="92" t="s">
        <v>381</v>
      </c>
      <c r="C339" s="92">
        <v>1.4E-2</v>
      </c>
      <c r="D339" s="92" t="s">
        <v>388</v>
      </c>
      <c r="E339" s="93">
        <f t="shared" si="45"/>
        <v>1007249</v>
      </c>
      <c r="F339" s="93">
        <f t="shared" si="45"/>
        <v>14100</v>
      </c>
      <c r="G339" s="93">
        <f>[4]일위대가목록!F38</f>
        <v>92554</v>
      </c>
      <c r="H339" s="93">
        <f t="shared" ref="H339:H345" si="47">TRUNC(G339*C339,0)</f>
        <v>1295</v>
      </c>
      <c r="I339" s="93">
        <f>[4]일위대가목록!G38</f>
        <v>891755</v>
      </c>
      <c r="J339" s="93">
        <f>TRUNC(I339*C339,0)</f>
        <v>12484</v>
      </c>
      <c r="K339" s="93">
        <f>[4]일위대가목록!H38</f>
        <v>22940</v>
      </c>
      <c r="L339" s="93">
        <f>TRUNC(K339*C339,0)</f>
        <v>321</v>
      </c>
      <c r="M339" s="94" t="s">
        <v>559</v>
      </c>
      <c r="N339" t="s">
        <v>6</v>
      </c>
      <c r="P339" t="s">
        <v>560</v>
      </c>
      <c r="Q339" t="s">
        <v>6</v>
      </c>
      <c r="R339" t="s">
        <v>561</v>
      </c>
      <c r="T339" t="s">
        <v>212</v>
      </c>
      <c r="BH339" s="92" t="s">
        <v>6</v>
      </c>
      <c r="BJ339" s="95" t="str">
        <f>HYPERLINK("#일위대가목록!A38","K16A06A00010 →")</f>
        <v>K16A06A00010 →</v>
      </c>
      <c r="CC339" s="92" t="s">
        <v>350</v>
      </c>
    </row>
    <row r="340" spans="1:100" ht="18.399999999999999" customHeight="1" x14ac:dyDescent="0.15">
      <c r="A340" s="91" t="s">
        <v>395</v>
      </c>
      <c r="B340" s="92" t="s">
        <v>396</v>
      </c>
      <c r="C340" s="93">
        <v>1</v>
      </c>
      <c r="D340" s="92" t="s">
        <v>397</v>
      </c>
      <c r="E340" s="93">
        <f t="shared" si="45"/>
        <v>946634</v>
      </c>
      <c r="F340" s="93">
        <f t="shared" si="45"/>
        <v>946634</v>
      </c>
      <c r="G340" s="93">
        <f>[4]일위대가목록!F26</f>
        <v>81120</v>
      </c>
      <c r="H340" s="93">
        <f t="shared" si="47"/>
        <v>81120</v>
      </c>
      <c r="I340" s="93">
        <f>[4]일위대가목록!G26</f>
        <v>572762</v>
      </c>
      <c r="J340" s="93">
        <f>TRUNC(I340*C340,0)</f>
        <v>572762</v>
      </c>
      <c r="K340" s="93">
        <f>[4]일위대가목록!H26</f>
        <v>292752</v>
      </c>
      <c r="L340" s="93">
        <f>TRUNC(K340*C340,0)</f>
        <v>292752</v>
      </c>
      <c r="M340" s="94" t="s">
        <v>398</v>
      </c>
      <c r="N340" t="s">
        <v>6</v>
      </c>
      <c r="P340" t="s">
        <v>562</v>
      </c>
      <c r="Q340" t="s">
        <v>6</v>
      </c>
      <c r="R340" t="s">
        <v>399</v>
      </c>
      <c r="T340" t="s">
        <v>212</v>
      </c>
      <c r="BH340" s="92" t="s">
        <v>6</v>
      </c>
      <c r="BJ340" s="95" t="str">
        <f>HYPERLINK("#일위대가목록!A26","KR012601 →")</f>
        <v>KR012601 →</v>
      </c>
      <c r="CC340" s="92" t="s">
        <v>350</v>
      </c>
    </row>
    <row r="341" spans="1:100" ht="18.399999999999999" hidden="1" customHeight="1" x14ac:dyDescent="0.15">
      <c r="A341" s="91" t="s">
        <v>400</v>
      </c>
      <c r="B341" s="92" t="s">
        <v>401</v>
      </c>
      <c r="C341" s="93">
        <v>0</v>
      </c>
      <c r="D341" s="92" t="s">
        <v>402</v>
      </c>
      <c r="E341" s="93">
        <f t="shared" si="45"/>
        <v>60173</v>
      </c>
      <c r="F341" s="93">
        <f t="shared" si="45"/>
        <v>0</v>
      </c>
      <c r="G341" s="93">
        <f>[4]일위대가목록!F27</f>
        <v>0</v>
      </c>
      <c r="H341" s="93">
        <f t="shared" si="47"/>
        <v>0</v>
      </c>
      <c r="I341" s="93">
        <f>[4]일위대가목록!G27</f>
        <v>60173</v>
      </c>
      <c r="J341" s="93">
        <f>TRUNC(I341*C341,0)</f>
        <v>0</v>
      </c>
      <c r="K341" s="93">
        <f>[4]일위대가목록!H27</f>
        <v>0</v>
      </c>
      <c r="L341" s="93">
        <f>TRUNC(K341*C341,0)</f>
        <v>0</v>
      </c>
      <c r="M341" s="94" t="s">
        <v>403</v>
      </c>
      <c r="N341" t="s">
        <v>6</v>
      </c>
      <c r="P341" t="s">
        <v>563</v>
      </c>
      <c r="Q341" t="s">
        <v>6</v>
      </c>
      <c r="R341" t="s">
        <v>404</v>
      </c>
      <c r="T341" t="s">
        <v>212</v>
      </c>
      <c r="BH341" s="92" t="s">
        <v>6</v>
      </c>
      <c r="BJ341" s="95" t="str">
        <f>HYPERLINK("#일위대가목록!A27","KR012602 →")</f>
        <v>KR012602 →</v>
      </c>
      <c r="CC341" s="92" t="s">
        <v>350</v>
      </c>
    </row>
    <row r="342" spans="1:100" ht="18.399999999999999" customHeight="1" x14ac:dyDescent="0.15">
      <c r="A342" s="91" t="s">
        <v>400</v>
      </c>
      <c r="B342" s="92" t="s">
        <v>405</v>
      </c>
      <c r="C342" s="92">
        <v>1.4E-2</v>
      </c>
      <c r="D342" s="92" t="s">
        <v>402</v>
      </c>
      <c r="E342" s="93">
        <f t="shared" si="45"/>
        <v>104665</v>
      </c>
      <c r="F342" s="93">
        <f t="shared" si="45"/>
        <v>1465</v>
      </c>
      <c r="G342" s="93">
        <f>[4]일위대가목록!F28</f>
        <v>0</v>
      </c>
      <c r="H342" s="93">
        <f t="shared" si="47"/>
        <v>0</v>
      </c>
      <c r="I342" s="93">
        <f>[4]일위대가목록!G28</f>
        <v>104665</v>
      </c>
      <c r="J342" s="93">
        <f>TRUNC(I342*C342,0)</f>
        <v>1465</v>
      </c>
      <c r="K342" s="93">
        <f>[4]일위대가목록!H28</f>
        <v>0</v>
      </c>
      <c r="L342" s="93">
        <f>TRUNC(K342*C342,0)</f>
        <v>0</v>
      </c>
      <c r="M342" s="94" t="s">
        <v>406</v>
      </c>
      <c r="N342" t="s">
        <v>6</v>
      </c>
      <c r="P342" t="s">
        <v>564</v>
      </c>
      <c r="Q342" t="s">
        <v>6</v>
      </c>
      <c r="R342" t="s">
        <v>407</v>
      </c>
      <c r="T342" t="s">
        <v>212</v>
      </c>
      <c r="BH342" s="92" t="s">
        <v>6</v>
      </c>
      <c r="BJ342" s="95" t="str">
        <f>HYPERLINK("#일위대가목록!A28","KR012603 →")</f>
        <v>KR012603 →</v>
      </c>
      <c r="CC342" s="92" t="s">
        <v>350</v>
      </c>
    </row>
    <row r="343" spans="1:100" ht="18.399999999999999" customHeight="1" x14ac:dyDescent="0.15">
      <c r="A343" s="91" t="s">
        <v>565</v>
      </c>
      <c r="B343" s="92" t="s">
        <v>566</v>
      </c>
      <c r="C343" s="92">
        <v>1.4E-2</v>
      </c>
      <c r="D343" s="92" t="s">
        <v>402</v>
      </c>
      <c r="E343" s="93">
        <f t="shared" si="45"/>
        <v>-1900000</v>
      </c>
      <c r="F343" s="93">
        <f t="shared" si="45"/>
        <v>-26600</v>
      </c>
      <c r="G343" s="93">
        <f>[4]자재조서!E57</f>
        <v>-1900000</v>
      </c>
      <c r="H343" s="93">
        <f t="shared" si="47"/>
        <v>-26600</v>
      </c>
      <c r="I343" s="93">
        <v>0</v>
      </c>
      <c r="J343" s="93"/>
      <c r="K343" s="93">
        <v>0</v>
      </c>
      <c r="L343" s="93"/>
      <c r="M343" s="94" t="s">
        <v>567</v>
      </c>
      <c r="N343" t="s">
        <v>6</v>
      </c>
      <c r="P343" t="s">
        <v>568</v>
      </c>
      <c r="Q343" t="s">
        <v>6</v>
      </c>
      <c r="R343" t="s">
        <v>567</v>
      </c>
      <c r="BH343" s="92" t="s">
        <v>6</v>
      </c>
      <c r="BJ343" s="95" t="str">
        <f>HYPERLINK("#자재조서!A57","M9534003A →")</f>
        <v>M9534003A →</v>
      </c>
      <c r="CC343" s="92" t="s">
        <v>350</v>
      </c>
    </row>
    <row r="344" spans="1:100" ht="18.399999999999999" customHeight="1" x14ac:dyDescent="0.15">
      <c r="A344" s="91" t="s">
        <v>643</v>
      </c>
      <c r="B344" s="92" t="s">
        <v>644</v>
      </c>
      <c r="C344" s="93">
        <v>66</v>
      </c>
      <c r="D344" s="92" t="s">
        <v>410</v>
      </c>
      <c r="E344" s="93">
        <f t="shared" si="45"/>
        <v>74842</v>
      </c>
      <c r="F344" s="93">
        <f t="shared" si="45"/>
        <v>4939572</v>
      </c>
      <c r="G344" s="93">
        <f>[4]일위대가목록!F42</f>
        <v>9851</v>
      </c>
      <c r="H344" s="93">
        <f t="shared" si="47"/>
        <v>650166</v>
      </c>
      <c r="I344" s="93">
        <f>[4]일위대가목록!G42</f>
        <v>60062</v>
      </c>
      <c r="J344" s="93">
        <f>TRUNC(I344*C344,0)</f>
        <v>3964092</v>
      </c>
      <c r="K344" s="93">
        <f>[4]일위대가목록!H42</f>
        <v>4929</v>
      </c>
      <c r="L344" s="93">
        <f>TRUNC(K344*C344,0)</f>
        <v>325314</v>
      </c>
      <c r="M344" s="94" t="s">
        <v>645</v>
      </c>
      <c r="N344" t="s">
        <v>6</v>
      </c>
      <c r="P344" t="s">
        <v>570</v>
      </c>
      <c r="Q344" t="s">
        <v>6</v>
      </c>
      <c r="R344" t="s">
        <v>646</v>
      </c>
      <c r="T344" t="s">
        <v>212</v>
      </c>
      <c r="BH344" s="92" t="s">
        <v>6</v>
      </c>
      <c r="BJ344" s="95" t="str">
        <f>HYPERLINK("#일위대가목록!A42","K013062C04 →")</f>
        <v>K013062C04 →</v>
      </c>
      <c r="CC344" s="92" t="s">
        <v>350</v>
      </c>
    </row>
    <row r="345" spans="1:100" ht="18.399999999999999" customHeight="1" x14ac:dyDescent="0.15">
      <c r="A345" s="91" t="s">
        <v>602</v>
      </c>
      <c r="B345" s="92" t="s">
        <v>603</v>
      </c>
      <c r="C345" s="93">
        <v>330</v>
      </c>
      <c r="D345" s="92" t="s">
        <v>347</v>
      </c>
      <c r="E345" s="93">
        <f t="shared" si="45"/>
        <v>210433</v>
      </c>
      <c r="F345" s="93">
        <f t="shared" si="45"/>
        <v>69442890</v>
      </c>
      <c r="G345" s="93">
        <f>[4]일위대가목록!F39</f>
        <v>76067</v>
      </c>
      <c r="H345" s="93">
        <f t="shared" si="47"/>
        <v>25102110</v>
      </c>
      <c r="I345" s="93">
        <f>[4]일위대가목록!G39</f>
        <v>88421</v>
      </c>
      <c r="J345" s="93">
        <f>TRUNC(I345*C345,0)</f>
        <v>29178930</v>
      </c>
      <c r="K345" s="93">
        <f>[4]일위대가목록!H39</f>
        <v>45945</v>
      </c>
      <c r="L345" s="93">
        <f>TRUNC(K345*C345,0)</f>
        <v>15161850</v>
      </c>
      <c r="M345" s="94" t="s">
        <v>604</v>
      </c>
      <c r="N345" t="s">
        <v>6</v>
      </c>
      <c r="P345" t="s">
        <v>573</v>
      </c>
      <c r="Q345" t="s">
        <v>6</v>
      </c>
      <c r="R345" t="s">
        <v>606</v>
      </c>
      <c r="T345" t="s">
        <v>212</v>
      </c>
      <c r="BH345" s="92" t="s">
        <v>6</v>
      </c>
      <c r="BJ345" s="95" t="str">
        <f>HYPERLINK("#일위대가목록!A39","K03H1H203530 →")</f>
        <v>K03H1H203530 →</v>
      </c>
      <c r="CC345" s="92" t="s">
        <v>350</v>
      </c>
    </row>
    <row r="346" spans="1:100" ht="18.399999999999999" customHeight="1" x14ac:dyDescent="0.15">
      <c r="A346" s="91" t="s">
        <v>6</v>
      </c>
      <c r="B346" s="92" t="s">
        <v>6</v>
      </c>
      <c r="C346" s="92"/>
      <c r="D346" s="92" t="s">
        <v>6</v>
      </c>
      <c r="E346" s="93">
        <f t="shared" si="45"/>
        <v>0</v>
      </c>
      <c r="F346" s="93">
        <f t="shared" si="45"/>
        <v>0</v>
      </c>
      <c r="G346" s="90"/>
      <c r="H346" s="93">
        <v>0</v>
      </c>
      <c r="I346" s="90"/>
      <c r="J346" s="93">
        <v>0</v>
      </c>
      <c r="K346" s="90"/>
      <c r="L346" s="93">
        <v>0</v>
      </c>
      <c r="M346" s="94" t="s">
        <v>6</v>
      </c>
      <c r="N346" t="s">
        <v>6</v>
      </c>
      <c r="P346" t="s">
        <v>575</v>
      </c>
      <c r="Q346" t="s">
        <v>329</v>
      </c>
      <c r="R346" t="s">
        <v>6</v>
      </c>
      <c r="BH346" s="92" t="s">
        <v>6</v>
      </c>
      <c r="CC346" s="92" t="s">
        <v>6</v>
      </c>
    </row>
    <row r="347" spans="1:100" ht="18.399999999999999" customHeight="1" x14ac:dyDescent="0.15">
      <c r="A347" s="91" t="s">
        <v>334</v>
      </c>
      <c r="B347" s="92" t="s">
        <v>6</v>
      </c>
      <c r="C347" s="93">
        <v>1</v>
      </c>
      <c r="D347" s="92" t="s">
        <v>188</v>
      </c>
      <c r="E347" s="90"/>
      <c r="F347" s="93">
        <f t="shared" ref="F347:F407" si="48">H347+J347+L347</f>
        <v>115978416</v>
      </c>
      <c r="G347" s="90"/>
      <c r="H347" s="93">
        <f>TRUNC(H349+H350+H351+H352+H354+H356+H357,0)</f>
        <v>169330</v>
      </c>
      <c r="I347" s="90"/>
      <c r="J347" s="93">
        <f>TRUNC(J349+J350+J351+J352+J354+J356+J357,0)</f>
        <v>1865910</v>
      </c>
      <c r="K347" s="90"/>
      <c r="L347" s="93">
        <f>TRUNC(L349+L350+L351+L352+L354+L356+L357,0)</f>
        <v>113943176</v>
      </c>
      <c r="M347" s="94" t="s">
        <v>6</v>
      </c>
      <c r="N347" t="s">
        <v>6</v>
      </c>
      <c r="O347" t="s">
        <v>202</v>
      </c>
      <c r="BH347" s="92" t="s">
        <v>6</v>
      </c>
      <c r="CV347" s="92" t="s">
        <v>6</v>
      </c>
    </row>
    <row r="348" spans="1:100" ht="18.399999999999999" customHeight="1" x14ac:dyDescent="0.15">
      <c r="A348" s="91" t="s">
        <v>647</v>
      </c>
      <c r="B348" s="92" t="s">
        <v>6</v>
      </c>
      <c r="C348" s="92"/>
      <c r="D348" s="92" t="s">
        <v>6</v>
      </c>
      <c r="E348" s="93">
        <f t="shared" ref="E348:E358" si="49">G348+I348+K348</f>
        <v>0</v>
      </c>
      <c r="F348" s="93">
        <f t="shared" si="48"/>
        <v>82439160</v>
      </c>
      <c r="G348" s="90"/>
      <c r="H348" s="93">
        <f>TRUNC(H349+H350+H351+H352,0)</f>
        <v>169330</v>
      </c>
      <c r="I348" s="90"/>
      <c r="J348" s="93">
        <f>TRUNC(J349+J350+J351+J352,0)</f>
        <v>1865910</v>
      </c>
      <c r="K348" s="90"/>
      <c r="L348" s="93">
        <f>TRUNC(L349+L350+L351+L352,0)</f>
        <v>80403920</v>
      </c>
      <c r="M348" s="94" t="s">
        <v>6</v>
      </c>
      <c r="N348" t="s">
        <v>6</v>
      </c>
      <c r="P348" t="s">
        <v>26</v>
      </c>
      <c r="Q348" t="s">
        <v>6</v>
      </c>
      <c r="R348" t="s">
        <v>6</v>
      </c>
      <c r="BH348" s="92" t="s">
        <v>6</v>
      </c>
      <c r="CC348" s="92" t="s">
        <v>345</v>
      </c>
    </row>
    <row r="349" spans="1:100" ht="18.399999999999999" customHeight="1" x14ac:dyDescent="0.15">
      <c r="A349" s="91" t="s">
        <v>648</v>
      </c>
      <c r="B349" s="92" t="s">
        <v>649</v>
      </c>
      <c r="C349" s="93">
        <v>1</v>
      </c>
      <c r="D349" s="92" t="s">
        <v>522</v>
      </c>
      <c r="E349" s="93">
        <f t="shared" si="49"/>
        <v>1176980</v>
      </c>
      <c r="F349" s="93">
        <f t="shared" si="48"/>
        <v>1176980</v>
      </c>
      <c r="G349" s="93">
        <f>[4]일위대가목록!F3</f>
        <v>0</v>
      </c>
      <c r="H349" s="93">
        <f>TRUNC(G349*C349,0)</f>
        <v>0</v>
      </c>
      <c r="I349" s="93">
        <f>[4]일위대가목록!G3</f>
        <v>0</v>
      </c>
      <c r="J349" s="93">
        <f>TRUNC(I349*C349,0)</f>
        <v>0</v>
      </c>
      <c r="K349" s="93">
        <f>[4]일위대가목록!H3</f>
        <v>1176980</v>
      </c>
      <c r="L349" s="93">
        <f>TRUNC(K349*C349,0)</f>
        <v>1176980</v>
      </c>
      <c r="M349" s="94" t="s">
        <v>650</v>
      </c>
      <c r="N349" t="s">
        <v>6</v>
      </c>
      <c r="P349" t="s">
        <v>48</v>
      </c>
      <c r="Q349" t="s">
        <v>6</v>
      </c>
      <c r="R349" t="s">
        <v>651</v>
      </c>
      <c r="T349" t="s">
        <v>212</v>
      </c>
      <c r="BH349" s="92" t="s">
        <v>6</v>
      </c>
      <c r="BJ349" s="95" t="str">
        <f>HYPERLINK("#일위대가목록!A3","K03H1H203190 →")</f>
        <v>K03H1H203190 →</v>
      </c>
      <c r="CC349" s="92" t="s">
        <v>350</v>
      </c>
    </row>
    <row r="350" spans="1:100" ht="18.399999999999999" customHeight="1" x14ac:dyDescent="0.15">
      <c r="A350" s="91" t="s">
        <v>652</v>
      </c>
      <c r="B350" s="92" t="s">
        <v>649</v>
      </c>
      <c r="C350" s="93">
        <v>1</v>
      </c>
      <c r="D350" s="92" t="s">
        <v>522</v>
      </c>
      <c r="E350" s="93">
        <f t="shared" si="49"/>
        <v>1084980</v>
      </c>
      <c r="F350" s="93">
        <f t="shared" si="48"/>
        <v>1084980</v>
      </c>
      <c r="G350" s="93">
        <f>[4]일위대가목록!F4</f>
        <v>0</v>
      </c>
      <c r="H350" s="93">
        <f>TRUNC(G350*C350,0)</f>
        <v>0</v>
      </c>
      <c r="I350" s="93">
        <f>[4]일위대가목록!G4</f>
        <v>0</v>
      </c>
      <c r="J350" s="93">
        <f>TRUNC(I350*C350,0)</f>
        <v>0</v>
      </c>
      <c r="K350" s="93">
        <f>[4]일위대가목록!H4</f>
        <v>1084980</v>
      </c>
      <c r="L350" s="93">
        <f>TRUNC(K350*C350,0)</f>
        <v>1084980</v>
      </c>
      <c r="M350" s="94" t="s">
        <v>653</v>
      </c>
      <c r="N350" t="s">
        <v>6</v>
      </c>
      <c r="P350" t="s">
        <v>191</v>
      </c>
      <c r="Q350" t="s">
        <v>6</v>
      </c>
      <c r="R350" t="s">
        <v>654</v>
      </c>
      <c r="T350" t="s">
        <v>212</v>
      </c>
      <c r="BH350" s="92" t="s">
        <v>6</v>
      </c>
      <c r="BJ350" s="95" t="str">
        <f>HYPERLINK("#일위대가목록!A4","K03H1H203200 →")</f>
        <v>K03H1H203200 →</v>
      </c>
      <c r="CC350" s="92" t="s">
        <v>350</v>
      </c>
    </row>
    <row r="351" spans="1:100" ht="18.399999999999999" customHeight="1" x14ac:dyDescent="0.15">
      <c r="A351" s="91" t="s">
        <v>655</v>
      </c>
      <c r="B351" s="92" t="s">
        <v>656</v>
      </c>
      <c r="C351" s="93">
        <v>585</v>
      </c>
      <c r="D351" s="92" t="s">
        <v>410</v>
      </c>
      <c r="E351" s="93">
        <f t="shared" si="49"/>
        <v>133576</v>
      </c>
      <c r="F351" s="93">
        <f t="shared" si="48"/>
        <v>78141960</v>
      </c>
      <c r="G351" s="93">
        <f>[4]일위대가목록!F5</f>
        <v>0</v>
      </c>
      <c r="H351" s="93">
        <f>TRUNC(G351*C351,0)</f>
        <v>0</v>
      </c>
      <c r="I351" s="93">
        <f>[4]일위대가목록!G5</f>
        <v>0</v>
      </c>
      <c r="J351" s="93">
        <f>TRUNC(I351*C351,0)</f>
        <v>0</v>
      </c>
      <c r="K351" s="93">
        <f>[4]일위대가목록!H5</f>
        <v>133576</v>
      </c>
      <c r="L351" s="93">
        <f>TRUNC(K351*C351,0)</f>
        <v>78141960</v>
      </c>
      <c r="M351" s="94" t="s">
        <v>657</v>
      </c>
      <c r="N351" t="s">
        <v>6</v>
      </c>
      <c r="P351" t="s">
        <v>194</v>
      </c>
      <c r="Q351" t="s">
        <v>6</v>
      </c>
      <c r="R351" t="s">
        <v>658</v>
      </c>
      <c r="T351" t="s">
        <v>212</v>
      </c>
      <c r="BH351" s="92" t="s">
        <v>6</v>
      </c>
      <c r="BJ351" s="95" t="str">
        <f>HYPERLINK("#일위대가목록!A5","K03H1H203362 →")</f>
        <v>K03H1H203362 →</v>
      </c>
      <c r="CC351" s="92" t="s">
        <v>350</v>
      </c>
    </row>
    <row r="352" spans="1:100" ht="18.399999999999999" customHeight="1" x14ac:dyDescent="0.15">
      <c r="A352" s="91" t="s">
        <v>659</v>
      </c>
      <c r="B352" s="92" t="s">
        <v>660</v>
      </c>
      <c r="C352" s="93">
        <v>410</v>
      </c>
      <c r="D352" s="92" t="s">
        <v>347</v>
      </c>
      <c r="E352" s="93">
        <f t="shared" si="49"/>
        <v>4964</v>
      </c>
      <c r="F352" s="93">
        <f t="shared" si="48"/>
        <v>2035240</v>
      </c>
      <c r="G352" s="93">
        <f>[4]일위대가목록!F6</f>
        <v>413</v>
      </c>
      <c r="H352" s="93">
        <f>TRUNC(G352*C352,0)</f>
        <v>169330</v>
      </c>
      <c r="I352" s="93">
        <f>[4]일위대가목록!G6</f>
        <v>4551</v>
      </c>
      <c r="J352" s="93">
        <f>TRUNC(I352*C352,0)</f>
        <v>1865910</v>
      </c>
      <c r="K352" s="93">
        <f>[4]일위대가목록!H6</f>
        <v>0</v>
      </c>
      <c r="L352" s="93">
        <f>TRUNC(K352*C352,0)</f>
        <v>0</v>
      </c>
      <c r="M352" s="94" t="s">
        <v>661</v>
      </c>
      <c r="N352" t="s">
        <v>6</v>
      </c>
      <c r="P352" t="s">
        <v>198</v>
      </c>
      <c r="Q352" t="s">
        <v>6</v>
      </c>
      <c r="R352" t="s">
        <v>662</v>
      </c>
      <c r="T352" t="s">
        <v>212</v>
      </c>
      <c r="BH352" s="92" t="s">
        <v>6</v>
      </c>
      <c r="BJ352" s="95" t="str">
        <f>HYPERLINK("#일위대가목록!A6","K03H1H203520 →")</f>
        <v>K03H1H203520 →</v>
      </c>
      <c r="CC352" s="92" t="s">
        <v>350</v>
      </c>
    </row>
    <row r="353" spans="1:100" ht="18.399999999999999" customHeight="1" x14ac:dyDescent="0.15">
      <c r="A353" s="91" t="s">
        <v>663</v>
      </c>
      <c r="B353" s="92" t="s">
        <v>6</v>
      </c>
      <c r="C353" s="92"/>
      <c r="D353" s="92" t="s">
        <v>6</v>
      </c>
      <c r="E353" s="93">
        <f t="shared" si="49"/>
        <v>0</v>
      </c>
      <c r="F353" s="93">
        <f t="shared" si="48"/>
        <v>10743120</v>
      </c>
      <c r="G353" s="90"/>
      <c r="H353" s="93">
        <f>TRUNC(H354,0)</f>
        <v>0</v>
      </c>
      <c r="I353" s="90"/>
      <c r="J353" s="93">
        <f>TRUNC(J354,0)</f>
        <v>0</v>
      </c>
      <c r="K353" s="90"/>
      <c r="L353" s="93">
        <f>TRUNC(L354,0)</f>
        <v>10743120</v>
      </c>
      <c r="M353" s="94" t="s">
        <v>6</v>
      </c>
      <c r="N353" t="s">
        <v>6</v>
      </c>
      <c r="P353" t="s">
        <v>201</v>
      </c>
      <c r="Q353" t="s">
        <v>6</v>
      </c>
      <c r="R353" t="s">
        <v>6</v>
      </c>
      <c r="BH353" s="92" t="s">
        <v>6</v>
      </c>
      <c r="CC353" s="92" t="s">
        <v>345</v>
      </c>
    </row>
    <row r="354" spans="1:100" ht="18.399999999999999" customHeight="1" x14ac:dyDescent="0.15">
      <c r="A354" s="91" t="s">
        <v>664</v>
      </c>
      <c r="B354" s="92" t="s">
        <v>665</v>
      </c>
      <c r="C354" s="93">
        <v>60</v>
      </c>
      <c r="D354" s="92" t="s">
        <v>666</v>
      </c>
      <c r="E354" s="93">
        <f t="shared" si="49"/>
        <v>179052</v>
      </c>
      <c r="F354" s="93">
        <f t="shared" si="48"/>
        <v>10743120</v>
      </c>
      <c r="G354" s="93">
        <f>[4]일위대가목록!F7</f>
        <v>0</v>
      </c>
      <c r="H354" s="93">
        <f>TRUNC(G354*C354,0)</f>
        <v>0</v>
      </c>
      <c r="I354" s="93">
        <f>[4]일위대가목록!G7</f>
        <v>0</v>
      </c>
      <c r="J354" s="93">
        <f>TRUNC(I354*C354,0)</f>
        <v>0</v>
      </c>
      <c r="K354" s="93">
        <f>[4]일위대가목록!H7</f>
        <v>179052</v>
      </c>
      <c r="L354" s="93">
        <f>TRUNC(K354*C354,0)</f>
        <v>10743120</v>
      </c>
      <c r="M354" s="94" t="s">
        <v>667</v>
      </c>
      <c r="N354" t="s">
        <v>6</v>
      </c>
      <c r="P354" t="s">
        <v>204</v>
      </c>
      <c r="Q354" t="s">
        <v>6</v>
      </c>
      <c r="R354" t="s">
        <v>668</v>
      </c>
      <c r="T354" t="s">
        <v>212</v>
      </c>
      <c r="BH354" s="92" t="s">
        <v>6</v>
      </c>
      <c r="BJ354" s="95" t="str">
        <f>HYPERLINK("#일위대가목록!A7","K09501A →")</f>
        <v>K09501A →</v>
      </c>
      <c r="CC354" s="92" t="s">
        <v>350</v>
      </c>
    </row>
    <row r="355" spans="1:100" ht="18.399999999999999" customHeight="1" x14ac:dyDescent="0.15">
      <c r="A355" s="91" t="s">
        <v>669</v>
      </c>
      <c r="B355" s="92" t="s">
        <v>6</v>
      </c>
      <c r="C355" s="92"/>
      <c r="D355" s="92" t="s">
        <v>6</v>
      </c>
      <c r="E355" s="93">
        <f t="shared" si="49"/>
        <v>0</v>
      </c>
      <c r="F355" s="93">
        <f t="shared" si="48"/>
        <v>22796136</v>
      </c>
      <c r="G355" s="90"/>
      <c r="H355" s="93">
        <f>TRUNC(H356+H357,0)</f>
        <v>0</v>
      </c>
      <c r="I355" s="90"/>
      <c r="J355" s="93">
        <f>TRUNC(J356+J357,0)</f>
        <v>0</v>
      </c>
      <c r="K355" s="90"/>
      <c r="L355" s="93">
        <f>TRUNC(L356+L357,0)</f>
        <v>22796136</v>
      </c>
      <c r="M355" s="94" t="s">
        <v>6</v>
      </c>
      <c r="N355" t="s">
        <v>6</v>
      </c>
      <c r="P355" t="s">
        <v>211</v>
      </c>
      <c r="Q355" t="s">
        <v>6</v>
      </c>
      <c r="R355" t="s">
        <v>6</v>
      </c>
      <c r="BH355" s="92" t="s">
        <v>6</v>
      </c>
      <c r="CC355" s="92" t="s">
        <v>345</v>
      </c>
    </row>
    <row r="356" spans="1:100" ht="18.399999999999999" customHeight="1" x14ac:dyDescent="0.15">
      <c r="A356" s="91" t="s">
        <v>670</v>
      </c>
      <c r="B356" s="92" t="s">
        <v>671</v>
      </c>
      <c r="C356" s="93">
        <v>99</v>
      </c>
      <c r="D356" s="92" t="s">
        <v>672</v>
      </c>
      <c r="E356" s="93">
        <f t="shared" si="49"/>
        <v>172698</v>
      </c>
      <c r="F356" s="93">
        <f t="shared" si="48"/>
        <v>17097102</v>
      </c>
      <c r="G356" s="93">
        <f>[4]일위대가목록!F8</f>
        <v>0</v>
      </c>
      <c r="H356" s="93">
        <f>TRUNC(G356*C356,0)</f>
        <v>0</v>
      </c>
      <c r="I356" s="93">
        <f>[4]일위대가목록!G8</f>
        <v>0</v>
      </c>
      <c r="J356" s="93">
        <f>TRUNC(I356*C356,0)</f>
        <v>0</v>
      </c>
      <c r="K356" s="93">
        <f>[4]일위대가목록!H8</f>
        <v>172698</v>
      </c>
      <c r="L356" s="93">
        <f>TRUNC(K356*C356,0)</f>
        <v>17097102</v>
      </c>
      <c r="M356" s="94" t="s">
        <v>673</v>
      </c>
      <c r="N356" t="s">
        <v>6</v>
      </c>
      <c r="P356" t="s">
        <v>218</v>
      </c>
      <c r="Q356" t="s">
        <v>6</v>
      </c>
      <c r="R356" t="s">
        <v>674</v>
      </c>
      <c r="T356" t="s">
        <v>212</v>
      </c>
      <c r="BH356" s="92" t="s">
        <v>6</v>
      </c>
      <c r="BJ356" s="95" t="str">
        <f>HYPERLINK("#일위대가목록!A8","KR010155 →")</f>
        <v>KR010155 →</v>
      </c>
      <c r="CC356" s="92" t="s">
        <v>350</v>
      </c>
    </row>
    <row r="357" spans="1:100" ht="18.399999999999999" customHeight="1" x14ac:dyDescent="0.15">
      <c r="A357" s="91" t="s">
        <v>670</v>
      </c>
      <c r="B357" s="92" t="s">
        <v>675</v>
      </c>
      <c r="C357" s="93">
        <v>22</v>
      </c>
      <c r="D357" s="92" t="s">
        <v>672</v>
      </c>
      <c r="E357" s="93">
        <f t="shared" si="49"/>
        <v>259047</v>
      </c>
      <c r="F357" s="93">
        <f t="shared" si="48"/>
        <v>5699034</v>
      </c>
      <c r="G357" s="93">
        <f>[4]일위대가목록!F9</f>
        <v>0</v>
      </c>
      <c r="H357" s="93">
        <f>TRUNC(G357*C357,0)</f>
        <v>0</v>
      </c>
      <c r="I357" s="93">
        <f>[4]일위대가목록!G9</f>
        <v>0</v>
      </c>
      <c r="J357" s="93">
        <f>TRUNC(I357*C357,0)</f>
        <v>0</v>
      </c>
      <c r="K357" s="93">
        <f>[4]일위대가목록!H9</f>
        <v>259047</v>
      </c>
      <c r="L357" s="93">
        <f>TRUNC(K357*C357,0)</f>
        <v>5699034</v>
      </c>
      <c r="M357" s="94" t="s">
        <v>676</v>
      </c>
      <c r="N357" t="s">
        <v>6</v>
      </c>
      <c r="P357" t="s">
        <v>223</v>
      </c>
      <c r="Q357" t="s">
        <v>6</v>
      </c>
      <c r="R357" t="s">
        <v>677</v>
      </c>
      <c r="T357" t="s">
        <v>212</v>
      </c>
      <c r="BH357" s="92" t="s">
        <v>6</v>
      </c>
      <c r="BJ357" s="95" t="str">
        <f>HYPERLINK("#일위대가목록!A9","KR010160 →")</f>
        <v>KR010160 →</v>
      </c>
      <c r="CC357" s="92" t="s">
        <v>350</v>
      </c>
    </row>
    <row r="358" spans="1:100" ht="18.399999999999999" customHeight="1" x14ac:dyDescent="0.15">
      <c r="A358" s="91" t="s">
        <v>6</v>
      </c>
      <c r="B358" s="92" t="s">
        <v>6</v>
      </c>
      <c r="C358" s="92"/>
      <c r="D358" s="92" t="s">
        <v>6</v>
      </c>
      <c r="E358" s="93">
        <f t="shared" si="49"/>
        <v>0</v>
      </c>
      <c r="F358" s="93">
        <f t="shared" si="48"/>
        <v>0</v>
      </c>
      <c r="G358" s="90"/>
      <c r="H358" s="93">
        <v>0</v>
      </c>
      <c r="I358" s="90"/>
      <c r="J358" s="93">
        <v>0</v>
      </c>
      <c r="K358" s="90"/>
      <c r="L358" s="93">
        <v>0</v>
      </c>
      <c r="M358" s="94" t="s">
        <v>6</v>
      </c>
      <c r="N358" t="s">
        <v>6</v>
      </c>
      <c r="P358" t="s">
        <v>596</v>
      </c>
      <c r="Q358" t="s">
        <v>329</v>
      </c>
      <c r="R358" t="s">
        <v>6</v>
      </c>
      <c r="BH358" s="92" t="s">
        <v>6</v>
      </c>
      <c r="CC358" s="92" t="s">
        <v>6</v>
      </c>
    </row>
    <row r="359" spans="1:100" ht="18.399999999999999" customHeight="1" x14ac:dyDescent="0.15">
      <c r="A359" s="91" t="s">
        <v>335</v>
      </c>
      <c r="B359" s="92" t="s">
        <v>6</v>
      </c>
      <c r="C359" s="93">
        <v>1</v>
      </c>
      <c r="D359" s="92" t="s">
        <v>188</v>
      </c>
      <c r="E359" s="90"/>
      <c r="F359" s="93">
        <f t="shared" si="48"/>
        <v>166000</v>
      </c>
      <c r="G359" s="90"/>
      <c r="H359" s="93">
        <f>TRUNC(H360,0)</f>
        <v>0</v>
      </c>
      <c r="I359" s="90"/>
      <c r="J359" s="93">
        <f>TRUNC(J360,0)</f>
        <v>0</v>
      </c>
      <c r="K359" s="90"/>
      <c r="L359" s="93">
        <f>TRUNC(L360,0)</f>
        <v>166000</v>
      </c>
      <c r="M359" s="94" t="s">
        <v>6</v>
      </c>
      <c r="N359" t="s">
        <v>6</v>
      </c>
      <c r="O359" t="s">
        <v>205</v>
      </c>
      <c r="BH359" s="92" t="s">
        <v>6</v>
      </c>
      <c r="CV359" s="92" t="s">
        <v>6</v>
      </c>
    </row>
    <row r="360" spans="1:100" ht="18.399999999999999" customHeight="1" x14ac:dyDescent="0.15">
      <c r="A360" s="91" t="s">
        <v>678</v>
      </c>
      <c r="B360" s="92" t="s">
        <v>6</v>
      </c>
      <c r="C360" s="92">
        <v>8.3000000000000007</v>
      </c>
      <c r="D360" s="92" t="s">
        <v>402</v>
      </c>
      <c r="E360" s="93">
        <f>G360+I360+K360</f>
        <v>20000</v>
      </c>
      <c r="F360" s="93">
        <f t="shared" si="48"/>
        <v>166000</v>
      </c>
      <c r="G360" s="93">
        <f>[4]일위대가목록!F10</f>
        <v>0</v>
      </c>
      <c r="H360" s="93">
        <f>TRUNC(G360*C360,0)</f>
        <v>0</v>
      </c>
      <c r="I360" s="93">
        <f>[4]일위대가목록!G10</f>
        <v>0</v>
      </c>
      <c r="J360" s="93">
        <f>TRUNC(I360*C360,0)</f>
        <v>0</v>
      </c>
      <c r="K360" s="93">
        <f>[4]일위대가목록!H10</f>
        <v>20000</v>
      </c>
      <c r="L360" s="93">
        <f>TRUNC(K360*C360,0)</f>
        <v>166000</v>
      </c>
      <c r="M360" s="94" t="s">
        <v>679</v>
      </c>
      <c r="N360" t="s">
        <v>680</v>
      </c>
      <c r="P360" t="s">
        <v>48</v>
      </c>
      <c r="Q360" t="s">
        <v>6</v>
      </c>
      <c r="R360" t="s">
        <v>681</v>
      </c>
      <c r="T360" t="s">
        <v>212</v>
      </c>
      <c r="BH360" s="92" t="s">
        <v>6</v>
      </c>
      <c r="BJ360" s="95" t="str">
        <f>HYPERLINK("#일위대가목록!A10","K09700E170 →")</f>
        <v>K09700E170 →</v>
      </c>
      <c r="CC360" s="92" t="s">
        <v>350</v>
      </c>
    </row>
    <row r="361" spans="1:100" ht="18.399999999999999" customHeight="1" x14ac:dyDescent="0.15">
      <c r="A361" s="91" t="s">
        <v>6</v>
      </c>
      <c r="B361" s="92" t="s">
        <v>6</v>
      </c>
      <c r="C361" s="92"/>
      <c r="D361" s="92" t="s">
        <v>6</v>
      </c>
      <c r="E361" s="93">
        <f>G361+I361+K361</f>
        <v>0</v>
      </c>
      <c r="F361" s="93">
        <f t="shared" si="48"/>
        <v>0</v>
      </c>
      <c r="G361" s="90"/>
      <c r="H361" s="93">
        <v>0</v>
      </c>
      <c r="I361" s="90"/>
      <c r="J361" s="93">
        <v>0</v>
      </c>
      <c r="K361" s="90"/>
      <c r="L361" s="93">
        <v>0</v>
      </c>
      <c r="M361" s="94" t="s">
        <v>6</v>
      </c>
      <c r="N361" t="s">
        <v>6</v>
      </c>
      <c r="P361" t="s">
        <v>605</v>
      </c>
      <c r="Q361" t="s">
        <v>329</v>
      </c>
      <c r="R361" t="s">
        <v>6</v>
      </c>
      <c r="BH361" s="92" t="s">
        <v>6</v>
      </c>
      <c r="CC361" s="92" t="s">
        <v>6</v>
      </c>
    </row>
    <row r="362" spans="1:100" ht="18.399999999999999" customHeight="1" x14ac:dyDescent="0.15">
      <c r="A362" s="91" t="s">
        <v>682</v>
      </c>
      <c r="B362" s="92" t="s">
        <v>6</v>
      </c>
      <c r="C362" s="93">
        <v>0</v>
      </c>
      <c r="D362" s="92" t="s">
        <v>6</v>
      </c>
      <c r="E362" s="90"/>
      <c r="F362" s="93">
        <f t="shared" si="48"/>
        <v>0</v>
      </c>
      <c r="G362" s="90"/>
      <c r="H362" s="93">
        <f>0</f>
        <v>0</v>
      </c>
      <c r="I362" s="90"/>
      <c r="J362" s="93">
        <f>0</f>
        <v>0</v>
      </c>
      <c r="K362" s="90"/>
      <c r="L362" s="93">
        <f>0</f>
        <v>0</v>
      </c>
      <c r="M362" s="94" t="s">
        <v>6</v>
      </c>
      <c r="N362" t="s">
        <v>6</v>
      </c>
      <c r="O362" t="s">
        <v>683</v>
      </c>
      <c r="BH362" s="92" t="s">
        <v>6</v>
      </c>
      <c r="CV362" s="92" t="s">
        <v>6</v>
      </c>
    </row>
    <row r="363" spans="1:100" ht="18.399999999999999" customHeight="1" x14ac:dyDescent="0.15">
      <c r="A363" s="91" t="s">
        <v>6</v>
      </c>
      <c r="B363" s="92" t="s">
        <v>6</v>
      </c>
      <c r="C363" s="92"/>
      <c r="D363" s="92" t="s">
        <v>6</v>
      </c>
      <c r="E363" s="93">
        <f>G363+I363+K363</f>
        <v>0</v>
      </c>
      <c r="F363" s="93">
        <f t="shared" si="48"/>
        <v>0</v>
      </c>
      <c r="G363" s="90"/>
      <c r="H363" s="93">
        <v>0</v>
      </c>
      <c r="I363" s="90"/>
      <c r="J363" s="93">
        <v>0</v>
      </c>
      <c r="K363" s="90"/>
      <c r="L363" s="93">
        <v>0</v>
      </c>
      <c r="M363" s="94" t="s">
        <v>6</v>
      </c>
      <c r="N363" t="s">
        <v>6</v>
      </c>
      <c r="P363" t="s">
        <v>607</v>
      </c>
      <c r="Q363" t="s">
        <v>329</v>
      </c>
      <c r="R363" t="s">
        <v>6</v>
      </c>
      <c r="BH363" s="92" t="s">
        <v>6</v>
      </c>
      <c r="CC363" s="92" t="s">
        <v>6</v>
      </c>
    </row>
    <row r="364" spans="1:100" ht="18.399999999999999" customHeight="1" x14ac:dyDescent="0.15">
      <c r="A364" s="91" t="s">
        <v>684</v>
      </c>
      <c r="B364" s="92" t="s">
        <v>6</v>
      </c>
      <c r="C364" s="93">
        <v>1</v>
      </c>
      <c r="D364" s="92" t="s">
        <v>188</v>
      </c>
      <c r="E364" s="90"/>
      <c r="F364" s="93">
        <f t="shared" si="48"/>
        <v>54844626</v>
      </c>
      <c r="G364" s="90"/>
      <c r="H364" s="93">
        <f>TRUNC(H366+H367+H368+H369+H370+H371,0)</f>
        <v>0</v>
      </c>
      <c r="I364" s="90"/>
      <c r="J364" s="93">
        <f>TRUNC(J366+J367+J368+J369+J370+J371,0)</f>
        <v>0</v>
      </c>
      <c r="K364" s="90"/>
      <c r="L364" s="93">
        <f>TRUNC(L366+L367+L368+L369+L370+L371,0)</f>
        <v>54844626</v>
      </c>
      <c r="M364" s="94" t="s">
        <v>6</v>
      </c>
      <c r="N364" t="s">
        <v>6</v>
      </c>
      <c r="O364" t="s">
        <v>284</v>
      </c>
      <c r="BH364" s="92" t="s">
        <v>6</v>
      </c>
      <c r="CV364" s="92" t="s">
        <v>6</v>
      </c>
    </row>
    <row r="365" spans="1:100" ht="18.399999999999999" customHeight="1" x14ac:dyDescent="0.15">
      <c r="A365" s="91" t="s">
        <v>685</v>
      </c>
      <c r="B365" s="92" t="s">
        <v>6</v>
      </c>
      <c r="C365" s="92"/>
      <c r="D365" s="92" t="s">
        <v>6</v>
      </c>
      <c r="E365" s="93">
        <f t="shared" ref="E365:E376" si="50">G365+I365+K365</f>
        <v>0</v>
      </c>
      <c r="F365" s="93">
        <f t="shared" si="48"/>
        <v>54844626</v>
      </c>
      <c r="G365" s="90"/>
      <c r="H365" s="93">
        <f>TRUNC(H366+H367+H368+H369+H370+H371,0)</f>
        <v>0</v>
      </c>
      <c r="I365" s="90"/>
      <c r="J365" s="93">
        <f>TRUNC(J366+J367+J368+J369+J370+J371,0)</f>
        <v>0</v>
      </c>
      <c r="K365" s="90"/>
      <c r="L365" s="93">
        <f>TRUNC(L366+L367+L368+L369+L370+L371,0)</f>
        <v>54844626</v>
      </c>
      <c r="M365" s="94" t="s">
        <v>6</v>
      </c>
      <c r="N365" t="s">
        <v>6</v>
      </c>
      <c r="P365" t="s">
        <v>198</v>
      </c>
      <c r="Q365" t="s">
        <v>6</v>
      </c>
      <c r="R365" t="s">
        <v>6</v>
      </c>
      <c r="BH365" s="92" t="s">
        <v>6</v>
      </c>
      <c r="CC365" s="92" t="s">
        <v>345</v>
      </c>
    </row>
    <row r="366" spans="1:100" ht="18.399999999999999" customHeight="1" x14ac:dyDescent="0.15">
      <c r="A366" s="91" t="s">
        <v>686</v>
      </c>
      <c r="B366" s="92" t="s">
        <v>6</v>
      </c>
      <c r="C366" s="93">
        <v>2</v>
      </c>
      <c r="D366" s="92" t="s">
        <v>303</v>
      </c>
      <c r="E366" s="93">
        <f t="shared" si="50"/>
        <v>50000</v>
      </c>
      <c r="F366" s="93">
        <f t="shared" si="48"/>
        <v>100000</v>
      </c>
      <c r="G366" s="93">
        <f>[4]경비!D13</f>
        <v>0</v>
      </c>
      <c r="H366" s="93">
        <f>TRUNC(G366*C366,0)</f>
        <v>0</v>
      </c>
      <c r="I366" s="93">
        <f>[4]경비!E13</f>
        <v>0</v>
      </c>
      <c r="J366" s="93">
        <f>TRUNC(I366*C366,0)</f>
        <v>0</v>
      </c>
      <c r="K366" s="93">
        <f>[4]경비!F13</f>
        <v>50000</v>
      </c>
      <c r="L366" s="93">
        <f t="shared" ref="L366:L371" si="51">TRUNC(K366*C366,0)</f>
        <v>100000</v>
      </c>
      <c r="M366" s="94" t="s">
        <v>687</v>
      </c>
      <c r="N366" t="s">
        <v>688</v>
      </c>
      <c r="P366" t="s">
        <v>201</v>
      </c>
      <c r="Q366" t="s">
        <v>6</v>
      </c>
      <c r="R366" t="s">
        <v>687</v>
      </c>
      <c r="BH366" s="92" t="s">
        <v>6</v>
      </c>
      <c r="BJ366" s="95" t="str">
        <f>HYPERLINK("#경비!A13","GZZZW20350 →")</f>
        <v>GZZZW20350 →</v>
      </c>
      <c r="CC366" s="92" t="s">
        <v>350</v>
      </c>
    </row>
    <row r="367" spans="1:100" ht="18.399999999999999" customHeight="1" x14ac:dyDescent="0.15">
      <c r="A367" s="91" t="s">
        <v>689</v>
      </c>
      <c r="B367" s="92" t="s">
        <v>6</v>
      </c>
      <c r="C367" s="93">
        <v>40</v>
      </c>
      <c r="D367" s="92" t="s">
        <v>690</v>
      </c>
      <c r="E367" s="93">
        <f t="shared" si="50"/>
        <v>34723</v>
      </c>
      <c r="F367" s="93">
        <f t="shared" si="48"/>
        <v>1388920</v>
      </c>
      <c r="G367" s="93">
        <f>[4]일위대가목록!F11</f>
        <v>0</v>
      </c>
      <c r="H367" s="93">
        <f>TRUNC(G367*C367,0)</f>
        <v>0</v>
      </c>
      <c r="I367" s="93">
        <f>[4]일위대가목록!G11</f>
        <v>0</v>
      </c>
      <c r="J367" s="93">
        <f>TRUNC(I367*C367,0)</f>
        <v>0</v>
      </c>
      <c r="K367" s="93">
        <f>[4]일위대가목록!H11</f>
        <v>34723</v>
      </c>
      <c r="L367" s="93">
        <f t="shared" si="51"/>
        <v>1388920</v>
      </c>
      <c r="M367" s="94" t="s">
        <v>691</v>
      </c>
      <c r="N367" t="s">
        <v>6</v>
      </c>
      <c r="P367" t="s">
        <v>204</v>
      </c>
      <c r="Q367" t="s">
        <v>6</v>
      </c>
      <c r="R367" t="s">
        <v>692</v>
      </c>
      <c r="T367" t="s">
        <v>212</v>
      </c>
      <c r="BH367" s="92" t="s">
        <v>6</v>
      </c>
      <c r="BJ367" s="95" t="str">
        <f>HYPERLINK("#일위대가목록!A11","K03H1H203363 →")</f>
        <v>K03H1H203363 →</v>
      </c>
      <c r="CC367" s="92" t="s">
        <v>350</v>
      </c>
    </row>
    <row r="368" spans="1:100" ht="18.399999999999999" customHeight="1" x14ac:dyDescent="0.15">
      <c r="A368" s="91" t="s">
        <v>693</v>
      </c>
      <c r="B368" s="92" t="s">
        <v>694</v>
      </c>
      <c r="C368" s="93">
        <v>200</v>
      </c>
      <c r="D368" s="92" t="s">
        <v>410</v>
      </c>
      <c r="E368" s="93">
        <f t="shared" si="50"/>
        <v>3822</v>
      </c>
      <c r="F368" s="93">
        <f t="shared" si="48"/>
        <v>764400</v>
      </c>
      <c r="G368" s="93">
        <f>[4]일위대가목록!F12</f>
        <v>0</v>
      </c>
      <c r="H368" s="93">
        <f>TRUNC(G368*C368,0)</f>
        <v>0</v>
      </c>
      <c r="I368" s="93">
        <f>[4]일위대가목록!G12</f>
        <v>0</v>
      </c>
      <c r="J368" s="93">
        <f>TRUNC(I368*C368,0)</f>
        <v>0</v>
      </c>
      <c r="K368" s="93">
        <f>[4]일위대가목록!H12</f>
        <v>3822</v>
      </c>
      <c r="L368" s="93">
        <f t="shared" si="51"/>
        <v>764400</v>
      </c>
      <c r="M368" s="94" t="s">
        <v>695</v>
      </c>
      <c r="N368" t="s">
        <v>6</v>
      </c>
      <c r="P368" t="s">
        <v>211</v>
      </c>
      <c r="Q368" t="s">
        <v>6</v>
      </c>
      <c r="R368" t="s">
        <v>696</v>
      </c>
      <c r="T368" t="s">
        <v>212</v>
      </c>
      <c r="BH368" s="92" t="s">
        <v>6</v>
      </c>
      <c r="BJ368" s="95" t="str">
        <f>HYPERLINK("#일위대가목록!A12","K03H1H203370 →")</f>
        <v>K03H1H203370 →</v>
      </c>
      <c r="CC368" s="92" t="s">
        <v>350</v>
      </c>
    </row>
    <row r="369" spans="1:100" ht="18.399999999999999" customHeight="1" x14ac:dyDescent="0.15">
      <c r="A369" s="91" t="s">
        <v>697</v>
      </c>
      <c r="B369" s="92" t="s">
        <v>6</v>
      </c>
      <c r="C369" s="93">
        <v>99</v>
      </c>
      <c r="D369" s="92" t="s">
        <v>672</v>
      </c>
      <c r="E369" s="93">
        <f t="shared" si="50"/>
        <v>172698</v>
      </c>
      <c r="F369" s="93">
        <f t="shared" si="48"/>
        <v>17097102</v>
      </c>
      <c r="G369" s="93">
        <f>[4]일위대가목록!F13</f>
        <v>0</v>
      </c>
      <c r="H369" s="93">
        <f>TRUNC(G369*C369,0)</f>
        <v>0</v>
      </c>
      <c r="I369" s="93">
        <f>[4]일위대가목록!G13</f>
        <v>0</v>
      </c>
      <c r="J369" s="93">
        <f>TRUNC(I369*C369,0)</f>
        <v>0</v>
      </c>
      <c r="K369" s="93">
        <f>[4]일위대가목록!H13</f>
        <v>172698</v>
      </c>
      <c r="L369" s="93">
        <f t="shared" si="51"/>
        <v>17097102</v>
      </c>
      <c r="M369" s="94" t="s">
        <v>698</v>
      </c>
      <c r="N369" t="s">
        <v>6</v>
      </c>
      <c r="P369" t="s">
        <v>228</v>
      </c>
      <c r="Q369" t="s">
        <v>6</v>
      </c>
      <c r="R369" t="s">
        <v>699</v>
      </c>
      <c r="T369" t="s">
        <v>212</v>
      </c>
      <c r="BH369" s="92" t="s">
        <v>6</v>
      </c>
      <c r="BJ369" s="95" t="str">
        <f>HYPERLINK("#일위대가목록!A13","K09503 →")</f>
        <v>K09503 →</v>
      </c>
      <c r="CC369" s="92" t="s">
        <v>350</v>
      </c>
    </row>
    <row r="370" spans="1:100" ht="18.399999999999999" customHeight="1" x14ac:dyDescent="0.15">
      <c r="A370" s="91" t="s">
        <v>700</v>
      </c>
      <c r="B370" s="92" t="s">
        <v>6</v>
      </c>
      <c r="C370" s="93">
        <v>198</v>
      </c>
      <c r="D370" s="92" t="s">
        <v>672</v>
      </c>
      <c r="E370" s="93">
        <f t="shared" si="50"/>
        <v>172698</v>
      </c>
      <c r="F370" s="93">
        <f t="shared" si="48"/>
        <v>34194204</v>
      </c>
      <c r="G370" s="93">
        <f>[4]일위대가목록!F14</f>
        <v>0</v>
      </c>
      <c r="H370" s="93">
        <f>TRUNC(G370*C370,0)</f>
        <v>0</v>
      </c>
      <c r="I370" s="93">
        <f>[4]일위대가목록!G14</f>
        <v>0</v>
      </c>
      <c r="J370" s="93">
        <f>TRUNC(I370*C370,0)</f>
        <v>0</v>
      </c>
      <c r="K370" s="93">
        <f>[4]일위대가목록!H14</f>
        <v>172698</v>
      </c>
      <c r="L370" s="93">
        <f t="shared" si="51"/>
        <v>34194204</v>
      </c>
      <c r="M370" s="94" t="s">
        <v>701</v>
      </c>
      <c r="N370" t="s">
        <v>702</v>
      </c>
      <c r="P370" t="s">
        <v>232</v>
      </c>
      <c r="Q370" t="s">
        <v>6</v>
      </c>
      <c r="R370" t="s">
        <v>703</v>
      </c>
      <c r="T370" t="s">
        <v>212</v>
      </c>
      <c r="BH370" s="92" t="s">
        <v>6</v>
      </c>
      <c r="BJ370" s="95" t="str">
        <f>HYPERLINK("#일위대가목록!A14","K09503B66 →")</f>
        <v>K09503B66 →</v>
      </c>
      <c r="CC370" s="92" t="s">
        <v>350</v>
      </c>
    </row>
    <row r="371" spans="1:100" ht="18.399999999999999" customHeight="1" x14ac:dyDescent="0.15">
      <c r="A371" s="91" t="s">
        <v>704</v>
      </c>
      <c r="B371" s="92" t="s">
        <v>6</v>
      </c>
      <c r="C371" s="93">
        <v>2</v>
      </c>
      <c r="D371" s="92" t="s">
        <v>705</v>
      </c>
      <c r="E371" s="93">
        <f t="shared" si="50"/>
        <v>650000</v>
      </c>
      <c r="F371" s="93">
        <f t="shared" si="48"/>
        <v>1300000</v>
      </c>
      <c r="G371" s="93">
        <v>0</v>
      </c>
      <c r="H371" s="93"/>
      <c r="I371" s="93">
        <v>0</v>
      </c>
      <c r="J371" s="93"/>
      <c r="K371" s="93">
        <f>[4]자재조서!E69</f>
        <v>650000</v>
      </c>
      <c r="L371" s="93">
        <f t="shared" si="51"/>
        <v>1300000</v>
      </c>
      <c r="M371" s="94" t="s">
        <v>706</v>
      </c>
      <c r="N371" t="s">
        <v>551</v>
      </c>
      <c r="P371" t="s">
        <v>236</v>
      </c>
      <c r="Q371" t="s">
        <v>6</v>
      </c>
      <c r="R371" t="s">
        <v>706</v>
      </c>
      <c r="Y371" t="s">
        <v>707</v>
      </c>
      <c r="BH371" s="92" t="s">
        <v>6</v>
      </c>
      <c r="BJ371" s="95" t="str">
        <f>HYPERLINK("#자재조서!A69","MZZ10060 →")</f>
        <v>MZZ10060 →</v>
      </c>
      <c r="CC371" s="92" t="s">
        <v>350</v>
      </c>
    </row>
    <row r="372" spans="1:100" ht="18.399999999999999" customHeight="1" x14ac:dyDescent="0.15">
      <c r="A372" s="91" t="s">
        <v>708</v>
      </c>
      <c r="B372" s="92" t="s">
        <v>6</v>
      </c>
      <c r="C372" s="92"/>
      <c r="D372" s="92" t="s">
        <v>6</v>
      </c>
      <c r="E372" s="93">
        <f t="shared" si="50"/>
        <v>0</v>
      </c>
      <c r="F372" s="93">
        <f t="shared" si="48"/>
        <v>1031638</v>
      </c>
      <c r="G372" s="90"/>
      <c r="H372" s="93">
        <f>TRUNC(H373+H374+H375,0)</f>
        <v>0</v>
      </c>
      <c r="I372" s="90"/>
      <c r="J372" s="93">
        <f>TRUNC(J373+J374+J375,0)</f>
        <v>0</v>
      </c>
      <c r="K372" s="90"/>
      <c r="L372" s="93">
        <f>TRUNC(L373+L374+L375,0)</f>
        <v>1031638</v>
      </c>
      <c r="M372" s="94" t="s">
        <v>6</v>
      </c>
      <c r="N372" t="s">
        <v>6</v>
      </c>
      <c r="P372" t="s">
        <v>240</v>
      </c>
      <c r="Q372" t="s">
        <v>6</v>
      </c>
      <c r="R372" t="s">
        <v>6</v>
      </c>
      <c r="BH372" s="92" t="s">
        <v>6</v>
      </c>
      <c r="CC372" s="92" t="s">
        <v>345</v>
      </c>
    </row>
    <row r="373" spans="1:100" ht="18.399999999999999" customHeight="1" x14ac:dyDescent="0.15">
      <c r="A373" s="91" t="s">
        <v>299</v>
      </c>
      <c r="B373" s="92" t="s">
        <v>300</v>
      </c>
      <c r="C373" s="93">
        <v>6</v>
      </c>
      <c r="D373" s="92" t="s">
        <v>301</v>
      </c>
      <c r="E373" s="93">
        <f t="shared" si="50"/>
        <v>41273</v>
      </c>
      <c r="F373" s="93">
        <f t="shared" si="48"/>
        <v>247638</v>
      </c>
      <c r="G373" s="93">
        <f>[4]경비!D10</f>
        <v>0</v>
      </c>
      <c r="H373" s="93">
        <f>TRUNC(G373*C373,0)</f>
        <v>0</v>
      </c>
      <c r="I373" s="93">
        <f>[4]경비!E10</f>
        <v>0</v>
      </c>
      <c r="J373" s="93">
        <f>TRUNC(I373*C373,0)</f>
        <v>0</v>
      </c>
      <c r="K373" s="93">
        <f>[4]경비!F10</f>
        <v>41273</v>
      </c>
      <c r="L373" s="93">
        <f>TRUNC(K373*C373,0)</f>
        <v>247638</v>
      </c>
      <c r="M373" s="94" t="s">
        <v>709</v>
      </c>
      <c r="N373" t="s">
        <v>688</v>
      </c>
      <c r="P373" t="s">
        <v>252</v>
      </c>
      <c r="Q373" t="s">
        <v>6</v>
      </c>
      <c r="R373" t="s">
        <v>709</v>
      </c>
      <c r="BH373" s="92" t="s">
        <v>6</v>
      </c>
      <c r="BJ373" s="95" t="str">
        <f>HYPERLINK("#경비!A10","GZZZW20320 →")</f>
        <v>GZZZW20320 →</v>
      </c>
      <c r="CC373" s="92" t="s">
        <v>350</v>
      </c>
    </row>
    <row r="374" spans="1:100" ht="18.399999999999999" customHeight="1" x14ac:dyDescent="0.15">
      <c r="A374" s="91" t="s">
        <v>302</v>
      </c>
      <c r="B374" s="92" t="s">
        <v>300</v>
      </c>
      <c r="C374" s="93">
        <v>2</v>
      </c>
      <c r="D374" s="92" t="s">
        <v>303</v>
      </c>
      <c r="E374" s="93">
        <f t="shared" si="50"/>
        <v>42000</v>
      </c>
      <c r="F374" s="93">
        <f t="shared" si="48"/>
        <v>84000</v>
      </c>
      <c r="G374" s="93">
        <f>[4]경비!D11</f>
        <v>0</v>
      </c>
      <c r="H374" s="93">
        <f>TRUNC(G374*C374,0)</f>
        <v>0</v>
      </c>
      <c r="I374" s="93">
        <f>[4]경비!E11</f>
        <v>0</v>
      </c>
      <c r="J374" s="93">
        <f>TRUNC(I374*C374,0)</f>
        <v>0</v>
      </c>
      <c r="K374" s="93">
        <f>[4]경비!F11</f>
        <v>42000</v>
      </c>
      <c r="L374" s="93">
        <f>TRUNC(K374*C374,0)</f>
        <v>84000</v>
      </c>
      <c r="M374" s="94" t="s">
        <v>710</v>
      </c>
      <c r="N374" t="s">
        <v>688</v>
      </c>
      <c r="P374" t="s">
        <v>256</v>
      </c>
      <c r="Q374" t="s">
        <v>6</v>
      </c>
      <c r="R374" t="s">
        <v>710</v>
      </c>
      <c r="BH374" s="92" t="s">
        <v>6</v>
      </c>
      <c r="BJ374" s="95" t="str">
        <f>HYPERLINK("#경비!A11","GZZZW20330 →")</f>
        <v>GZZZW20330 →</v>
      </c>
      <c r="CC374" s="92" t="s">
        <v>350</v>
      </c>
    </row>
    <row r="375" spans="1:100" ht="18.399999999999999" customHeight="1" x14ac:dyDescent="0.15">
      <c r="A375" s="91" t="s">
        <v>304</v>
      </c>
      <c r="B375" s="92" t="s">
        <v>300</v>
      </c>
      <c r="C375" s="93">
        <v>1</v>
      </c>
      <c r="D375" s="92" t="s">
        <v>305</v>
      </c>
      <c r="E375" s="93">
        <f t="shared" si="50"/>
        <v>700000</v>
      </c>
      <c r="F375" s="93">
        <f t="shared" si="48"/>
        <v>700000</v>
      </c>
      <c r="G375" s="93">
        <f>[4]경비!D12</f>
        <v>0</v>
      </c>
      <c r="H375" s="93">
        <f>TRUNC(G375*C375,0)</f>
        <v>0</v>
      </c>
      <c r="I375" s="93">
        <f>[4]경비!E12</f>
        <v>0</v>
      </c>
      <c r="J375" s="93">
        <f>TRUNC(I375*C375,0)</f>
        <v>0</v>
      </c>
      <c r="K375" s="93">
        <f>[4]경비!F12</f>
        <v>700000</v>
      </c>
      <c r="L375" s="93">
        <f>TRUNC(K375*C375,0)</f>
        <v>700000</v>
      </c>
      <c r="M375" s="94" t="s">
        <v>711</v>
      </c>
      <c r="N375" t="s">
        <v>688</v>
      </c>
      <c r="P375" t="s">
        <v>261</v>
      </c>
      <c r="Q375" t="s">
        <v>6</v>
      </c>
      <c r="R375" t="s">
        <v>711</v>
      </c>
      <c r="BH375" s="92" t="s">
        <v>6</v>
      </c>
      <c r="BJ375" s="95" t="str">
        <f>HYPERLINK("#경비!A12","GZZZW20340 →")</f>
        <v>GZZZW20340 →</v>
      </c>
      <c r="CC375" s="92" t="s">
        <v>350</v>
      </c>
    </row>
    <row r="376" spans="1:100" ht="18.399999999999999" customHeight="1" x14ac:dyDescent="0.15">
      <c r="A376" s="91" t="s">
        <v>6</v>
      </c>
      <c r="B376" s="92" t="s">
        <v>6</v>
      </c>
      <c r="C376" s="92"/>
      <c r="D376" s="92" t="s">
        <v>6</v>
      </c>
      <c r="E376" s="93">
        <f t="shared" si="50"/>
        <v>0</v>
      </c>
      <c r="F376" s="93">
        <f t="shared" si="48"/>
        <v>0</v>
      </c>
      <c r="G376" s="90"/>
      <c r="H376" s="93">
        <v>0</v>
      </c>
      <c r="I376" s="90"/>
      <c r="J376" s="93">
        <v>0</v>
      </c>
      <c r="K376" s="90"/>
      <c r="L376" s="93">
        <v>0</v>
      </c>
      <c r="M376" s="94" t="s">
        <v>6</v>
      </c>
      <c r="N376" t="s">
        <v>6</v>
      </c>
      <c r="P376" t="s">
        <v>275</v>
      </c>
      <c r="Q376" t="s">
        <v>329</v>
      </c>
      <c r="R376" t="s">
        <v>6</v>
      </c>
      <c r="BH376" s="92" t="s">
        <v>6</v>
      </c>
      <c r="CC376" s="92" t="s">
        <v>6</v>
      </c>
    </row>
    <row r="377" spans="1:100" ht="18.399999999999999" customHeight="1" x14ac:dyDescent="0.15">
      <c r="A377" s="91" t="s">
        <v>712</v>
      </c>
      <c r="B377" s="92" t="s">
        <v>6</v>
      </c>
      <c r="C377" s="93">
        <v>1</v>
      </c>
      <c r="D377" s="92" t="s">
        <v>188</v>
      </c>
      <c r="E377" s="90"/>
      <c r="F377" s="93">
        <f t="shared" si="48"/>
        <v>22000000</v>
      </c>
      <c r="G377" s="90"/>
      <c r="H377" s="93">
        <f>TRUNC(H378+H379,0)</f>
        <v>0</v>
      </c>
      <c r="I377" s="90"/>
      <c r="J377" s="93">
        <f>TRUNC(J378+J379,0)</f>
        <v>0</v>
      </c>
      <c r="K377" s="90"/>
      <c r="L377" s="93">
        <f>TRUNC(L378+L379,0)</f>
        <v>22000000</v>
      </c>
      <c r="M377" s="94" t="s">
        <v>6</v>
      </c>
      <c r="N377" t="s">
        <v>6</v>
      </c>
      <c r="O377" t="s">
        <v>287</v>
      </c>
      <c r="BH377" s="92" t="s">
        <v>6</v>
      </c>
      <c r="CV377" s="92" t="s">
        <v>6</v>
      </c>
    </row>
    <row r="378" spans="1:100" ht="18.399999999999999" customHeight="1" x14ac:dyDescent="0.15">
      <c r="A378" s="91" t="s">
        <v>713</v>
      </c>
      <c r="B378" s="92" t="s">
        <v>6</v>
      </c>
      <c r="C378" s="93">
        <v>4</v>
      </c>
      <c r="D378" s="92" t="s">
        <v>690</v>
      </c>
      <c r="E378" s="93">
        <f>G378+I378+K378</f>
        <v>240000</v>
      </c>
      <c r="F378" s="93">
        <f t="shared" si="48"/>
        <v>960000</v>
      </c>
      <c r="G378" s="93">
        <f>[4]경비!D14</f>
        <v>0</v>
      </c>
      <c r="H378" s="93">
        <f>TRUNC(G378*C378,0)</f>
        <v>0</v>
      </c>
      <c r="I378" s="93">
        <f>[4]경비!E14</f>
        <v>0</v>
      </c>
      <c r="J378" s="93">
        <f>TRUNC(I378*C378,0)</f>
        <v>0</v>
      </c>
      <c r="K378" s="93">
        <f>[4]일위대가목록!H57</f>
        <v>240000</v>
      </c>
      <c r="L378" s="93">
        <f>TRUNC(K378*C378,0)</f>
        <v>960000</v>
      </c>
      <c r="M378" s="94" t="s">
        <v>714</v>
      </c>
      <c r="N378" t="s">
        <v>6</v>
      </c>
      <c r="P378" t="s">
        <v>48</v>
      </c>
      <c r="Q378" t="s">
        <v>6</v>
      </c>
      <c r="R378" t="s">
        <v>714</v>
      </c>
      <c r="BH378" s="92" t="s">
        <v>6</v>
      </c>
      <c r="BJ378" s="95" t="str">
        <f>HYPERLINK("#경비!A14","GZZZW30010 →")</f>
        <v>GZZZW30010 →</v>
      </c>
      <c r="CC378" s="92" t="s">
        <v>350</v>
      </c>
    </row>
    <row r="379" spans="1:100" ht="18.399999999999999" customHeight="1" x14ac:dyDescent="0.15">
      <c r="A379" s="91" t="s">
        <v>715</v>
      </c>
      <c r="B379" s="92" t="s">
        <v>6</v>
      </c>
      <c r="C379" s="93">
        <v>1</v>
      </c>
      <c r="D379" s="92" t="s">
        <v>188</v>
      </c>
      <c r="E379" s="93">
        <f>G379+I379+K379</f>
        <v>21040000</v>
      </c>
      <c r="F379" s="93">
        <f t="shared" si="48"/>
        <v>21040000</v>
      </c>
      <c r="G379" s="93">
        <f>[4]경비!D15</f>
        <v>0</v>
      </c>
      <c r="H379" s="93">
        <f>TRUNC(G379*C379,0)</f>
        <v>0</v>
      </c>
      <c r="I379" s="93">
        <f>[4]경비!E15</f>
        <v>0</v>
      </c>
      <c r="J379" s="93">
        <f>TRUNC(I379*C379,0)</f>
        <v>0</v>
      </c>
      <c r="K379" s="93">
        <f>[4]일위대가목록!H56</f>
        <v>21040000</v>
      </c>
      <c r="L379" s="93">
        <f>TRUNC(K379*C379,0)</f>
        <v>21040000</v>
      </c>
      <c r="M379" s="94" t="s">
        <v>716</v>
      </c>
      <c r="N379" t="s">
        <v>6</v>
      </c>
      <c r="P379" t="s">
        <v>191</v>
      </c>
      <c r="Q379" t="s">
        <v>6</v>
      </c>
      <c r="R379" t="s">
        <v>716</v>
      </c>
      <c r="BH379" s="92" t="s">
        <v>6</v>
      </c>
      <c r="BJ379" s="95" t="str">
        <f>HYPERLINK("#경비!A15","GZZZW30020 →")</f>
        <v>GZZZW30020 →</v>
      </c>
      <c r="CC379" s="92" t="s">
        <v>350</v>
      </c>
    </row>
    <row r="380" spans="1:100" ht="18.399999999999999" customHeight="1" x14ac:dyDescent="0.15">
      <c r="A380" s="91" t="s">
        <v>6</v>
      </c>
      <c r="B380" s="92" t="s">
        <v>6</v>
      </c>
      <c r="C380" s="92"/>
      <c r="D380" s="92" t="s">
        <v>6</v>
      </c>
      <c r="E380" s="93">
        <f>G380+I380+K380</f>
        <v>0</v>
      </c>
      <c r="F380" s="93">
        <f t="shared" si="48"/>
        <v>0</v>
      </c>
      <c r="G380" s="90"/>
      <c r="H380" s="93">
        <v>0</v>
      </c>
      <c r="I380" s="90"/>
      <c r="J380" s="93">
        <v>0</v>
      </c>
      <c r="K380" s="90"/>
      <c r="L380" s="93">
        <v>0</v>
      </c>
      <c r="M380" s="94" t="s">
        <v>6</v>
      </c>
      <c r="N380" t="s">
        <v>6</v>
      </c>
      <c r="P380" t="s">
        <v>275</v>
      </c>
      <c r="Q380" t="s">
        <v>329</v>
      </c>
      <c r="R380" t="s">
        <v>6</v>
      </c>
      <c r="BH380" s="92" t="s">
        <v>6</v>
      </c>
      <c r="CC380" s="92" t="s">
        <v>6</v>
      </c>
    </row>
    <row r="381" spans="1:100" ht="18.399999999999999" customHeight="1" x14ac:dyDescent="0.15">
      <c r="A381" s="91" t="s">
        <v>717</v>
      </c>
      <c r="B381" s="92" t="s">
        <v>6</v>
      </c>
      <c r="C381" s="93">
        <v>0</v>
      </c>
      <c r="D381" s="92" t="s">
        <v>6</v>
      </c>
      <c r="E381" s="90"/>
      <c r="F381" s="93">
        <f t="shared" si="48"/>
        <v>0</v>
      </c>
      <c r="G381" s="90"/>
      <c r="H381" s="93">
        <f>0</f>
        <v>0</v>
      </c>
      <c r="I381" s="90"/>
      <c r="J381" s="93">
        <f>0</f>
        <v>0</v>
      </c>
      <c r="K381" s="90"/>
      <c r="L381" s="93">
        <f>0</f>
        <v>0</v>
      </c>
      <c r="M381" s="94" t="s">
        <v>6</v>
      </c>
      <c r="N381" t="s">
        <v>6</v>
      </c>
      <c r="O381" t="s">
        <v>718</v>
      </c>
      <c r="BH381" s="92" t="s">
        <v>6</v>
      </c>
      <c r="CV381" s="92" t="s">
        <v>6</v>
      </c>
    </row>
    <row r="382" spans="1:100" ht="18.399999999999999" customHeight="1" x14ac:dyDescent="0.15">
      <c r="A382" s="91" t="s">
        <v>6</v>
      </c>
      <c r="B382" s="92" t="s">
        <v>6</v>
      </c>
      <c r="C382" s="92"/>
      <c r="D382" s="92" t="s">
        <v>6</v>
      </c>
      <c r="E382" s="93">
        <f>G382+I382+K382</f>
        <v>0</v>
      </c>
      <c r="F382" s="93">
        <f t="shared" si="48"/>
        <v>0</v>
      </c>
      <c r="G382" s="90"/>
      <c r="H382" s="93">
        <v>0</v>
      </c>
      <c r="I382" s="90"/>
      <c r="J382" s="93">
        <v>0</v>
      </c>
      <c r="K382" s="90"/>
      <c r="L382" s="93">
        <v>0</v>
      </c>
      <c r="M382" s="94" t="s">
        <v>6</v>
      </c>
      <c r="N382" t="s">
        <v>6</v>
      </c>
      <c r="P382" t="s">
        <v>607</v>
      </c>
      <c r="Q382" t="s">
        <v>329</v>
      </c>
      <c r="R382" t="s">
        <v>6</v>
      </c>
      <c r="BH382" s="92" t="s">
        <v>6</v>
      </c>
      <c r="CC382" s="92" t="s">
        <v>6</v>
      </c>
    </row>
    <row r="383" spans="1:100" ht="18.399999999999999" customHeight="1" x14ac:dyDescent="0.15">
      <c r="A383" s="91" t="s">
        <v>719</v>
      </c>
      <c r="B383" s="92" t="s">
        <v>6</v>
      </c>
      <c r="C383" s="93">
        <v>1</v>
      </c>
      <c r="D383" s="92" t="s">
        <v>188</v>
      </c>
      <c r="E383" s="90"/>
      <c r="F383" s="93">
        <f t="shared" si="48"/>
        <v>996000</v>
      </c>
      <c r="G383" s="90"/>
      <c r="H383" s="93">
        <f>TRUNC(H385+H386,0)</f>
        <v>0</v>
      </c>
      <c r="I383" s="90"/>
      <c r="J383" s="93">
        <f>TRUNC(J385+J386,0)</f>
        <v>0</v>
      </c>
      <c r="K383" s="90"/>
      <c r="L383" s="93">
        <f>TRUNC(L385+L386,0)</f>
        <v>996000</v>
      </c>
      <c r="M383" s="94" t="s">
        <v>6</v>
      </c>
      <c r="N383" t="s">
        <v>6</v>
      </c>
      <c r="O383" t="s">
        <v>308</v>
      </c>
      <c r="BH383" s="92" t="s">
        <v>6</v>
      </c>
      <c r="CV383" s="92" t="s">
        <v>6</v>
      </c>
    </row>
    <row r="384" spans="1:100" ht="18.399999999999999" customHeight="1" x14ac:dyDescent="0.15">
      <c r="A384" s="91" t="s">
        <v>720</v>
      </c>
      <c r="B384" s="92" t="s">
        <v>6</v>
      </c>
      <c r="C384" s="92"/>
      <c r="D384" s="92" t="s">
        <v>6</v>
      </c>
      <c r="E384" s="93">
        <f>G384+I384+K384</f>
        <v>0</v>
      </c>
      <c r="F384" s="93">
        <f t="shared" si="48"/>
        <v>996000</v>
      </c>
      <c r="G384" s="90"/>
      <c r="H384" s="93">
        <f>TRUNC(H385+H386,0)</f>
        <v>0</v>
      </c>
      <c r="I384" s="90"/>
      <c r="J384" s="93">
        <f>TRUNC(J385+J386,0)</f>
        <v>0</v>
      </c>
      <c r="K384" s="90"/>
      <c r="L384" s="93">
        <f>TRUNC(L385+L386,0)</f>
        <v>996000</v>
      </c>
      <c r="M384" s="94" t="s">
        <v>6</v>
      </c>
      <c r="N384" t="s">
        <v>6</v>
      </c>
      <c r="P384" t="s">
        <v>48</v>
      </c>
      <c r="Q384" t="s">
        <v>6</v>
      </c>
      <c r="R384" t="s">
        <v>6</v>
      </c>
      <c r="BH384" s="92" t="s">
        <v>6</v>
      </c>
      <c r="CC384" s="92" t="s">
        <v>345</v>
      </c>
    </row>
    <row r="385" spans="1:81" ht="18.399999999999999" customHeight="1" x14ac:dyDescent="0.15">
      <c r="A385" s="91" t="s">
        <v>721</v>
      </c>
      <c r="B385" s="92" t="s">
        <v>6</v>
      </c>
      <c r="C385" s="92">
        <v>8.3000000000000007</v>
      </c>
      <c r="D385" s="92" t="s">
        <v>402</v>
      </c>
      <c r="E385" s="93">
        <f>G385+I385+K385</f>
        <v>45000</v>
      </c>
      <c r="F385" s="93">
        <f t="shared" si="48"/>
        <v>373500</v>
      </c>
      <c r="G385" s="93">
        <f>[4]일위대가목록!F15</f>
        <v>0</v>
      </c>
      <c r="H385" s="93">
        <f>TRUNC(G385*C385,0)</f>
        <v>0</v>
      </c>
      <c r="I385" s="93">
        <f>[4]일위대가목록!G15</f>
        <v>0</v>
      </c>
      <c r="J385" s="93">
        <f>TRUNC(I385*C385,0)</f>
        <v>0</v>
      </c>
      <c r="K385" s="93">
        <f>[4]일위대가목록!H15</f>
        <v>45000</v>
      </c>
      <c r="L385" s="93">
        <f>TRUNC(K385*C385,0)</f>
        <v>373500</v>
      </c>
      <c r="M385" s="94" t="s">
        <v>722</v>
      </c>
      <c r="N385" t="s">
        <v>6</v>
      </c>
      <c r="P385" t="s">
        <v>191</v>
      </c>
      <c r="Q385" t="s">
        <v>6</v>
      </c>
      <c r="R385" t="s">
        <v>723</v>
      </c>
      <c r="T385" t="s">
        <v>212</v>
      </c>
      <c r="BH385" s="92" t="s">
        <v>6</v>
      </c>
      <c r="BJ385" s="95" t="str">
        <f>HYPERLINK("#일위대가목록!A15","K09700E270 →")</f>
        <v>K09700E270 →</v>
      </c>
      <c r="CC385" s="92" t="s">
        <v>350</v>
      </c>
    </row>
    <row r="386" spans="1:81" ht="18.399999999999999" customHeight="1" x14ac:dyDescent="0.15">
      <c r="A386" s="91" t="s">
        <v>724</v>
      </c>
      <c r="B386" s="92" t="s">
        <v>6</v>
      </c>
      <c r="C386" s="92">
        <v>8.3000000000000007</v>
      </c>
      <c r="D386" s="92" t="s">
        <v>402</v>
      </c>
      <c r="E386" s="93">
        <f>G386+I386+K386</f>
        <v>75000</v>
      </c>
      <c r="F386" s="93">
        <f t="shared" si="48"/>
        <v>622500</v>
      </c>
      <c r="G386" s="93">
        <f>[4]일위대가목록!F16</f>
        <v>0</v>
      </c>
      <c r="H386" s="93">
        <f>TRUNC(G386*C386,0)</f>
        <v>0</v>
      </c>
      <c r="I386" s="93">
        <f>[4]일위대가목록!G16</f>
        <v>0</v>
      </c>
      <c r="J386" s="93">
        <f>TRUNC(I386*C386,0)</f>
        <v>0</v>
      </c>
      <c r="K386" s="93">
        <f>[4]일위대가목록!H16</f>
        <v>75000</v>
      </c>
      <c r="L386" s="93">
        <f>TRUNC(K386*C386,0)</f>
        <v>622500</v>
      </c>
      <c r="M386" s="94" t="s">
        <v>725</v>
      </c>
      <c r="N386" t="s">
        <v>6</v>
      </c>
      <c r="P386" t="s">
        <v>194</v>
      </c>
      <c r="Q386" t="s">
        <v>6</v>
      </c>
      <c r="R386" t="s">
        <v>726</v>
      </c>
      <c r="T386" t="s">
        <v>212</v>
      </c>
      <c r="BH386" s="92" t="s">
        <v>6</v>
      </c>
      <c r="BJ386" s="95" t="str">
        <f>HYPERLINK("#일위대가목록!A16","K09700E370 →")</f>
        <v>K09700E370 →</v>
      </c>
      <c r="CC386" s="92" t="s">
        <v>350</v>
      </c>
    </row>
    <row r="387" spans="1:81" ht="18.399999999999999" customHeight="1" x14ac:dyDescent="0.15">
      <c r="A387" s="91" t="s">
        <v>6</v>
      </c>
      <c r="B387" s="92" t="s">
        <v>6</v>
      </c>
      <c r="C387" s="92"/>
      <c r="D387" s="92" t="s">
        <v>6</v>
      </c>
      <c r="E387" s="93">
        <f>G387+I387+K387</f>
        <v>0</v>
      </c>
      <c r="F387" s="93">
        <f t="shared" si="48"/>
        <v>0</v>
      </c>
      <c r="G387" s="90"/>
      <c r="H387" s="93">
        <v>0</v>
      </c>
      <c r="I387" s="90"/>
      <c r="J387" s="93">
        <v>0</v>
      </c>
      <c r="K387" s="90"/>
      <c r="L387" s="93">
        <v>0</v>
      </c>
      <c r="M387" s="94" t="s">
        <v>6</v>
      </c>
      <c r="N387" t="s">
        <v>6</v>
      </c>
      <c r="P387" t="s">
        <v>198</v>
      </c>
      <c r="Q387" t="s">
        <v>6</v>
      </c>
      <c r="R387" t="s">
        <v>6</v>
      </c>
      <c r="BH387" s="92" t="s">
        <v>6</v>
      </c>
      <c r="CC387" s="92" t="s">
        <v>6</v>
      </c>
    </row>
    <row r="388" spans="1:81" ht="18.399999999999999" customHeight="1" thickBot="1" x14ac:dyDescent="0.2">
      <c r="A388" s="103"/>
      <c r="B388" s="104"/>
      <c r="C388" s="104"/>
      <c r="D388" s="104"/>
      <c r="E388" s="104"/>
      <c r="F388" s="104"/>
      <c r="G388" s="104"/>
      <c r="H388" s="104"/>
      <c r="I388" s="104"/>
      <c r="J388" s="104"/>
      <c r="K388" s="104"/>
      <c r="L388" s="104"/>
      <c r="M388" s="105"/>
      <c r="BH388" s="90"/>
    </row>
  </sheetData>
  <mergeCells count="10">
    <mergeCell ref="I2:J2"/>
    <mergeCell ref="K2:L2"/>
    <mergeCell ref="M2:M3"/>
    <mergeCell ref="BH2:BH3"/>
    <mergeCell ref="A2:A3"/>
    <mergeCell ref="B2:B3"/>
    <mergeCell ref="C2:C3"/>
    <mergeCell ref="D2:D3"/>
    <mergeCell ref="E2:F2"/>
    <mergeCell ref="G2:H2"/>
  </mergeCells>
  <phoneticPr fontId="10" type="noConversion"/>
  <printOptions horizontalCentered="1"/>
  <pageMargins left="0.31496062992125984" right="0.31496062992125984" top="0.98425196850393704" bottom="0.59055118110236227" header="0.51181102362204722" footer="0.51181102362204722"/>
  <pageSetup paperSize="9" orientation="landscape" r:id="rId1"/>
  <headerFooter alignWithMargins="0">
    <oddHeader>&amp;RPage : &amp;P/&amp;N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원가계산서</vt:lpstr>
      <vt:lpstr>내역서총괄표</vt:lpstr>
      <vt:lpstr>내역서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KORAIL</dc:creator>
  <cp:lastModifiedBy>KORAIL</cp:lastModifiedBy>
  <dcterms:created xsi:type="dcterms:W3CDTF">2026-10-28T02:42:57Z</dcterms:created>
  <dcterms:modified xsi:type="dcterms:W3CDTF">2026-10-28T02:43:40Z</dcterms:modified>
</cp:coreProperties>
</file>