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업무폴더\1. 2026 계약현황\2. 사업소 의뢰\2026. 10월\4. 2026년도 간선임도사업(경산 남천 송백~남천 하도1)\1. 계약의뢰\"/>
    </mc:Choice>
  </mc:AlternateContent>
  <xr:revisionPtr revIDLastSave="0" documentId="13_ncr:1_{3D208B07-7E7B-4D45-BC5D-922093AACB17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〓 목 차 〓" sheetId="1" r:id="rId1"/>
    <sheet name="공사원가계산서" sheetId="3" r:id="rId2"/>
    <sheet name="총괄설계내역서" sheetId="4" r:id="rId3"/>
    <sheet name="설계내역서" sheetId="5" r:id="rId4"/>
    <sheet name="〓 INITIAL 〓" sheetId="21" state="veryHidden" r:id="rId5"/>
  </sheets>
  <definedNames>
    <definedName name="_xlnm.Print_Area" localSheetId="0">'〓 목 차 〓'!$A:$C</definedName>
    <definedName name="_xlnm.Print_Area" localSheetId="1">공사원가계산서!$A:$F</definedName>
    <definedName name="_xlnm.Print_Area" localSheetId="3">설계내역서!$A:$N</definedName>
    <definedName name="_xlnm.Print_Area" localSheetId="2">총괄설계내역서!$A:$G</definedName>
    <definedName name="_xlnm.Print_Titles" localSheetId="1">공사원가계산서!$1:$4</definedName>
    <definedName name="_xlnm.Print_Titles" localSheetId="3">설계내역서!$1:$4</definedName>
    <definedName name="_xlnm.Print_Titles" localSheetId="2">총괄설계내역서!$1:$3</definedName>
  </definedNames>
  <calcPr calcId="191029"/>
</workbook>
</file>

<file path=xl/calcChain.xml><?xml version="1.0" encoding="utf-8"?>
<calcChain xmlns="http://schemas.openxmlformats.org/spreadsheetml/2006/main">
  <c r="E24" i="4" l="1"/>
  <c r="D4" i="21"/>
  <c r="D6" i="21"/>
  <c r="C6" i="21" s="1"/>
  <c r="D7" i="21"/>
  <c r="C7" i="21" s="1"/>
  <c r="D8" i="21"/>
  <c r="C8" i="21" s="1"/>
  <c r="D10" i="21"/>
  <c r="C10" i="21" s="1"/>
  <c r="D11" i="21"/>
  <c r="C11" i="21" s="1"/>
  <c r="D13" i="21"/>
  <c r="C13" i="21" s="1"/>
  <c r="D14" i="21"/>
  <c r="C14" i="21" s="1"/>
  <c r="D15" i="21"/>
  <c r="C15" i="21" s="1"/>
  <c r="D16" i="21"/>
  <c r="C16" i="21" s="1"/>
  <c r="D17" i="21"/>
  <c r="C17" i="21" s="1"/>
  <c r="D18" i="21"/>
  <c r="C18" i="21" s="1"/>
  <c r="D19" i="21"/>
  <c r="C19" i="21" s="1"/>
  <c r="D20" i="21"/>
  <c r="C20" i="21" s="1"/>
  <c r="D24" i="21"/>
  <c r="D33" i="21"/>
  <c r="C35" i="21"/>
  <c r="D35" i="21"/>
  <c r="E35" i="21"/>
  <c r="F35" i="21"/>
  <c r="G35" i="21"/>
  <c r="H35" i="21"/>
  <c r="I35" i="21"/>
  <c r="J35" i="21"/>
  <c r="D52" i="21"/>
  <c r="D75" i="21"/>
  <c r="D4" i="1"/>
  <c r="D20" i="1"/>
  <c r="G2" i="3"/>
  <c r="D5" i="1" s="1"/>
  <c r="F26" i="3"/>
  <c r="F27" i="3"/>
  <c r="F29" i="3"/>
  <c r="D21" i="1"/>
  <c r="D19" i="1"/>
  <c r="D11" i="1"/>
  <c r="O2" i="5"/>
  <c r="O5" i="5"/>
  <c r="O7" i="5"/>
  <c r="O8" i="5"/>
  <c r="O14" i="5"/>
  <c r="O19" i="5"/>
  <c r="O25" i="5"/>
  <c r="O30" i="5"/>
  <c r="O31" i="5"/>
  <c r="O38" i="5"/>
  <c r="O41" i="5"/>
  <c r="O44" i="5"/>
  <c r="O49" i="5"/>
  <c r="O50" i="5"/>
  <c r="O55" i="5"/>
  <c r="O66" i="5"/>
  <c r="O74" i="5"/>
  <c r="D22" i="1"/>
  <c r="D18" i="1"/>
  <c r="H2" i="4"/>
  <c r="E17" i="4"/>
  <c r="F10" i="3" s="1"/>
  <c r="E18" i="4"/>
  <c r="F13" i="3" s="1"/>
  <c r="E19" i="4"/>
  <c r="F14" i="3" s="1"/>
  <c r="E20" i="4"/>
  <c r="F15" i="3" s="1"/>
  <c r="E21" i="4"/>
  <c r="F16" i="3" s="1"/>
  <c r="E22" i="4"/>
  <c r="F17" i="3" s="1"/>
  <c r="E23" i="4"/>
  <c r="F18" i="3" s="1"/>
  <c r="E25" i="4"/>
  <c r="F20" i="3" s="1"/>
  <c r="E26" i="4"/>
  <c r="F21" i="3" s="1"/>
  <c r="E27" i="4"/>
  <c r="F22" i="3" s="1"/>
  <c r="E28" i="4"/>
  <c r="F23" i="3" s="1"/>
  <c r="E29" i="4"/>
  <c r="F24" i="3" s="1"/>
  <c r="E31" i="4"/>
  <c r="E35" i="4"/>
  <c r="F31" i="3"/>
  <c r="J37" i="4"/>
  <c r="L37" i="4"/>
  <c r="G15" i="4" l="1"/>
  <c r="E15" i="4"/>
  <c r="G14" i="4"/>
  <c r="E14" i="4"/>
  <c r="X13" i="21"/>
  <c r="P13" i="21"/>
  <c r="S18" i="21"/>
  <c r="X18" i="21"/>
  <c r="P18" i="21"/>
  <c r="R19" i="21"/>
  <c r="X19" i="21"/>
  <c r="S19" i="21"/>
  <c r="O19" i="21"/>
  <c r="E13" i="4"/>
  <c r="D12" i="1"/>
  <c r="X6" i="21"/>
  <c r="L6" i="21"/>
  <c r="K6" i="21"/>
  <c r="J6" i="21"/>
  <c r="I6" i="21"/>
  <c r="G6" i="21"/>
  <c r="F6" i="21"/>
  <c r="D6" i="1"/>
  <c r="D9" i="1"/>
  <c r="I7" i="21"/>
  <c r="G7" i="21"/>
  <c r="F7" i="21"/>
  <c r="X7" i="21"/>
  <c r="L7" i="21"/>
  <c r="K7" i="21"/>
  <c r="J7" i="21"/>
  <c r="D10" i="1"/>
  <c r="X8" i="21"/>
  <c r="L8" i="21"/>
  <c r="K8" i="21"/>
  <c r="J8" i="21"/>
  <c r="I8" i="21"/>
  <c r="G8" i="21"/>
  <c r="F8" i="21"/>
  <c r="D8" i="1"/>
  <c r="E10" i="21"/>
  <c r="X10" i="21"/>
  <c r="L10" i="21"/>
  <c r="K10" i="21"/>
  <c r="J10" i="21"/>
  <c r="I10" i="21"/>
  <c r="G10" i="21"/>
  <c r="F10" i="21"/>
  <c r="N11" i="21"/>
  <c r="L11" i="21"/>
  <c r="K11" i="21"/>
  <c r="J11" i="21"/>
  <c r="I11" i="21"/>
  <c r="G11" i="21"/>
  <c r="F11" i="21"/>
  <c r="X11" i="21"/>
  <c r="R11" i="21"/>
  <c r="P11" i="21"/>
  <c r="X20" i="21"/>
  <c r="R20" i="21"/>
  <c r="P20" i="21"/>
  <c r="N20" i="21"/>
  <c r="L20" i="21"/>
  <c r="K20" i="21"/>
  <c r="J20" i="21"/>
  <c r="F20" i="21"/>
  <c r="E20" i="21"/>
  <c r="X14" i="21"/>
  <c r="R14" i="21"/>
  <c r="P14" i="21"/>
  <c r="N14" i="21"/>
  <c r="L14" i="21"/>
  <c r="K14" i="21"/>
  <c r="J14" i="21"/>
  <c r="I14" i="21"/>
  <c r="G14" i="21"/>
  <c r="F14" i="21"/>
  <c r="I15" i="21"/>
  <c r="G15" i="21"/>
  <c r="X15" i="21"/>
  <c r="F15" i="21"/>
  <c r="W15" i="21"/>
  <c r="V15" i="21"/>
  <c r="U15" i="21"/>
  <c r="T15" i="21"/>
  <c r="S15" i="21"/>
  <c r="R15" i="21"/>
  <c r="Q15" i="21"/>
  <c r="P15" i="21"/>
  <c r="O15" i="21"/>
  <c r="N15" i="21"/>
  <c r="M15" i="21"/>
  <c r="L15" i="21"/>
  <c r="K15" i="21"/>
  <c r="J15" i="21"/>
  <c r="D15" i="1"/>
  <c r="S16" i="21"/>
  <c r="R16" i="21"/>
  <c r="Q16" i="21"/>
  <c r="P16" i="21"/>
  <c r="O16" i="21"/>
  <c r="N16" i="21"/>
  <c r="M16" i="21"/>
  <c r="L16" i="21"/>
  <c r="K16" i="21"/>
  <c r="J16" i="21"/>
  <c r="I16" i="21"/>
  <c r="H16" i="21"/>
  <c r="G16" i="21"/>
  <c r="F16" i="21"/>
  <c r="E16" i="21"/>
  <c r="X16" i="21"/>
  <c r="D7" i="1"/>
  <c r="X17" i="21"/>
  <c r="Q17" i="21"/>
  <c r="P17" i="21"/>
  <c r="O17" i="21"/>
  <c r="N17" i="21"/>
  <c r="M17" i="21"/>
  <c r="L17" i="21"/>
  <c r="K17" i="21"/>
  <c r="J17" i="21"/>
  <c r="I17" i="21"/>
  <c r="G17" i="21"/>
  <c r="F17" i="21"/>
  <c r="E17" i="21"/>
  <c r="F18" i="21"/>
  <c r="D13" i="1"/>
  <c r="F19" i="21"/>
  <c r="G18" i="21"/>
  <c r="D14" i="1"/>
  <c r="G19" i="21"/>
  <c r="H18" i="21"/>
  <c r="H19" i="21"/>
  <c r="I18" i="21"/>
  <c r="F13" i="21"/>
  <c r="D16" i="1"/>
  <c r="I19" i="21"/>
  <c r="J18" i="21"/>
  <c r="G13" i="21"/>
  <c r="D17" i="1"/>
  <c r="J19" i="21"/>
  <c r="K18" i="21"/>
  <c r="I13" i="21"/>
  <c r="K19" i="21"/>
  <c r="L18" i="21"/>
  <c r="J13" i="21"/>
  <c r="L19" i="21"/>
  <c r="M18" i="21"/>
  <c r="K13" i="21"/>
  <c r="M19" i="21"/>
  <c r="N18" i="21"/>
  <c r="L13" i="21"/>
  <c r="N19" i="21"/>
  <c r="O18" i="21"/>
  <c r="N13" i="21"/>
  <c r="P19" i="21"/>
  <c r="Q18" i="21"/>
  <c r="R13" i="21"/>
  <c r="Q19" i="21"/>
  <c r="R18" i="21"/>
  <c r="C4" i="21" l="1"/>
  <c r="D1" i="1" s="1"/>
  <c r="D15" i="4"/>
  <c r="F15" i="4"/>
  <c r="G12" i="4" l="1"/>
  <c r="D14" i="4"/>
  <c r="F14" i="4"/>
  <c r="G11" i="4" l="1"/>
  <c r="F13" i="4"/>
  <c r="E12" i="4" l="1"/>
  <c r="G10" i="4"/>
  <c r="E11" i="4"/>
  <c r="G5" i="4" l="1"/>
  <c r="G9" i="4"/>
  <c r="G8" i="4" l="1"/>
  <c r="E10" i="4" l="1"/>
  <c r="G7" i="4"/>
  <c r="G6" i="4" l="1"/>
  <c r="E5" i="4"/>
  <c r="E9" i="4"/>
  <c r="E7" i="4" l="1"/>
  <c r="E8" i="4"/>
  <c r="D12" i="4" l="1"/>
  <c r="D11" i="4"/>
  <c r="E6" i="4"/>
  <c r="F11" i="4"/>
  <c r="F12" i="4"/>
  <c r="E4" i="4" l="1"/>
  <c r="E16" i="4"/>
  <c r="D13" i="4"/>
  <c r="G13" i="4" l="1"/>
  <c r="J20" i="4"/>
  <c r="D20" i="4"/>
  <c r="J23" i="4"/>
  <c r="D17" i="4"/>
  <c r="D23" i="4"/>
  <c r="J22" i="4"/>
  <c r="D22" i="4"/>
  <c r="D5" i="4" l="1"/>
  <c r="D19" i="4"/>
  <c r="D28" i="4"/>
  <c r="F5" i="4"/>
  <c r="D21" i="4"/>
  <c r="J21" i="4"/>
  <c r="D18" i="4"/>
  <c r="G4" i="4"/>
  <c r="G16" i="4"/>
  <c r="D29" i="4"/>
  <c r="D10" i="4" l="1"/>
  <c r="F10" i="4"/>
  <c r="F7" i="4"/>
  <c r="D7" i="4"/>
  <c r="D9" i="4" l="1"/>
  <c r="F9" i="4"/>
  <c r="D8" i="4" l="1"/>
  <c r="F8" i="4"/>
  <c r="D6" i="4" l="1"/>
  <c r="F6" i="4"/>
  <c r="D4" i="4" l="1"/>
  <c r="D16" i="4"/>
  <c r="F4" i="4"/>
  <c r="F16" i="4"/>
  <c r="D27" i="4" l="1"/>
  <c r="D26" i="4"/>
  <c r="D24" i="4"/>
  <c r="J24" i="4"/>
  <c r="D25" i="4"/>
  <c r="D30" i="4" l="1"/>
  <c r="D31" i="4" s="1"/>
  <c r="F19" i="3"/>
  <c r="D32" i="4" l="1"/>
  <c r="J32" i="4" l="1"/>
  <c r="L32" i="4"/>
  <c r="D33" i="4"/>
  <c r="D34" i="4" l="1"/>
  <c r="J33" i="4"/>
  <c r="E33" i="4" s="1"/>
  <c r="L33" i="4"/>
  <c r="L34" i="4" s="1"/>
  <c r="D35" i="4" l="1"/>
  <c r="L35" i="4"/>
  <c r="L36" i="4" s="1"/>
  <c r="L38" i="4" s="1"/>
  <c r="J34" i="4"/>
  <c r="D36" i="4" l="1"/>
  <c r="J35" i="4"/>
  <c r="J36" i="4" s="1"/>
  <c r="J38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" authorId="0" shapeId="0" xr:uid="{00000000-0006-0000-0000-000001000000}">
      <text>
        <r>
          <rPr>
            <sz val="9"/>
            <color theme="1"/>
            <rFont val="굴림체"/>
            <family val="3"/>
            <charset val="129"/>
          </rPr>
          <t>해당 페이지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" authorId="0" shapeId="0" xr:uid="{00000000-0006-0000-0300-000001000000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I33" authorId="0" shapeId="0" xr:uid="{00000000-0006-0000-0300-000003000000}">
      <text>
        <r>
          <rPr>
            <sz val="9"/>
            <color theme="1"/>
            <rFont val="굴림체"/>
            <family val="3"/>
            <charset val="129"/>
          </rPr>
          <t>이윤보정액 : 총공사비 금액이 다를경우 임의조정(±α) 하십시요</t>
        </r>
      </text>
    </comment>
    <comment ref="I35" authorId="0" shapeId="0" xr:uid="{00000000-0006-0000-0300-000004000000}">
      <text>
        <r>
          <rPr>
            <sz val="9"/>
            <color theme="1"/>
            <rFont val="굴림체"/>
            <family val="3"/>
            <charset val="129"/>
          </rPr>
          <t>부가세보정 : 총공사비 금액에 1원 차이 발생할 경우 부가세 조정(+1) 하십시요</t>
        </r>
      </text>
    </comment>
    <comment ref="I37" authorId="0" shapeId="0" xr:uid="{00000000-0006-0000-0300-000005000000}">
      <text>
        <r>
          <rPr>
            <sz val="9"/>
            <color theme="1"/>
            <rFont val="굴림체"/>
            <family val="3"/>
            <charset val="129"/>
          </rPr>
          <t>관급자재대(도급자설치) : 원자재대 금액을 입력하세요.</t>
        </r>
      </text>
    </comment>
    <comment ref="O37" authorId="0" shapeId="0" xr:uid="{00000000-0006-0000-0300-000006000000}">
      <text>
        <r>
          <rPr>
            <sz val="9"/>
            <color theme="1"/>
            <rFont val="굴림체"/>
            <family val="3"/>
            <charset val="129"/>
          </rPr>
          <t>조달수수료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00000000-0006-0000-0400-000001000000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</commentList>
</comments>
</file>

<file path=xl/sharedStrings.xml><?xml version="1.0" encoding="utf-8"?>
<sst xmlns="http://schemas.openxmlformats.org/spreadsheetml/2006/main" count="740" uniqueCount="509">
  <si>
    <t>공사명 : 2026년도 간선임도사업(경산 남천 송백 ~ 남천 하도1)</t>
  </si>
  <si>
    <t>호표</t>
  </si>
  <si>
    <t>명      칭</t>
  </si>
  <si>
    <t>규      격</t>
  </si>
  <si>
    <t>단위</t>
  </si>
  <si>
    <t>합  계</t>
  </si>
  <si>
    <t>노 무 비</t>
  </si>
  <si>
    <t>재 료 비</t>
  </si>
  <si>
    <t>경  비</t>
  </si>
  <si>
    <t>비  고</t>
  </si>
  <si>
    <t>m3</t>
  </si>
  <si>
    <t>파형강관부설</t>
  </si>
  <si>
    <t>D=1000mm</t>
  </si>
  <si>
    <t>m</t>
  </si>
  <si>
    <t>포장난간(A-TYPE)</t>
  </si>
  <si>
    <t>H=0.20m</t>
  </si>
  <si>
    <t>m2</t>
  </si>
  <si>
    <t>벌목</t>
  </si>
  <si>
    <t>H=8m이상</t>
  </si>
  <si>
    <t>규준틀설치(변곡점)</t>
  </si>
  <si>
    <t>종단규준틀</t>
  </si>
  <si>
    <t>개소</t>
  </si>
  <si>
    <t>콘크리트포장</t>
  </si>
  <si>
    <t>T=20cm(레미콘)</t>
  </si>
  <si>
    <t>포장거푸집</t>
  </si>
  <si>
    <t>T=20cm(양면)</t>
  </si>
  <si>
    <t>돌붙임(찰붙임)</t>
  </si>
  <si>
    <t>L3=35cm이하</t>
  </si>
  <si>
    <t>임도준공표지석</t>
  </si>
  <si>
    <t>30x20x60</t>
  </si>
  <si>
    <t>규준틀설치(@40m)</t>
  </si>
  <si>
    <t>횡단규준틀</t>
  </si>
  <si>
    <t>7급줄떼</t>
  </si>
  <si>
    <t>B형</t>
  </si>
  <si>
    <t>돌기슭막이(찰쌓기,켜쌓기)</t>
  </si>
  <si>
    <t>H=2.0 L3=45(구입)</t>
  </si>
  <si>
    <t>제근</t>
  </si>
  <si>
    <t>0.7m3(밀)</t>
  </si>
  <si>
    <t>측구수로관(400)</t>
  </si>
  <si>
    <t>무소음트렌치(500)</t>
  </si>
  <si>
    <t>관보호공</t>
  </si>
  <si>
    <t>돌집수정</t>
  </si>
  <si>
    <t>돌기슭막이(찰쌓기,기초무)</t>
  </si>
  <si>
    <t>STmate</t>
  </si>
  <si>
    <t>토사절취</t>
  </si>
  <si>
    <t>굴착기 0.7m3</t>
  </si>
  <si>
    <t>암절취(연암)</t>
  </si>
  <si>
    <t>굴착기0.7m3+대형브레카</t>
  </si>
  <si>
    <t>측구파기(토사)</t>
  </si>
  <si>
    <t>굴삭기0.4m3</t>
  </si>
  <si>
    <t>측구파기(연암)</t>
  </si>
  <si>
    <t>무대처리</t>
  </si>
  <si>
    <t>굴착기0.7m3</t>
  </si>
  <si>
    <t>성토사면다짐</t>
  </si>
  <si>
    <t>노면정리</t>
  </si>
  <si>
    <t>수축줄눈(컷팅)</t>
  </si>
  <si>
    <t>평떼붙임</t>
  </si>
  <si>
    <t>중기운반</t>
  </si>
  <si>
    <t>L=15.0km(송백)</t>
  </si>
  <si>
    <t>대</t>
  </si>
  <si>
    <t>기계운반</t>
  </si>
  <si>
    <t>모래운반</t>
  </si>
  <si>
    <t>L=30.2km(송백)</t>
  </si>
  <si>
    <t>시멘트운반</t>
  </si>
  <si>
    <t>L=22.7km(송백)</t>
  </si>
  <si>
    <t>자갈운반</t>
  </si>
  <si>
    <t>L=10.5m(송백)</t>
  </si>
  <si>
    <t>막자갈운반</t>
  </si>
  <si>
    <t>혼합석운반</t>
  </si>
  <si>
    <t>임목파쇄(재선충)</t>
  </si>
  <si>
    <t>93.25kW</t>
  </si>
  <si>
    <t>도자운반-암</t>
  </si>
  <si>
    <t>L=41.29m(송백)</t>
  </si>
  <si>
    <t>도자운반-토사</t>
  </si>
  <si>
    <t>덤프운반-암</t>
  </si>
  <si>
    <t>L=0.060km(송백)</t>
  </si>
  <si>
    <t>레미콘운반</t>
  </si>
  <si>
    <t>덤프4.5톤</t>
  </si>
  <si>
    <t>파쇄석운반</t>
  </si>
  <si>
    <t>L=50.3km(송백)</t>
  </si>
  <si>
    <t>ton</t>
  </si>
  <si>
    <t>덤프운반-토사</t>
  </si>
  <si>
    <t>사토처리</t>
  </si>
  <si>
    <t>L=0.719km(송백)</t>
  </si>
  <si>
    <t>혼합석부설(평균 T=7cm)</t>
  </si>
  <si>
    <t>씨뿌리기</t>
  </si>
  <si>
    <t>줄파종</t>
  </si>
  <si>
    <t>1</t>
  </si>
  <si>
    <t>2</t>
  </si>
  <si>
    <t>단   가</t>
  </si>
  <si>
    <t>M3</t>
  </si>
  <si>
    <t>M2</t>
  </si>
  <si>
    <t>M</t>
  </si>
  <si>
    <t>개</t>
  </si>
  <si>
    <t>조달수수료</t>
  </si>
  <si>
    <t>재료비*0.54%</t>
  </si>
  <si>
    <t>%</t>
  </si>
  <si>
    <t>막자갈</t>
  </si>
  <si>
    <t>시 멘 트</t>
  </si>
  <si>
    <t>40Kg/포</t>
  </si>
  <si>
    <t>파형강관(관급)</t>
  </si>
  <si>
    <t>Φ1000m/m, 2.7t,대정</t>
  </si>
  <si>
    <t>파형강관(커플링밴드)</t>
  </si>
  <si>
    <t>Φ1000m/m,대정</t>
  </si>
  <si>
    <t>조</t>
  </si>
  <si>
    <t>와이어매쉬</t>
  </si>
  <si>
    <t>#6,100*100(경산)</t>
  </si>
  <si>
    <t>공사안내판</t>
  </si>
  <si>
    <t>900x1800</t>
  </si>
  <si>
    <t>레미콘(경산시)</t>
  </si>
  <si>
    <t>25-21-80</t>
  </si>
  <si>
    <t>25-18-80</t>
  </si>
  <si>
    <t>파쇄석</t>
  </si>
  <si>
    <t>상차가(영천)</t>
  </si>
  <si>
    <t>자 갈(40m/m)</t>
  </si>
  <si>
    <t>도착가(경산)</t>
  </si>
  <si>
    <t>혼합석(25mm)</t>
  </si>
  <si>
    <t>모래</t>
  </si>
  <si>
    <t>상차가(대구)</t>
  </si>
  <si>
    <t>조달가격</t>
  </si>
  <si>
    <t>페이지</t>
  </si>
  <si>
    <t>물가정보</t>
  </si>
  <si>
    <t>물가자료</t>
  </si>
  <si>
    <t>적산정보</t>
  </si>
  <si>
    <t>견적단가</t>
  </si>
  <si>
    <t>적용 단가</t>
  </si>
  <si>
    <t>조달</t>
  </si>
  <si>
    <t>물정</t>
  </si>
  <si>
    <t>물자</t>
  </si>
  <si>
    <t>적산</t>
  </si>
  <si>
    <t>견적</t>
  </si>
  <si>
    <t>설 계 내 역 서</t>
  </si>
  <si>
    <t>공   종</t>
  </si>
  <si>
    <t>수   량</t>
  </si>
  <si>
    <t>금    액</t>
  </si>
  <si>
    <t>직접공사비</t>
  </si>
  <si>
    <t>E10_1</t>
  </si>
  <si>
    <t>□</t>
  </si>
  <si>
    <t>2026년도 간선임도사업</t>
  </si>
  <si>
    <t>경산 남천 송백 ~ 남천 하도1</t>
  </si>
  <si>
    <t>CMT_1</t>
  </si>
  <si>
    <t>E5_1</t>
  </si>
  <si>
    <t>_x0007_`COD|_x0005_`QTY1|1_x0005_`EXI|1_x0005_`ITT|0_x0005_`</t>
  </si>
  <si>
    <t>총 괄 설 계 내 역 서</t>
  </si>
  <si>
    <t>_x0007_`JTYP|0_x0005_`ACTL|F_x0005_`</t>
  </si>
  <si>
    <t>1.</t>
  </si>
  <si>
    <t>토공사</t>
  </si>
  <si>
    <t>구조물공</t>
  </si>
  <si>
    <t>E4_1</t>
  </si>
  <si>
    <t>1.1</t>
  </si>
  <si>
    <t>준비공</t>
  </si>
  <si>
    <t>B00194_1</t>
  </si>
  <si>
    <t>E2_1</t>
  </si>
  <si>
    <t>_x0007_`COD|B00194_x0005_`QTY1|1_x0005_`EXI|0_x0005_`IPR|0_x0005_`BLA|F_x0005_`</t>
  </si>
  <si>
    <t>B00467_1</t>
  </si>
  <si>
    <t>_x0007_`COD|B00467_x0005_`QTY1|1_x0005_`EXI|0_x0005_`IPR|0_x0005_`BLA|F_x0005_`</t>
  </si>
  <si>
    <t>B00163_1</t>
  </si>
  <si>
    <t>_x0007_`COD|B00163_x0005_`QTY1|1_x0005_`EXI|0_x0005_`IPR|0_x0005_`BLA|F_x0005_`</t>
  </si>
  <si>
    <t>B00609_1</t>
  </si>
  <si>
    <t>_x0007_`COD|B00609_x0005_`QTY1|1_x0005_`EXI|0_x0005_`IPR|0_x0005_`BLA|F_x0005_`</t>
  </si>
  <si>
    <t>D00275_1</t>
  </si>
  <si>
    <t>_x0007_`COD|D00275_x0005_`QTY1|1_x0005_`EXI|0_x0005_`IPR|0_x0005_`BLA|F_x0005_`</t>
  </si>
  <si>
    <t>2.</t>
  </si>
  <si>
    <t>1.2</t>
  </si>
  <si>
    <t>절취</t>
  </si>
  <si>
    <t>D00003_1</t>
  </si>
  <si>
    <t>_x0007_`COD|D00003_x0005_`QTY1|1_x0005_`EXI|0_x0005_`IPR|0_x0005_`BLA|F_x0005_`</t>
  </si>
  <si>
    <t>D00004_1</t>
  </si>
  <si>
    <t>_x0007_`COD|D00004_x0005_`QTY1|1_x0005_`EXI|0_x0005_`IPR|0_x0005_`BLA|F_x0005_`</t>
  </si>
  <si>
    <t>D00009_1</t>
  </si>
  <si>
    <t>_x0007_`COD|D00009_x0005_`QTY1|1_x0005_`EXI|0_x0005_`IPR|0_x0005_`BLA|F_x0005_`</t>
  </si>
  <si>
    <t>D00010_1</t>
  </si>
  <si>
    <t>_x0007_`COD|D00010_x0005_`QTY1|1_x0005_`EXI|0_x0005_`IPR|0_x0005_`BLA|F_x0005_`</t>
  </si>
  <si>
    <t>1.3</t>
  </si>
  <si>
    <t>유용토운반</t>
  </si>
  <si>
    <t>D00013_1</t>
  </si>
  <si>
    <t>_x0007_`COD|D00013_x0005_`QTY1|1_x0005_`EXI|0_x0005_`IPR|0_x0005_`BLA|F_x0005_`</t>
  </si>
  <si>
    <t>D00284_1</t>
  </si>
  <si>
    <t>_x0007_`COD|D00284_x0005_`QTY1|1_x0005_`EXI|0_x0005_`IPR|0_x0005_`BLA|F_x0005_`</t>
  </si>
  <si>
    <t>D00282_1</t>
  </si>
  <si>
    <t>_x0007_`COD|D00282_x0005_`QTY1|1_x0005_`EXI|0_x0005_`IPR|0_x0005_`BLA|F_x0005_`</t>
  </si>
  <si>
    <t>D00350_1</t>
  </si>
  <si>
    <t>_x0007_`COD|D00350_x0005_`QTY1|1_x0005_`EXI|0_x0005_`IPR|0_x0005_`BLA|F_x0005_`</t>
  </si>
  <si>
    <t>D00285_1</t>
  </si>
  <si>
    <t>_x0007_`COD|D00285_x0005_`QTY1|1_x0005_`EXI|0_x0005_`IPR|0_x0005_`BLA|F_x0005_`</t>
  </si>
  <si>
    <t>1.4</t>
  </si>
  <si>
    <t>다짐공</t>
  </si>
  <si>
    <t>D00389_1</t>
  </si>
  <si>
    <t>_x0007_`COD|D00389_x0005_`QTY1|1_x0005_`EXI|0_x0005_`IPR|0_x0005_`BLA|F_x0005_`</t>
  </si>
  <si>
    <t>D00047_1</t>
  </si>
  <si>
    <t>_x0007_`COD|D00047_x0005_`QTY1|1_x0005_`EXI|0_x0005_`IPR|0_x0005_`BLA|F_x0005_`</t>
  </si>
  <si>
    <t>D00080_1</t>
  </si>
  <si>
    <t>_x0007_`COD|D00080_x0005_`QTY1|1_x0005_`EXI|0_x0005_`IPR|0_x0005_`BLA|F_x0005_`</t>
  </si>
  <si>
    <t>3.</t>
  </si>
  <si>
    <t>사면피복공</t>
  </si>
  <si>
    <t>2.1</t>
  </si>
  <si>
    <t>노면보강</t>
  </si>
  <si>
    <t>B00217_1</t>
  </si>
  <si>
    <t>E3_1</t>
  </si>
  <si>
    <t>_x0007_`COD|B00217_x0005_`QTY1|1_x0005_`EXI|0_x0005_`IPR|0_x0005_`BLA|F_x0005_`</t>
  </si>
  <si>
    <t>B00228_1</t>
  </si>
  <si>
    <t>_x0007_`COD|B00228_x0005_`QTY1|1_x0005_`EXI|0_x0005_`IPR|0_x0005_`BLA|F_x0005_`</t>
  </si>
  <si>
    <t>D00092_1</t>
  </si>
  <si>
    <t>_x0007_`COD|D00092_x0005_`QTY1|1_x0005_`EXI|0_x0005_`IPR|0_x0005_`BLA|F_x0005_`</t>
  </si>
  <si>
    <t>B00111_1</t>
  </si>
  <si>
    <t>_x0007_`COD|B00111_x0005_`QTY1|1_x0005_`EXI|0_x0005_`IPR|0_x0005_`BLA|F_x0005_`</t>
  </si>
  <si>
    <t>D00390_1</t>
  </si>
  <si>
    <t>_x0007_`COD|D00390_x0005_`QTY1|1_x0005_`EXI|0_x0005_`IPR|0_x0005_`BLA|F_x0005_`</t>
  </si>
  <si>
    <t>B00632_1</t>
  </si>
  <si>
    <t>_x0007_`COD|B00632_x0005_`QTY1|1_x0005_`EXI|0_x0005_`IPR|0_x0005_`BLA|F_x0005_`</t>
  </si>
  <si>
    <t>2.2</t>
  </si>
  <si>
    <t>기슭막이</t>
  </si>
  <si>
    <t>B00595_1</t>
  </si>
  <si>
    <t>_x0007_`COD|B00595_x0005_`QTY1|1_x0005_`EXI|0_x0005_`IPR|0_x0005_`BLA|F_x0005_`</t>
  </si>
  <si>
    <t>B01148_1</t>
  </si>
  <si>
    <t>_x0007_`COD|B01148_x0005_`QTY1|1_x0005_`EXI|0_x0005_`IPR|0_x0005_`BLA|F_x0005_`</t>
  </si>
  <si>
    <t>2.3</t>
  </si>
  <si>
    <t>관매설</t>
  </si>
  <si>
    <t>B00065_1</t>
  </si>
  <si>
    <t>_x0007_`COD|B00065_x0005_`QTY1|1_x0005_`EXI|0_x0005_`IPR|0_x0005_`BLA|F_x0005_`</t>
  </si>
  <si>
    <t>B01147_1</t>
  </si>
  <si>
    <t>_x0007_`COD|B01147_x0005_`QTY1|1_x0005_`EXI|0_x0005_`IPR|0_x0005_`BLA|F_x0005_`</t>
  </si>
  <si>
    <t>2.4</t>
  </si>
  <si>
    <t>부대공사</t>
  </si>
  <si>
    <t>B00330_1</t>
  </si>
  <si>
    <t>_x0007_`COD|B00330_x0005_`QTY1|1_x0005_`EXI|0_x0005_`IPR|0_x0005_`BLA|F_x0005_`</t>
  </si>
  <si>
    <t>B00363_1</t>
  </si>
  <si>
    <t>_x0007_`COD|B00363_x0005_`QTY1|1_x0005_`EXI|0_x0005_`IPR|0_x0005_`BLA|F_x0005_`</t>
  </si>
  <si>
    <t>M00737_1</t>
  </si>
  <si>
    <t>_x0007_`COD|M00737_x0005_`QTY1|1_x0005_`EXI|0_x0005_`IPR|0_x0005_`KWN|0_x0005_`BLA|F_x0005_`</t>
  </si>
  <si>
    <t>운반공</t>
  </si>
  <si>
    <t>4.</t>
  </si>
  <si>
    <t>3.1</t>
  </si>
  <si>
    <t>떼공</t>
  </si>
  <si>
    <t>B00588_1</t>
  </si>
  <si>
    <t>_x0007_`COD|B00588_x0005_`QTY1|1_x0005_`EXI|0_x0005_`IPR|0_x0005_`BLA|F_x0005_`</t>
  </si>
  <si>
    <t>D00190_1</t>
  </si>
  <si>
    <t>_x0007_`COD|D00190_x0005_`QTY1|1_x0005_`EXI|0_x0005_`IPR|0_x0005_`BLA|F_x0005_`</t>
  </si>
  <si>
    <t>D00736_1</t>
  </si>
  <si>
    <t>_x0007_`COD|D00736_x0005_`QTY1|1_x0005_`EXI|0_x0005_`IPR|0_x0005_`BLA|F_x0005_`</t>
  </si>
  <si>
    <t>D00231_1</t>
  </si>
  <si>
    <t>_x0007_`COD|D00231_x0005_`QTY1|1_x0005_`EXI|0_x0005_`IPR|0_x0005_`BLA|F_x0005_`</t>
  </si>
  <si>
    <t>D00232_1</t>
  </si>
  <si>
    <t>_x0007_`COD|D00232_x0005_`QTY1|1_x0005_`EXI|0_x0005_`IPR|0_x0005_`BLA|F_x0005_`</t>
  </si>
  <si>
    <t>D00233_1</t>
  </si>
  <si>
    <t>_x0007_`COD|D00233_x0005_`QTY1|1_x0005_`EXI|0_x0005_`IPR|0_x0005_`BLA|F_x0005_`</t>
  </si>
  <si>
    <t>D00269_1</t>
  </si>
  <si>
    <t>_x0007_`COD|D00269_x0005_`QTY1|1_x0005_`EXI|0_x0005_`IPR|0_x0005_`BLA|F_x0005_`</t>
  </si>
  <si>
    <t>D00270_1</t>
  </si>
  <si>
    <t>_x0007_`COD|D00270_x0005_`QTY1|1_x0005_`EXI|0_x0005_`IPR|0_x0005_`BLA|F_x0005_`</t>
  </si>
  <si>
    <t>D00271_1</t>
  </si>
  <si>
    <t>_x0007_`COD|D00271_x0005_`QTY1|1_x0005_`EXI|0_x0005_`IPR|0_x0005_`BLA|F_x0005_`</t>
  </si>
  <si>
    <t>D00235_1</t>
  </si>
  <si>
    <t>_x0007_`COD|D00235_x0005_`QTY1|1_x0005_`EXI|0_x0005_`IPR|0_x0005_`BLA|F_x0005_`</t>
  </si>
  <si>
    <t>D00347_1</t>
  </si>
  <si>
    <t>_x0007_`COD|D00347_x0005_`QTY1|1_x0005_`EXI|0_x0005_`IPR|0_x0005_`BLA|F_x0005_`</t>
  </si>
  <si>
    <t>D00321_1</t>
  </si>
  <si>
    <t>_x0007_`COD|D00321_x0005_`QTY1|1_x0005_`EXI|0_x0005_`IPR|0_x0005_`BLA|F_x0005_`</t>
  </si>
  <si>
    <t>5.</t>
  </si>
  <si>
    <t>자재대</t>
  </si>
  <si>
    <t>M00918_1</t>
  </si>
  <si>
    <t>_x0007_`COD|M00918_x0005_`QTY1|1_x0005_`EXI|0_x0005_`IPR|0_x0005_`KWN|0_x0005_`BLA|F_x0005_`</t>
  </si>
  <si>
    <t>M00911_1</t>
  </si>
  <si>
    <t>_x0007_`COD|M00911_x0005_`QTY1|1_x0005_`EXI|0_x0005_`IPR|0_x0005_`KWN|0_x0005_`BLA|F_x0005_`</t>
  </si>
  <si>
    <t>M00912_1</t>
  </si>
  <si>
    <t>_x0007_`COD|M00912_x0005_`QTY1|1_x0005_`EXI|0_x0005_`IPR|0_x0005_`KWN|0_x0005_`BLA|F_x0005_`</t>
  </si>
  <si>
    <t>M00913_1</t>
  </si>
  <si>
    <t>_x0007_`COD|M00913_x0005_`QTY1|1_x0005_`EXI|0_x0005_`IPR|0_x0005_`KWN|0_x0005_`BLA|F_x0005_`</t>
  </si>
  <si>
    <t>M00299_1</t>
  </si>
  <si>
    <t>_x0007_`COD|M00299_x0005_`QTY1|1_x0005_`EXI|0_x0005_`IPR|0_x0005_`KWN|0_x0005_`BLA|F_x0005_`</t>
  </si>
  <si>
    <t>M00909_1</t>
  </si>
  <si>
    <t>_x0007_`COD|M00909_x0005_`QTY1|1_x0005_`EXI|0_x0005_`IPR|0_x0005_`KWN|0_x0005_`BLA|F_x0005_`</t>
  </si>
  <si>
    <t>6.</t>
  </si>
  <si>
    <t>관급자재대</t>
  </si>
  <si>
    <t>M00907_1</t>
  </si>
  <si>
    <t>_x0007_`COD|M00907_x0005_`QTY1|1_x0005_`EXI|0_x0005_`IPR|0_x0005_`KWN|0_x0005_`BLA|F_x0005_`</t>
  </si>
  <si>
    <t>M00908_1</t>
  </si>
  <si>
    <t>_x0007_`COD|M00908_x0005_`QTY1|1_x0005_`EXI|0_x0005_`IPR|0_x0005_`KWN|0_x0005_`BLA|F_x0005_`</t>
  </si>
  <si>
    <t>M00442_1</t>
  </si>
  <si>
    <t>_x0007_`COD|M00442_x0005_`QTY1|1_x0005_`EXI|0_x0005_`IPR|0_x0005_`KWN|0_x0005_`BLA|F_x0005_`</t>
  </si>
  <si>
    <t>M00444_1</t>
  </si>
  <si>
    <t>_x0007_`COD|M00444_x0005_`QTY1|1_x0005_`EXI|0_x0005_`IPR|0_x0005_`KWN|0_x0005_`BLA|F_x0005_`</t>
  </si>
  <si>
    <t>M00489_1</t>
  </si>
  <si>
    <t>_x0007_`COD|M00489_x0005_`QTY1|1_x0005_`EXI|0_x0005_`IPR|0_x0005_`KWN|0_x0005_`BLA|F_x0005_`</t>
  </si>
  <si>
    <t>M00095_1</t>
  </si>
  <si>
    <t>_x0007_`COD|M00095_x0005_`QTY1|1_x0005_`EXI|0_x0005_`IPR|0_x0005_`KWN|0_x0005_`BLA|F_x0005_`</t>
  </si>
  <si>
    <t>C4_1</t>
  </si>
  <si>
    <t xml:space="preserve">    가.</t>
  </si>
  <si>
    <t>순공사비계</t>
  </si>
  <si>
    <t xml:space="preserve"> 1. 간접노무비</t>
  </si>
  <si>
    <t>_x0007_`DTP|201_x0005_`QTY1|1_x0005_`BDC|_x0005_`SRE|LA_x0005_`</t>
  </si>
  <si>
    <t xml:space="preserve"> 2. 산재보험료</t>
  </si>
  <si>
    <t>_x0007_`DTP|301_x0005_`QTY1|1_x0005_`BDC|_x0005_`SRE|SA_x0005_`</t>
  </si>
  <si>
    <t xml:space="preserve"> 3. 고용보험료</t>
  </si>
  <si>
    <t>_x0007_`DTP|302_x0005_`QTY1|1_x0005_`BDC|_x0005_`SRE|SA_x0005_`</t>
  </si>
  <si>
    <t xml:space="preserve"> 4. 건강보험료</t>
  </si>
  <si>
    <t>_x0007_`DTP|303_x0005_`QTY1|1_x0005_`BDC|_x0005_`SRE|SA_x0005_`</t>
  </si>
  <si>
    <t xml:space="preserve"> 5. 노인장기요양보험료</t>
  </si>
  <si>
    <t>_x0007_`DTP|310_x0005_`QTY1|1_x0005_`BDC|_x0005_`SRE|SA_x0005_`</t>
  </si>
  <si>
    <t xml:space="preserve"> 6. 연금보험료</t>
  </si>
  <si>
    <t>_x0007_`DTP|304_x0005_`QTY1|1_x0005_`BDC|_x0005_`SRE|SA_x0005_`</t>
  </si>
  <si>
    <t xml:space="preserve"> 7. 퇴직공제부금비</t>
  </si>
  <si>
    <t>_x0007_`DTP|305_x0005_`QTY1|1_x0005_`BDC|_x0005_`SRE|SA_x0005_`</t>
  </si>
  <si>
    <t xml:space="preserve"> 8. 산업안전보건관리비</t>
  </si>
  <si>
    <t>A）관급재/1.1제외 적용</t>
  </si>
  <si>
    <t>_x0007_`DTP|306_x0005_`QTY1|1_x0005_`BDC|_x0005_`SRE|SA_x0005_`ANB|1_x0005_`</t>
  </si>
  <si>
    <t>수정은 아래의 연두색 부분에</t>
  </si>
  <si>
    <t xml:space="preserve"> 9. 기타경비</t>
  </si>
  <si>
    <t>_x0007_`DTP|321_x0005_`QTY1|1_x0005_`BDC|_x0005_`SRE|SA_x0005_`</t>
  </si>
  <si>
    <t>10. 환경보전비</t>
  </si>
  <si>
    <t>_x0007_`DTP|309_x0005_`QTY1|1_x0005_`BDC|_x0005_`SRE|SA_x0005_`</t>
  </si>
  <si>
    <t>11. 건설기계대여금지급보증서수수료</t>
  </si>
  <si>
    <t>_x0007_`DTP|311_x0005_`QTY1|1_x0005_`BDC|_x0005_`SRE|SA_x0005_`</t>
  </si>
  <si>
    <t>12. 석면피해구제분담금</t>
  </si>
  <si>
    <t>_x0007_`DTP|322_x0005_`QTY1|1_x0005_`BDC|_x0005_`SRE|SA_x0005_`</t>
  </si>
  <si>
    <t>13. 임금채권부담금</t>
  </si>
  <si>
    <t>_x0007_`DTP|323_x0005_`QTY1|1_x0005_`BDC|_x0005_`SRE|SA_x0005_`</t>
  </si>
  <si>
    <t xml:space="preserve">    나.</t>
  </si>
  <si>
    <t xml:space="preserve">    소   계</t>
  </si>
  <si>
    <t>_x0007_`DTP|400_x0005_`QTY1|1_x0005_`BDC|_x0005_`SRE|TA-F_x0005_`</t>
  </si>
  <si>
    <t>14. 일반관리비</t>
  </si>
  <si>
    <t>_x0007_`DTP|401_x0005_`QTY1|1_x0005_`BDC|_x0005_`SRE|TA_x0005_`</t>
  </si>
  <si>
    <t xml:space="preserve">    다.</t>
  </si>
  <si>
    <t>_x0007_`DTP|410_x0005_`QTY1|1_x0005_`BDC|_x0005_`SRE|TA-F_x0005_`</t>
  </si>
  <si>
    <t>15. 이   윤</t>
  </si>
  <si>
    <t>_x0007_`DTP|402_x0005_`QTY1|1_x0005_`BDC|_x0005_`SRE|TA_x0005_`</t>
  </si>
  <si>
    <t xml:space="preserve">    라.</t>
  </si>
  <si>
    <t xml:space="preserve">    공급가액</t>
  </si>
  <si>
    <t>_x0007_`DTP|500_x0005_`QTY1|1_x0005_`BDC|_x0005_`SRE|TA-F_x0005_`</t>
  </si>
  <si>
    <t>16. 부가가치세</t>
  </si>
  <si>
    <t>_x0007_`DTP|502_x0005_`QTY1|1_x0005_`BDC|_x0005_`SRE|TA_x0005_`</t>
  </si>
  <si>
    <t xml:space="preserve">    마.</t>
  </si>
  <si>
    <t xml:space="preserve">    도급공사비</t>
  </si>
  <si>
    <t>_x0007_`DTP|600_x0005_`QTY1|1_x0005_`BDC|_x0005_`SRE|TA-F_x0005_`</t>
  </si>
  <si>
    <t>17. 관급자재대(도급자설치)</t>
  </si>
  <si>
    <t>_x0007_`DTP|653_x0005_`QTY1|1_x0005_`BDC|_x0005_`SRE|TA-3_x0005_`</t>
  </si>
  <si>
    <t xml:space="preserve">    바.</t>
  </si>
  <si>
    <t xml:space="preserve">    총공사비</t>
  </si>
  <si>
    <t>_x0007_`DTP|700_x0005_`QTY1|1_x0005_`BDC|_x0005_`SRE|TA-F_x0005_`</t>
  </si>
  <si>
    <t>공 사 원 가 계 산 서</t>
  </si>
  <si>
    <t xml:space="preserve">    비    목</t>
  </si>
  <si>
    <t xml:space="preserve">구    분    </t>
  </si>
  <si>
    <t>구 성 비</t>
  </si>
  <si>
    <t>비    고</t>
  </si>
  <si>
    <t>직  접  재  료  비</t>
  </si>
  <si>
    <t>간  접  재  료  비</t>
  </si>
  <si>
    <t>작업설,부산물등(△)</t>
  </si>
  <si>
    <t>소              계</t>
  </si>
  <si>
    <t>직  접  노  무  비</t>
  </si>
  <si>
    <t>간  접  노  무  비</t>
  </si>
  <si>
    <t>산   출    경   비</t>
  </si>
  <si>
    <t>산  재  보  험  료</t>
  </si>
  <si>
    <t>고  용  보  험  료</t>
  </si>
  <si>
    <t>건  강  보  험  료</t>
  </si>
  <si>
    <t>노인장기요양보험료</t>
  </si>
  <si>
    <t>연  금  보  험  료</t>
  </si>
  <si>
    <t>퇴 직 공 제 부 금 비</t>
  </si>
  <si>
    <t>산업안전보건관리비</t>
  </si>
  <si>
    <t>기   타    경   비</t>
  </si>
  <si>
    <t>환  경  보  전  비</t>
  </si>
  <si>
    <t>건설기계대여금지급보증서수수료</t>
  </si>
  <si>
    <t>석면피해구제분담금</t>
  </si>
  <si>
    <t>임 금 채 권 부 담 금</t>
  </si>
  <si>
    <t>일   반   관   리   비</t>
  </si>
  <si>
    <t>이                  윤</t>
  </si>
  <si>
    <t>총        원        가</t>
  </si>
  <si>
    <t>부   가   가   치   세</t>
  </si>
  <si>
    <t>도   급   공   사   비</t>
  </si>
  <si>
    <t>관급자재대(도급자설치)</t>
  </si>
  <si>
    <t>총     공     사     비</t>
  </si>
  <si>
    <t>순 공 사 원 가</t>
  </si>
  <si>
    <t>경    비</t>
  </si>
  <si>
    <t>QTY</t>
  </si>
  <si>
    <t>목    차</t>
  </si>
  <si>
    <t>1. ※※안내※※</t>
  </si>
  <si>
    <t>2. 공사원가계산서</t>
  </si>
  <si>
    <t>3. 총괄설계내역서</t>
  </si>
  <si>
    <t>4. 설계내역서</t>
  </si>
  <si>
    <t>5. 일위대가목록표</t>
  </si>
  <si>
    <t>6. 일위대가표</t>
  </si>
  <si>
    <t>7. 단가산출근거목록표</t>
  </si>
  <si>
    <t>8. 단가산출근거</t>
  </si>
  <si>
    <t>9. 환율및기초자료</t>
  </si>
  <si>
    <t>10. 기계경비목록표</t>
  </si>
  <si>
    <t>11. 기계경비산출조서</t>
  </si>
  <si>
    <t>12. 재료비단가표</t>
  </si>
  <si>
    <t>13. 노무비단가표</t>
  </si>
  <si>
    <t>14. 경비단가표</t>
  </si>
  <si>
    <t>15. 재료비수량금액집계표</t>
  </si>
  <si>
    <t>16. 노무비수량금액집계표</t>
  </si>
  <si>
    <t>17. 경비수량금액집계표</t>
  </si>
  <si>
    <t>18. 기계경비시간금액집계표</t>
  </si>
  <si>
    <t>19. 재료비단가대비표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</si>
  <si>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</si>
  <si>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</si>
  <si>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</si>
  <si>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</si>
  <si>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</si>
  <si>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</si>
  <si>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</si>
  <si>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</si>
  <si>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</si>
  <si>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</si>
  <si>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</si>
  <si>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</si>
  <si>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</si>
  <si>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</si>
  <si>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</si>
  <si>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</si>
  <si>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</si>
  <si>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</si>
  <si>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</si>
  <si>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</si>
  <si>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</si>
  <si>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</si>
  <si>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</si>
  <si>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</si>
  <si>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</si>
  <si>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</si>
  <si>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</si>
  <si>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</si>
  <si>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</si>
  <si>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</si>
  <si>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</si>
  <si>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</si>
  <si>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</si>
  <si>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</si>
  <si>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</si>
  <si>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</si>
  <si>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</si>
  <si>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</si>
  <si>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</si>
  <si>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</si>
  <si>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</si>
  <si>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</si>
  <si>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</si>
  <si>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</si>
  <si>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26.09</t>
  </si>
  <si>
    <t>PNAME</t>
  </si>
  <si>
    <t>2026년도 간선임도사업(경산 남천 송백 ~ 남천 하도1)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</si>
  <si>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</si>
  <si>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</si>
  <si>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</si>
  <si>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</si>
  <si>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</si>
  <si>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</si>
  <si>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</si>
  <si>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</si>
  <si>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</si>
  <si>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</si>
  <si>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</si>
  <si>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EXRNM</t>
  </si>
  <si>
    <t>False</t>
  </si>
  <si>
    <t>RXNM_</t>
  </si>
  <si>
    <t>1/8*16/12*25/20</t>
  </si>
  <si>
    <t>COND_</t>
  </si>
  <si>
    <t>L00018L00019L00020L00021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</si>
  <si>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</si>
  <si>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</si>
  <si>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</si>
  <si>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</si>
  <si>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</si>
  <si>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</si>
  <si>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</si>
  <si>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</si>
  <si>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</si>
  <si>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</si>
  <si>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</si>
  <si>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</si>
  <si>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</si>
  <si>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SUBNM</t>
  </si>
  <si>
    <t>[인쇄정보]</t>
  </si>
  <si>
    <t>BMSTR</t>
  </si>
  <si>
    <t>BMKNM</t>
  </si>
  <si>
    <t>TLMS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</si>
  <si>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</si>
  <si>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</si>
  <si>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</si>
  <si>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</si>
  <si>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</si>
  <si>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</si>
  <si>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</si>
  <si>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</si>
  <si>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</si>
  <si>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</si>
  <si>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</si>
  <si>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</si>
  <si>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</si>
  <si>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</si>
  <si>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</si>
  <si>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</si>
  <si>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</si>
  <si>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</si>
  <si>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</si>
  <si>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</si>
  <si>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</si>
  <si>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</si>
  <si>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</si>
  <si>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</si>
  <si>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</si>
  <si>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</si>
  <si>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w26.10</t>
  </si>
  <si>
    <t>PREP_COP</t>
  </si>
  <si>
    <t>위드산림엔지니어링 #02</t>
  </si>
  <si>
    <t>PREP_DATE</t>
  </si>
  <si>
    <t>2026-10-13 19:59</t>
  </si>
  <si>
    <t>[.끝.]</t>
  </si>
  <si>
    <t>※ 본 엑셀자료는 【STmate w26.09】버전 이상에서 STmate 자료로 다시 등록할 수 있습니다.</t>
  </si>
  <si>
    <t xml:space="preserve">   단, 임의로 수정한 내용(Sheet삭제, 산근내용변경, 기타계산식변경..)은 반영되지 않을 수 있습니다.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</si>
</sst>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"/>
    <numFmt numFmtId="177" formatCode="#,##0.#######;\-#,##0.#######;#"/>
    <numFmt numFmtId="183" formatCode="#,##0;\-#,##0;#"/>
    <numFmt numFmtId="185" formatCode="#,##0.#######"/>
    <numFmt numFmtId="186" formatCode="#,##0.####;\-#,##0.####;#"/>
    <numFmt numFmtId="187" formatCode="#,##0.###;\-#,##0.###;#"/>
    <numFmt numFmtId="188" formatCode="#,##0.######;\-#,##0.######;#"/>
    <numFmt numFmtId="189" formatCode="0.000\ &quot;%&quot;;;#"/>
  </numFmts>
  <fonts count="17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12"/>
      <color indexed="12"/>
      <name val="굴림체"/>
      <family val="3"/>
      <charset val="129"/>
    </font>
    <font>
      <sz val="20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5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176" fontId="2" fillId="0" borderId="0" xfId="0" applyNumberFormat="1" applyFont="1" applyAlignment="1">
      <alignment horizontal="right" vertical="center" shrinkToFit="1"/>
    </xf>
    <xf numFmtId="49" fontId="9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9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186" fontId="2" fillId="0" borderId="5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188" fontId="2" fillId="0" borderId="5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3" fontId="2" fillId="0" borderId="4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shrinkToFit="1"/>
    </xf>
    <xf numFmtId="183" fontId="2" fillId="0" borderId="3" xfId="0" applyNumberFormat="1" applyFont="1" applyBorder="1" applyAlignment="1">
      <alignment horizontal="right" vertical="center" shrinkToFit="1"/>
    </xf>
    <xf numFmtId="183" fontId="2" fillId="0" borderId="0" xfId="0" applyNumberFormat="1" applyFont="1" applyAlignment="1">
      <alignment horizontal="right" vertical="center" shrinkToFit="1"/>
    </xf>
    <xf numFmtId="0" fontId="0" fillId="0" borderId="3" xfId="0" applyBorder="1" applyAlignment="1">
      <alignment shrinkToFit="1"/>
    </xf>
    <xf numFmtId="188" fontId="2" fillId="0" borderId="4" xfId="0" applyNumberFormat="1" applyFont="1" applyBorder="1" applyAlignment="1">
      <alignment horizontal="right" vertical="center" shrinkToFit="1"/>
    </xf>
    <xf numFmtId="187" fontId="2" fillId="0" borderId="5" xfId="0" applyNumberFormat="1" applyFont="1" applyBorder="1" applyAlignment="1">
      <alignment horizontal="right" vertical="center" shrinkToFit="1"/>
    </xf>
    <xf numFmtId="188" fontId="2" fillId="0" borderId="3" xfId="0" applyNumberFormat="1" applyFont="1" applyBorder="1" applyAlignment="1">
      <alignment horizontal="right" vertical="center" shrinkToFit="1"/>
    </xf>
    <xf numFmtId="183" fontId="2" fillId="0" borderId="2" xfId="0" applyNumberFormat="1" applyFont="1" applyBorder="1" applyAlignment="1">
      <alignment horizontal="right" vertical="center" shrinkToFit="1"/>
    </xf>
    <xf numFmtId="188" fontId="2" fillId="0" borderId="2" xfId="0" applyNumberFormat="1" applyFont="1" applyBorder="1" applyAlignment="1">
      <alignment horizontal="right" vertical="center" shrinkToFit="1"/>
    </xf>
    <xf numFmtId="187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183" fontId="2" fillId="0" borderId="5" xfId="0" applyNumberFormat="1" applyFont="1" applyBorder="1" applyAlignment="1">
      <alignment horizontal="right" vertical="center" shrinkToFit="1"/>
    </xf>
    <xf numFmtId="176" fontId="2" fillId="3" borderId="0" xfId="0" applyNumberFormat="1" applyFont="1" applyFill="1" applyAlignment="1">
      <alignment horizontal="right" vertical="center" shrinkToFit="1"/>
    </xf>
    <xf numFmtId="185" fontId="2" fillId="3" borderId="0" xfId="0" applyNumberFormat="1" applyFont="1" applyFill="1" applyAlignment="1">
      <alignment horizontal="right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183" fontId="2" fillId="0" borderId="9" xfId="0" applyNumberFormat="1" applyFont="1" applyBorder="1" applyAlignment="1">
      <alignment horizontal="right" vertical="center" shrinkToFit="1"/>
    </xf>
    <xf numFmtId="176" fontId="2" fillId="0" borderId="9" xfId="0" applyNumberFormat="1" applyFont="1" applyBorder="1" applyAlignment="1">
      <alignment horizontal="right" vertical="center" shrinkToFit="1"/>
    </xf>
    <xf numFmtId="183" fontId="2" fillId="0" borderId="6" xfId="0" applyNumberFormat="1" applyFont="1" applyBorder="1" applyAlignment="1">
      <alignment horizontal="right" vertical="center" shrinkToFit="1"/>
    </xf>
    <xf numFmtId="189" fontId="2" fillId="0" borderId="9" xfId="0" applyNumberFormat="1" applyFont="1" applyBorder="1" applyAlignment="1">
      <alignment horizontal="right" vertical="center" shrinkToFit="1"/>
    </xf>
    <xf numFmtId="189" fontId="2" fillId="0" borderId="6" xfId="0" applyNumberFormat="1" applyFont="1" applyBorder="1" applyAlignment="1">
      <alignment horizontal="right" vertical="center" shrinkToFit="1"/>
    </xf>
    <xf numFmtId="189" fontId="2" fillId="0" borderId="5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right" vertical="center" shrinkToFit="1"/>
    </xf>
    <xf numFmtId="49" fontId="2" fillId="0" borderId="9" xfId="0" applyNumberFormat="1" applyFont="1" applyBorder="1" applyAlignment="1">
      <alignment horizontal="left" vertical="center" shrinkToFit="1"/>
    </xf>
    <xf numFmtId="0" fontId="0" fillId="0" borderId="9" xfId="0" applyBorder="1" applyAlignment="1">
      <alignment shrinkToFit="1"/>
    </xf>
    <xf numFmtId="49" fontId="2" fillId="0" borderId="6" xfId="0" applyNumberFormat="1" applyFont="1" applyBorder="1" applyAlignment="1">
      <alignment horizontal="left" vertical="center" shrinkToFit="1"/>
    </xf>
    <xf numFmtId="177" fontId="2" fillId="0" borderId="9" xfId="0" applyNumberFormat="1" applyFont="1" applyBorder="1" applyAlignment="1">
      <alignment horizontal="left" vertical="center" shrinkToFit="1"/>
    </xf>
    <xf numFmtId="177" fontId="2" fillId="0" borderId="9" xfId="0" applyNumberFormat="1" applyFont="1" applyBorder="1" applyAlignment="1">
      <alignment horizontal="left" vertical="center" wrapText="1" justifyLastLine="1" shrinkToFit="1"/>
    </xf>
    <xf numFmtId="177" fontId="2" fillId="0" borderId="3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left" vertical="center"/>
    </xf>
    <xf numFmtId="0" fontId="0" fillId="0" borderId="0" xfId="0" applyAlignment="1" applyProtection="1">
      <alignment shrinkToFit="1"/>
      <protection hidden="1"/>
    </xf>
    <xf numFmtId="49" fontId="2" fillId="4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11" fillId="0" borderId="0" xfId="0" applyFont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0" fontId="0" fillId="0" borderId="0" xfId="0"/>
    <xf numFmtId="49" fontId="2" fillId="0" borderId="1" xfId="0" applyNumberFormat="1" applyFont="1" applyBorder="1" applyAlignment="1">
      <alignment horizontal="distributed" vertical="center" indent="2" shrinkToFit="1"/>
    </xf>
    <xf numFmtId="0" fontId="0" fillId="0" borderId="7" xfId="0" applyBorder="1" applyAlignment="1">
      <alignment horizontal="distributed" indent="2"/>
    </xf>
    <xf numFmtId="0" fontId="0" fillId="0" borderId="10" xfId="0" applyBorder="1" applyAlignment="1">
      <alignment horizontal="distributed" indent="2"/>
    </xf>
    <xf numFmtId="49" fontId="1" fillId="0" borderId="0" xfId="0" applyNumberFormat="1" applyFont="1" applyAlignment="1">
      <alignment horizontal="center" vertical="center" shrinkToFit="1"/>
    </xf>
    <xf numFmtId="49" fontId="2" fillId="0" borderId="8" xfId="0" applyNumberFormat="1" applyFont="1" applyBorder="1" applyAlignment="1">
      <alignment horizontal="right" vertical="center" shrinkToFit="1"/>
    </xf>
    <xf numFmtId="0" fontId="0" fillId="0" borderId="8" xfId="0" applyBorder="1"/>
    <xf numFmtId="49" fontId="2" fillId="0" borderId="6" xfId="0" applyNumberFormat="1" applyFont="1" applyBorder="1" applyAlignment="1">
      <alignment horizontal="center" vertical="center" shrinkToFit="1"/>
    </xf>
    <xf numFmtId="0" fontId="0" fillId="0" borderId="6" xfId="0" applyBorder="1"/>
    <xf numFmtId="49" fontId="2" fillId="0" borderId="3" xfId="0" applyNumberFormat="1" applyFont="1" applyBorder="1" applyAlignment="1">
      <alignment horizontal="left" vertical="center" shrinkToFit="1"/>
    </xf>
    <xf numFmtId="0" fontId="0" fillId="0" borderId="3" xfId="0" applyBorder="1"/>
    <xf numFmtId="49" fontId="2" fillId="0" borderId="9" xfId="0" applyNumberFormat="1" applyFont="1" applyBorder="1" applyAlignment="1">
      <alignment horizontal="center" vertical="center" textRotation="255" shrinkToFit="1"/>
    </xf>
    <xf numFmtId="0" fontId="0" fillId="0" borderId="9" xfId="0" applyBorder="1"/>
    <xf numFmtId="49" fontId="9" fillId="0" borderId="1" xfId="0" applyNumberFormat="1" applyFont="1" applyBorder="1" applyAlignment="1">
      <alignment horizontal="distributed" vertical="center" indent="2" shrinkToFit="1"/>
    </xf>
    <xf numFmtId="177" fontId="2" fillId="0" borderId="5" xfId="0" applyNumberFormat="1" applyFont="1" applyBorder="1" applyAlignment="1">
      <alignment horizontal="left" vertical="center" shrinkToFit="1"/>
    </xf>
    <xf numFmtId="0" fontId="0" fillId="0" borderId="5" xfId="0" applyBorder="1"/>
    <xf numFmtId="0" fontId="0" fillId="0" borderId="4" xfId="0" applyBorder="1"/>
    <xf numFmtId="49" fontId="10" fillId="2" borderId="0" xfId="0" applyNumberFormat="1" applyFont="1" applyFill="1" applyAlignment="1">
      <alignment horizontal="center" vertical="center" shrinkToFit="1"/>
    </xf>
    <xf numFmtId="177" fontId="2" fillId="0" borderId="5" xfId="0" applyNumberFormat="1" applyFont="1" applyBorder="1" applyAlignment="1">
      <alignment horizontal="left" vertical="center" wrapText="1" justifyLastLine="1" shrinkToFit="1"/>
    </xf>
    <xf numFmtId="49" fontId="2" fillId="0" borderId="5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49" fontId="13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2">
    <dxf>
      <numFmt numFmtId="176" formatCode="#,###"/>
    </dxf>
    <dxf>
      <numFmt numFmtId="176" formatCode="#,###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0" y="504825"/>
          <a:ext cx="2514600" cy="381000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tma.co.kr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stma.co.kr/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stma.co.kr/" TargetMode="Externa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B1:D22"/>
  <sheetViews>
    <sheetView workbookViewId="0"/>
  </sheetViews>
  <sheetFormatPr defaultRowHeight="16.5" x14ac:dyDescent="0.3"/>
  <cols>
    <col min="2" max="2" width="27.625" customWidth="1"/>
    <col min="4" max="4" width="25.625" customWidth="1"/>
  </cols>
  <sheetData>
    <row r="1" spans="2:4" ht="24.95" customHeight="1" x14ac:dyDescent="0.3">
      <c r="D1" s="75" t="str">
        <f ca="1">IF('〓 INITIAL 〓'!C4,"※※ 기본정보의 일부가 삭제되어 Stmate로 변환할 수 없습니다 ※※","")</f>
        <v>※※ 기본정보의 일부가 삭제되어 Stmate로 변환할 수 없습니다 ※※</v>
      </c>
    </row>
    <row r="2" spans="2:4" ht="16.5" customHeight="1" x14ac:dyDescent="0.3">
      <c r="B2" s="64" t="s">
        <v>373</v>
      </c>
      <c r="D2" s="76" t="s">
        <v>507</v>
      </c>
    </row>
    <row r="3" spans="2:4" ht="16.5" customHeight="1" x14ac:dyDescent="0.3">
      <c r="D3" s="76" t="s">
        <v>508</v>
      </c>
    </row>
    <row r="4" spans="2:4" ht="16.5" customHeight="1" x14ac:dyDescent="0.3">
      <c r="B4" s="19" t="s">
        <v>374</v>
      </c>
      <c r="D4" s="2" t="str">
        <f>HYPERLINK("#'※※안내※※'!A1","※※안내※※ →")</f>
        <v>※※안내※※ →</v>
      </c>
    </row>
    <row r="5" spans="2:4" ht="16.5" customHeight="1" x14ac:dyDescent="0.3">
      <c r="B5" s="19" t="s">
        <v>375</v>
      </c>
      <c r="D5" s="2" t="str">
        <f ca="1">HYPERLINK("#"&amp;공사원가계산서!G2&amp;"!A1","공사원가계산서 →")</f>
        <v>공사원가계산서 →</v>
      </c>
    </row>
    <row r="6" spans="2:4" ht="16.5" customHeight="1" x14ac:dyDescent="0.3">
      <c r="B6" s="19" t="s">
        <v>376</v>
      </c>
      <c r="D6" s="2" t="str">
        <f ca="1">HYPERLINK("#"&amp;총괄설계내역서!H2&amp;"!A1","총괄설계내역서 →")</f>
        <v>총괄설계내역서 →</v>
      </c>
    </row>
    <row r="7" spans="2:4" ht="16.5" customHeight="1" x14ac:dyDescent="0.3">
      <c r="B7" s="19" t="s">
        <v>377</v>
      </c>
      <c r="D7" s="2" t="str">
        <f ca="1">HYPERLINK("#"&amp;설계내역서!O2&amp;"!A1","설계내역서 →")</f>
        <v>설계내역서 →</v>
      </c>
    </row>
    <row r="8" spans="2:4" ht="16.5" customHeight="1" x14ac:dyDescent="0.3">
      <c r="B8" s="19" t="s">
        <v>378</v>
      </c>
      <c r="D8" s="2" t="e">
        <f>HYPERLINK("#"&amp;#REF!&amp;"!A1","일위대가목록표 →")</f>
        <v>#REF!</v>
      </c>
    </row>
    <row r="9" spans="2:4" ht="16.5" customHeight="1" x14ac:dyDescent="0.3">
      <c r="B9" s="19" t="s">
        <v>379</v>
      </c>
      <c r="D9" s="2" t="e">
        <f>HYPERLINK("#"&amp;#REF!&amp;"!A1","일위대가표 →")</f>
        <v>#REF!</v>
      </c>
    </row>
    <row r="10" spans="2:4" ht="16.5" customHeight="1" x14ac:dyDescent="0.3">
      <c r="B10" s="19" t="s">
        <v>380</v>
      </c>
      <c r="D10" s="2" t="e">
        <f>HYPERLINK("#"&amp;#REF!&amp;"!A1","단가산출근거목록표 →")</f>
        <v>#REF!</v>
      </c>
    </row>
    <row r="11" spans="2:4" ht="16.5" customHeight="1" x14ac:dyDescent="0.3">
      <c r="B11" s="19" t="s">
        <v>381</v>
      </c>
      <c r="D11" s="2" t="e">
        <f>HYPERLINK("#"&amp;#REF!&amp;"!A1","단가산출근거 →")</f>
        <v>#REF!</v>
      </c>
    </row>
    <row r="12" spans="2:4" ht="16.5" customHeight="1" x14ac:dyDescent="0.3">
      <c r="B12" s="19" t="s">
        <v>382</v>
      </c>
      <c r="D12" s="2" t="e">
        <f>HYPERLINK("#"&amp;#REF!&amp;"!A1","환율및기초자료 →")</f>
        <v>#REF!</v>
      </c>
    </row>
    <row r="13" spans="2:4" ht="16.5" customHeight="1" x14ac:dyDescent="0.3">
      <c r="B13" s="19" t="s">
        <v>383</v>
      </c>
      <c r="D13" s="2" t="e">
        <f>HYPERLINK("#"&amp;#REF!&amp;"!A1","기계경비목록표 →")</f>
        <v>#REF!</v>
      </c>
    </row>
    <row r="14" spans="2:4" ht="16.5" customHeight="1" x14ac:dyDescent="0.3">
      <c r="B14" s="19" t="s">
        <v>384</v>
      </c>
      <c r="D14" s="2" t="e">
        <f>HYPERLINK("#"&amp;#REF!&amp;"!A1","기계경비산출조서 →")</f>
        <v>#REF!</v>
      </c>
    </row>
    <row r="15" spans="2:4" ht="16.5" customHeight="1" x14ac:dyDescent="0.3">
      <c r="B15" s="19" t="s">
        <v>385</v>
      </c>
      <c r="D15" s="2" t="e">
        <f>HYPERLINK("#"&amp;#REF!&amp;"!A1","재료비단가표 →")</f>
        <v>#REF!</v>
      </c>
    </row>
    <row r="16" spans="2:4" ht="16.5" customHeight="1" x14ac:dyDescent="0.3">
      <c r="B16" s="19" t="s">
        <v>386</v>
      </c>
      <c r="D16" s="2" t="e">
        <f>HYPERLINK("#"&amp;#REF!&amp;"!A1","노무비단가표 →")</f>
        <v>#REF!</v>
      </c>
    </row>
    <row r="17" spans="2:4" ht="16.5" customHeight="1" x14ac:dyDescent="0.3">
      <c r="B17" s="19" t="s">
        <v>387</v>
      </c>
      <c r="D17" s="2" t="e">
        <f>HYPERLINK("#"&amp;#REF!&amp;"!A1","경비단가표 →")</f>
        <v>#REF!</v>
      </c>
    </row>
    <row r="18" spans="2:4" ht="16.5" customHeight="1" x14ac:dyDescent="0.3">
      <c r="B18" s="19" t="s">
        <v>388</v>
      </c>
      <c r="D18" s="2" t="e">
        <f>HYPERLINK("#"&amp;#REF!&amp;"!A1","재료비수량금액집계표 →")</f>
        <v>#REF!</v>
      </c>
    </row>
    <row r="19" spans="2:4" ht="16.5" customHeight="1" x14ac:dyDescent="0.3">
      <c r="B19" s="19" t="s">
        <v>389</v>
      </c>
      <c r="D19" s="2" t="e">
        <f>HYPERLINK("#"&amp;#REF!&amp;"!A1","노무비수량금액집계표 →")</f>
        <v>#REF!</v>
      </c>
    </row>
    <row r="20" spans="2:4" ht="16.5" customHeight="1" x14ac:dyDescent="0.3">
      <c r="B20" s="19" t="s">
        <v>390</v>
      </c>
      <c r="D20" s="2" t="e">
        <f>HYPERLINK("#"&amp;#REF!&amp;"!A1","경비수량금액집계표 →")</f>
        <v>#REF!</v>
      </c>
    </row>
    <row r="21" spans="2:4" ht="16.5" customHeight="1" x14ac:dyDescent="0.3">
      <c r="B21" s="19" t="s">
        <v>391</v>
      </c>
      <c r="D21" s="2" t="e">
        <f>HYPERLINK("#"&amp;#REF!&amp;"!A1","기계경비시간금액집계표 →")</f>
        <v>#REF!</v>
      </c>
    </row>
    <row r="22" spans="2:4" ht="16.5" customHeight="1" x14ac:dyDescent="0.3">
      <c r="B22" s="19" t="s">
        <v>392</v>
      </c>
      <c r="D22" s="2" t="e">
        <f>HYPERLINK("#"&amp;#REF!&amp;"!A1","재료비단가대비표 →")</f>
        <v>#REF!</v>
      </c>
    </row>
  </sheetData>
  <phoneticPr fontId="16" type="noConversion"/>
  <printOptions horizontalCentered="1"/>
  <pageMargins left="0.78740157480314965" right="0.78740157480314965" top="0.59055118110236215" bottom="0.55118110236220474" header="0" footer="0.35433070866141736"/>
  <pageSetup paperSize="9" fitToWidth="0" fitToHeight="0" orientation="landscape" r:id="rId1"/>
  <headerFooter alignWithMargins="0">
    <oddFooter xml:space="preserve">&amp;R&amp;"굴림체,"&amp;9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2"/>
  <sheetViews>
    <sheetView tabSelected="1" workbookViewId="0">
      <pane ySplit="4" topLeftCell="A5" activePane="bottomLeft" state="frozenSplit"/>
      <selection pane="bottomLeft" activeCell="M17" sqref="M17"/>
    </sheetView>
  </sheetViews>
  <sheetFormatPr defaultColWidth="9.125" defaultRowHeight="16.5" x14ac:dyDescent="0.3"/>
  <cols>
    <col min="1" max="2" width="4.75" style="4" customWidth="1"/>
    <col min="3" max="3" width="23.5" style="4" customWidth="1"/>
    <col min="4" max="4" width="11.5" style="4" customWidth="1"/>
    <col min="5" max="5" width="8.5" style="4" customWidth="1"/>
    <col min="6" max="6" width="49.75" style="4" customWidth="1"/>
    <col min="7" max="7" width="9.125" style="4" hidden="1" customWidth="1"/>
    <col min="8" max="16384" width="9.125" style="4"/>
  </cols>
  <sheetData>
    <row r="1" spans="1:7" ht="24.95" customHeight="1" x14ac:dyDescent="0.3">
      <c r="A1" s="81" t="s">
        <v>339</v>
      </c>
      <c r="B1" s="77"/>
      <c r="C1" s="77"/>
      <c r="D1" s="77"/>
      <c r="E1" s="77"/>
      <c r="F1" s="77"/>
      <c r="G1" s="3" t="s">
        <v>43</v>
      </c>
    </row>
    <row r="2" spans="1:7" ht="15.2" customHeight="1" x14ac:dyDescent="0.3">
      <c r="A2" s="1" t="s">
        <v>0</v>
      </c>
      <c r="F2" s="57"/>
      <c r="G2" s="16" t="str">
        <f ca="1">MID(CELL("filename",$A$1),FIND("]",CELL("filename",$A$1))+1,LEN(CELL("filename",$A$1)))</f>
        <v>공사원가계산서</v>
      </c>
    </row>
    <row r="3" spans="1:7" ht="15.2" customHeight="1" x14ac:dyDescent="0.3">
      <c r="A3" s="82" t="s">
        <v>341</v>
      </c>
      <c r="B3" s="83"/>
      <c r="C3" s="83"/>
      <c r="D3" s="84" t="s">
        <v>134</v>
      </c>
      <c r="E3" s="84" t="s">
        <v>342</v>
      </c>
      <c r="F3" s="84" t="s">
        <v>343</v>
      </c>
    </row>
    <row r="4" spans="1:7" ht="15.2" customHeight="1" x14ac:dyDescent="0.3">
      <c r="A4" s="86" t="s">
        <v>340</v>
      </c>
      <c r="B4" s="87"/>
      <c r="C4" s="87"/>
      <c r="D4" s="85"/>
      <c r="E4" s="85"/>
      <c r="F4" s="85"/>
    </row>
    <row r="5" spans="1:7" ht="15.2" customHeight="1" x14ac:dyDescent="0.3">
      <c r="A5" s="88" t="s">
        <v>370</v>
      </c>
      <c r="B5" s="88" t="s">
        <v>7</v>
      </c>
      <c r="C5" s="49" t="s">
        <v>344</v>
      </c>
      <c r="D5" s="51"/>
      <c r="E5" s="54"/>
      <c r="F5" s="58"/>
    </row>
    <row r="6" spans="1:7" ht="15.2" customHeight="1" x14ac:dyDescent="0.3">
      <c r="A6" s="89"/>
      <c r="B6" s="89"/>
      <c r="C6" s="49" t="s">
        <v>345</v>
      </c>
      <c r="D6" s="52"/>
      <c r="E6" s="54"/>
      <c r="F6" s="59"/>
    </row>
    <row r="7" spans="1:7" ht="15.2" customHeight="1" x14ac:dyDescent="0.3">
      <c r="A7" s="89"/>
      <c r="B7" s="89"/>
      <c r="C7" s="49" t="s">
        <v>346</v>
      </c>
      <c r="D7" s="52"/>
      <c r="E7" s="54"/>
      <c r="F7" s="59"/>
    </row>
    <row r="8" spans="1:7" ht="15.2" customHeight="1" x14ac:dyDescent="0.3">
      <c r="A8" s="89"/>
      <c r="B8" s="87"/>
      <c r="C8" s="12" t="s">
        <v>347</v>
      </c>
      <c r="D8" s="53"/>
      <c r="E8" s="55"/>
      <c r="F8" s="60"/>
    </row>
    <row r="9" spans="1:7" ht="15.2" customHeight="1" x14ac:dyDescent="0.3">
      <c r="A9" s="89"/>
      <c r="B9" s="88" t="s">
        <v>6</v>
      </c>
      <c r="C9" s="49" t="s">
        <v>348</v>
      </c>
      <c r="D9" s="51"/>
      <c r="E9" s="54"/>
      <c r="F9" s="58"/>
    </row>
    <row r="10" spans="1:7" ht="15.2" customHeight="1" x14ac:dyDescent="0.3">
      <c r="A10" s="89"/>
      <c r="B10" s="89"/>
      <c r="C10" s="49" t="s">
        <v>349</v>
      </c>
      <c r="D10" s="51"/>
      <c r="E10" s="54"/>
      <c r="F10" s="61" t="str">
        <f>총괄설계내역서!E17</f>
        <v>직접노무비 x 19.1%</v>
      </c>
    </row>
    <row r="11" spans="1:7" ht="15.2" customHeight="1" x14ac:dyDescent="0.3">
      <c r="A11" s="89"/>
      <c r="B11" s="87"/>
      <c r="C11" s="12" t="s">
        <v>347</v>
      </c>
      <c r="D11" s="53"/>
      <c r="E11" s="55"/>
      <c r="F11" s="60"/>
    </row>
    <row r="12" spans="1:7" ht="15.2" customHeight="1" x14ac:dyDescent="0.3">
      <c r="A12" s="89"/>
      <c r="B12" s="88" t="s">
        <v>371</v>
      </c>
      <c r="C12" s="49" t="s">
        <v>350</v>
      </c>
      <c r="D12" s="51"/>
      <c r="E12" s="54"/>
      <c r="F12" s="58"/>
    </row>
    <row r="13" spans="1:7" ht="15.2" customHeight="1" x14ac:dyDescent="0.3">
      <c r="A13" s="89"/>
      <c r="B13" s="89"/>
      <c r="C13" s="49" t="s">
        <v>351</v>
      </c>
      <c r="D13" s="51"/>
      <c r="E13" s="54"/>
      <c r="F13" s="61" t="str">
        <f>총괄설계내역서!E18</f>
        <v>(직접노무비+간접노무비) x 3.56%</v>
      </c>
    </row>
    <row r="14" spans="1:7" ht="15.2" customHeight="1" x14ac:dyDescent="0.3">
      <c r="A14" s="89"/>
      <c r="B14" s="89"/>
      <c r="C14" s="49" t="s">
        <v>352</v>
      </c>
      <c r="D14" s="51"/>
      <c r="E14" s="54"/>
      <c r="F14" s="61" t="str">
        <f>총괄설계내역서!E19</f>
        <v>(직접노무비+간접노무비) x 1.01%</v>
      </c>
    </row>
    <row r="15" spans="1:7" ht="15.2" customHeight="1" x14ac:dyDescent="0.3">
      <c r="A15" s="89"/>
      <c r="B15" s="89"/>
      <c r="C15" s="49" t="s">
        <v>353</v>
      </c>
      <c r="D15" s="51"/>
      <c r="E15" s="54"/>
      <c r="F15" s="61" t="str">
        <f>총괄설계내역서!E20</f>
        <v>직접노무비 x 3.595%</v>
      </c>
    </row>
    <row r="16" spans="1:7" ht="15.2" customHeight="1" x14ac:dyDescent="0.3">
      <c r="A16" s="89"/>
      <c r="B16" s="89"/>
      <c r="C16" s="49" t="s">
        <v>354</v>
      </c>
      <c r="D16" s="51"/>
      <c r="E16" s="54"/>
      <c r="F16" s="61" t="str">
        <f>총괄설계내역서!E21</f>
        <v>건강보험료 x 13.14%</v>
      </c>
    </row>
    <row r="17" spans="1:6" ht="15.2" customHeight="1" x14ac:dyDescent="0.3">
      <c r="A17" s="89"/>
      <c r="B17" s="89"/>
      <c r="C17" s="49" t="s">
        <v>355</v>
      </c>
      <c r="D17" s="51"/>
      <c r="E17" s="54"/>
      <c r="F17" s="61" t="str">
        <f>총괄설계내역서!E22</f>
        <v>직접노무비 x 4.75%</v>
      </c>
    </row>
    <row r="18" spans="1:6" ht="15.2" customHeight="1" x14ac:dyDescent="0.3">
      <c r="A18" s="89"/>
      <c r="B18" s="89"/>
      <c r="C18" s="49" t="s">
        <v>356</v>
      </c>
      <c r="D18" s="51"/>
      <c r="E18" s="54"/>
      <c r="F18" s="61" t="str">
        <f>총괄설계내역서!E23</f>
        <v>직접노무비 x 2.3%</v>
      </c>
    </row>
    <row r="19" spans="1:6" ht="15.2" customHeight="1" x14ac:dyDescent="0.3">
      <c r="A19" s="89"/>
      <c r="B19" s="89"/>
      <c r="C19" s="49" t="s">
        <v>357</v>
      </c>
      <c r="D19" s="51"/>
      <c r="E19" s="54"/>
      <c r="F19" s="62" t="str">
        <f>총괄설계내역서!E24</f>
        <v xml:space="preserve">A）&lt;(직노+직재+간재) x 3.15%&gt;의 1.2배 = 0
B）(직노+직재+간재+관급재/1.1) x 3.15% = </v>
      </c>
    </row>
    <row r="20" spans="1:6" ht="15.2" customHeight="1" x14ac:dyDescent="0.3">
      <c r="A20" s="89"/>
      <c r="B20" s="89"/>
      <c r="C20" s="49" t="s">
        <v>358</v>
      </c>
      <c r="D20" s="51"/>
      <c r="E20" s="54"/>
      <c r="F20" s="61" t="str">
        <f>총괄설계내역서!E25</f>
        <v>(직접노무비+간접노무비+재료비) x 5.5%</v>
      </c>
    </row>
    <row r="21" spans="1:6" ht="15.2" customHeight="1" x14ac:dyDescent="0.3">
      <c r="A21" s="89"/>
      <c r="B21" s="89"/>
      <c r="C21" s="49" t="s">
        <v>359</v>
      </c>
      <c r="D21" s="51"/>
      <c r="E21" s="54"/>
      <c r="F21" s="61" t="str">
        <f>총괄설계내역서!E26</f>
        <v>(재료비 + 직접노무비 + 산출경비) x 0.8%</v>
      </c>
    </row>
    <row r="22" spans="1:6" ht="15.2" customHeight="1" x14ac:dyDescent="0.3">
      <c r="A22" s="89"/>
      <c r="B22" s="89"/>
      <c r="C22" s="49" t="s">
        <v>360</v>
      </c>
      <c r="D22" s="51"/>
      <c r="E22" s="54"/>
      <c r="F22" s="61" t="str">
        <f>총괄설계내역서!E27</f>
        <v>(재료비 + 직접노무비 + 산출경비) x 0.1%</v>
      </c>
    </row>
    <row r="23" spans="1:6" ht="15.2" customHeight="1" x14ac:dyDescent="0.3">
      <c r="A23" s="89"/>
      <c r="B23" s="89"/>
      <c r="C23" s="49" t="s">
        <v>361</v>
      </c>
      <c r="D23" s="51"/>
      <c r="E23" s="54"/>
      <c r="F23" s="61" t="str">
        <f>총괄설계내역서!E28</f>
        <v>(직접노무비+간접노무비) x 0.006%</v>
      </c>
    </row>
    <row r="24" spans="1:6" ht="15.2" customHeight="1" x14ac:dyDescent="0.3">
      <c r="A24" s="89"/>
      <c r="B24" s="89"/>
      <c r="C24" s="49" t="s">
        <v>362</v>
      </c>
      <c r="D24" s="51"/>
      <c r="E24" s="54"/>
      <c r="F24" s="61" t="str">
        <f>총괄설계내역서!E29</f>
        <v>(직접노무비+간접노무비) x 0.09%</v>
      </c>
    </row>
    <row r="25" spans="1:6" ht="15.2" customHeight="1" x14ac:dyDescent="0.3">
      <c r="A25" s="87"/>
      <c r="B25" s="87"/>
      <c r="C25" s="50" t="s">
        <v>347</v>
      </c>
      <c r="D25" s="53"/>
      <c r="E25" s="55"/>
      <c r="F25" s="60"/>
    </row>
    <row r="26" spans="1:6" ht="15.2" customHeight="1" x14ac:dyDescent="0.3">
      <c r="A26" s="78" t="s">
        <v>363</v>
      </c>
      <c r="B26" s="79"/>
      <c r="C26" s="80"/>
      <c r="D26" s="36"/>
      <c r="E26" s="56"/>
      <c r="F26" s="63" t="str">
        <f>"순공사원가 x "&amp;ROUND(총괄설계내역서!M31,5)&amp;"%"</f>
        <v>순공사원가 x 8%</v>
      </c>
    </row>
    <row r="27" spans="1:6" ht="15.2" customHeight="1" x14ac:dyDescent="0.3">
      <c r="A27" s="78" t="s">
        <v>364</v>
      </c>
      <c r="B27" s="79"/>
      <c r="C27" s="80"/>
      <c r="D27" s="36"/>
      <c r="E27" s="56"/>
      <c r="F27" s="63" t="str">
        <f>"(노무비+경비+일반관리비) x "&amp;ROUND(총괄설계내역서!M33,5)&amp;"%"</f>
        <v>(노무비+경비+일반관리비) x 15%</v>
      </c>
    </row>
    <row r="28" spans="1:6" ht="15.2" customHeight="1" x14ac:dyDescent="0.3">
      <c r="A28" s="90" t="s">
        <v>365</v>
      </c>
      <c r="B28" s="79"/>
      <c r="C28" s="80"/>
      <c r="D28" s="36"/>
      <c r="E28" s="56"/>
      <c r="F28" s="26"/>
    </row>
    <row r="29" spans="1:6" ht="15.2" customHeight="1" x14ac:dyDescent="0.3">
      <c r="A29" s="78" t="s">
        <v>366</v>
      </c>
      <c r="B29" s="79"/>
      <c r="C29" s="80"/>
      <c r="D29" s="36"/>
      <c r="E29" s="56"/>
      <c r="F29" s="63" t="str">
        <f>"총 원 가 x "&amp;ROUND(총괄설계내역서!M35,5)&amp;"%"</f>
        <v>총 원 가 x 10%</v>
      </c>
    </row>
    <row r="30" spans="1:6" ht="15.2" customHeight="1" x14ac:dyDescent="0.3">
      <c r="A30" s="90" t="s">
        <v>367</v>
      </c>
      <c r="B30" s="79"/>
      <c r="C30" s="80"/>
      <c r="D30" s="36"/>
      <c r="E30" s="56"/>
      <c r="F30" s="26"/>
    </row>
    <row r="31" spans="1:6" ht="15.2" customHeight="1" x14ac:dyDescent="0.3">
      <c r="A31" s="78" t="s">
        <v>368</v>
      </c>
      <c r="B31" s="79"/>
      <c r="C31" s="80"/>
      <c r="D31" s="36"/>
      <c r="E31" s="56"/>
      <c r="F31" s="63">
        <f>총괄설계내역서!E37</f>
        <v>0</v>
      </c>
    </row>
    <row r="32" spans="1:6" ht="15.2" customHeight="1" x14ac:dyDescent="0.3">
      <c r="A32" s="90" t="s">
        <v>369</v>
      </c>
      <c r="B32" s="79"/>
      <c r="C32" s="80"/>
      <c r="D32" s="36"/>
      <c r="E32" s="56"/>
      <c r="F32" s="26"/>
    </row>
  </sheetData>
  <mergeCells count="17">
    <mergeCell ref="A28:C28"/>
    <mergeCell ref="A29:C29"/>
    <mergeCell ref="A30:C30"/>
    <mergeCell ref="A31:C31"/>
    <mergeCell ref="A32:C32"/>
    <mergeCell ref="A27:C27"/>
    <mergeCell ref="A1:F1"/>
    <mergeCell ref="A3:C3"/>
    <mergeCell ref="D3:D4"/>
    <mergeCell ref="E3:E4"/>
    <mergeCell ref="F3:F4"/>
    <mergeCell ref="A4:C4"/>
    <mergeCell ref="A5:A25"/>
    <mergeCell ref="B5:B8"/>
    <mergeCell ref="B9:B11"/>
    <mergeCell ref="B12:B25"/>
    <mergeCell ref="A26:C26"/>
  </mergeCells>
  <phoneticPr fontId="16" type="noConversion"/>
  <hyperlinks>
    <hyperlink ref="G1" r:id="rId1" tooltip="설계예산시스템(STmate w26.10)으로 작성 하였으며,_x000a_엑셀 인쇄품질 600 dpi에 최적화 되어 있습니다._x000a_경영정보(주) http://www.stma.co.kr_x000a_Tel) 070-4350-0040_x000a_Fax) 0505-300-3948" xr:uid="{00000000-0004-0000-0200-000001000000}"/>
  </hyperlinks>
  <printOptions horizontalCentered="1"/>
  <pageMargins left="0.78740157480314965" right="0.78740157480314965" top="0.59055118110236215" bottom="0.62992125984251979" header="0" footer="0.4330708661417324"/>
  <pageSetup paperSize="9" fitToWidth="0" fitToHeight="0" orientation="landscape" r:id="rId2"/>
  <headerFooter alignWithMargins="0">
    <oddFooter xml:space="preserve">&amp;R&amp;"굴림체,"&amp;9 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8"/>
  <sheetViews>
    <sheetView workbookViewId="0">
      <pane ySplit="3" topLeftCell="A4" activePane="bottomLeft" state="frozenSplit"/>
      <selection pane="bottomLeft" activeCell="U30" sqref="U30"/>
    </sheetView>
  </sheetViews>
  <sheetFormatPr defaultColWidth="9.125" defaultRowHeight="16.5" x14ac:dyDescent="0.3"/>
  <cols>
    <col min="1" max="1" width="10" style="4" customWidth="1"/>
    <col min="2" max="2" width="26.5" style="4" customWidth="1"/>
    <col min="3" max="3" width="22.75" style="4" customWidth="1"/>
    <col min="4" max="7" width="17.5" style="4" customWidth="1"/>
    <col min="8" max="8" width="9.125" style="13" hidden="1" customWidth="1"/>
    <col min="9" max="12" width="2.125" style="4" hidden="1" customWidth="1"/>
    <col min="13" max="16" width="4" style="4" hidden="1" customWidth="1"/>
    <col min="17" max="16384" width="9.125" style="4"/>
  </cols>
  <sheetData>
    <row r="1" spans="1:16" ht="24.95" customHeight="1" x14ac:dyDescent="0.3">
      <c r="A1" s="81" t="s">
        <v>143</v>
      </c>
      <c r="B1" s="77"/>
      <c r="C1" s="77"/>
      <c r="D1" s="77"/>
      <c r="E1" s="77"/>
      <c r="F1" s="77"/>
      <c r="G1" s="77"/>
      <c r="H1" s="15" t="s">
        <v>43</v>
      </c>
    </row>
    <row r="2" spans="1:16" ht="24" customHeight="1" x14ac:dyDescent="0.3">
      <c r="A2" s="1" t="s">
        <v>0</v>
      </c>
      <c r="H2" s="16" t="str">
        <f ca="1">MID(CELL("filename",$A$1),FIND("]",CELL("filename",$A$1))+1,LEN(CELL("filename",$A$1)))</f>
        <v>총괄설계내역서</v>
      </c>
    </row>
    <row r="3" spans="1:16" ht="24" customHeight="1" x14ac:dyDescent="0.3">
      <c r="A3" s="6" t="s">
        <v>132</v>
      </c>
      <c r="B3" s="6" t="s">
        <v>2</v>
      </c>
      <c r="C3" s="6" t="s">
        <v>3</v>
      </c>
      <c r="D3" s="6" t="s">
        <v>5</v>
      </c>
      <c r="E3" s="6" t="s">
        <v>6</v>
      </c>
      <c r="F3" s="6" t="s">
        <v>7</v>
      </c>
      <c r="G3" s="12" t="s">
        <v>8</v>
      </c>
      <c r="H3" s="14" t="s">
        <v>144</v>
      </c>
      <c r="I3" s="94" t="s">
        <v>306</v>
      </c>
      <c r="J3" s="77"/>
      <c r="K3" s="77"/>
      <c r="L3" s="77"/>
      <c r="M3" s="77"/>
      <c r="N3" s="77"/>
      <c r="O3" s="77"/>
      <c r="P3" s="77"/>
    </row>
    <row r="4" spans="1:16" ht="24" customHeight="1" x14ac:dyDescent="0.3">
      <c r="A4" s="8" t="s">
        <v>137</v>
      </c>
      <c r="B4" s="8" t="s">
        <v>138</v>
      </c>
      <c r="C4" s="8" t="s">
        <v>139</v>
      </c>
      <c r="D4" s="36">
        <f>설계내역서!G5</f>
        <v>0</v>
      </c>
      <c r="E4" s="34">
        <f>설계내역서!I5</f>
        <v>0</v>
      </c>
      <c r="F4" s="46">
        <f>설계내역서!K5</f>
        <v>0</v>
      </c>
      <c r="G4" s="36">
        <f>설계내역서!M5</f>
        <v>0</v>
      </c>
    </row>
    <row r="5" spans="1:16" ht="24" customHeight="1" x14ac:dyDescent="0.3">
      <c r="A5" s="8" t="s">
        <v>145</v>
      </c>
      <c r="B5" s="8" t="s">
        <v>146</v>
      </c>
      <c r="C5" s="8"/>
      <c r="D5" s="36">
        <f>설계내역서!G7</f>
        <v>0</v>
      </c>
      <c r="E5" s="34">
        <f>설계내역서!I7</f>
        <v>0</v>
      </c>
      <c r="F5" s="46">
        <f>설계내역서!K7</f>
        <v>0</v>
      </c>
      <c r="G5" s="36">
        <f>설계내역서!M7</f>
        <v>0</v>
      </c>
    </row>
    <row r="6" spans="1:16" ht="24" customHeight="1" x14ac:dyDescent="0.3">
      <c r="A6" s="8" t="s">
        <v>162</v>
      </c>
      <c r="B6" s="8" t="s">
        <v>147</v>
      </c>
      <c r="C6" s="8"/>
      <c r="D6" s="36">
        <f>설계내역서!G30</f>
        <v>0</v>
      </c>
      <c r="E6" s="34">
        <f>설계내역서!I30</f>
        <v>0</v>
      </c>
      <c r="F6" s="46">
        <f>설계내역서!K30</f>
        <v>0</v>
      </c>
      <c r="G6" s="36">
        <f>설계내역서!M30</f>
        <v>0</v>
      </c>
    </row>
    <row r="7" spans="1:16" ht="24" customHeight="1" x14ac:dyDescent="0.3">
      <c r="A7" s="8" t="s">
        <v>195</v>
      </c>
      <c r="B7" s="8" t="s">
        <v>196</v>
      </c>
      <c r="C7" s="8"/>
      <c r="D7" s="36">
        <f>설계내역서!G31</f>
        <v>0</v>
      </c>
      <c r="E7" s="34">
        <f>설계내역서!I31</f>
        <v>0</v>
      </c>
      <c r="F7" s="46">
        <f>설계내역서!K31</f>
        <v>0</v>
      </c>
      <c r="G7" s="36">
        <f>설계내역서!M31</f>
        <v>0</v>
      </c>
    </row>
    <row r="8" spans="1:16" ht="24" customHeight="1" x14ac:dyDescent="0.3">
      <c r="A8" s="8" t="s">
        <v>210</v>
      </c>
      <c r="B8" s="8" t="s">
        <v>211</v>
      </c>
      <c r="C8" s="8"/>
      <c r="D8" s="36">
        <f>설계내역서!G38</f>
        <v>0</v>
      </c>
      <c r="E8" s="34">
        <f>설계내역서!I38</f>
        <v>0</v>
      </c>
      <c r="F8" s="46">
        <f>설계내역서!K38</f>
        <v>0</v>
      </c>
      <c r="G8" s="36">
        <f>설계내역서!M38</f>
        <v>0</v>
      </c>
    </row>
    <row r="9" spans="1:16" ht="24" customHeight="1" x14ac:dyDescent="0.3">
      <c r="A9" s="8" t="s">
        <v>216</v>
      </c>
      <c r="B9" s="8" t="s">
        <v>217</v>
      </c>
      <c r="C9" s="8"/>
      <c r="D9" s="36">
        <f>설계내역서!G41</f>
        <v>0</v>
      </c>
      <c r="E9" s="34">
        <f>설계내역서!I41</f>
        <v>0</v>
      </c>
      <c r="F9" s="46">
        <f>설계내역서!K41</f>
        <v>0</v>
      </c>
      <c r="G9" s="36">
        <f>설계내역서!M41</f>
        <v>0</v>
      </c>
    </row>
    <row r="10" spans="1:16" ht="24" customHeight="1" x14ac:dyDescent="0.3">
      <c r="A10" s="8" t="s">
        <v>222</v>
      </c>
      <c r="B10" s="8" t="s">
        <v>223</v>
      </c>
      <c r="C10" s="8"/>
      <c r="D10" s="36">
        <f>설계내역서!G44</f>
        <v>0</v>
      </c>
      <c r="E10" s="34">
        <f>설계내역서!I44</f>
        <v>0</v>
      </c>
      <c r="F10" s="46">
        <f>설계내역서!K44</f>
        <v>0</v>
      </c>
      <c r="G10" s="36">
        <f>설계내역서!M44</f>
        <v>0</v>
      </c>
    </row>
    <row r="11" spans="1:16" ht="24" customHeight="1" x14ac:dyDescent="0.3">
      <c r="A11" s="8" t="s">
        <v>193</v>
      </c>
      <c r="B11" s="8" t="s">
        <v>194</v>
      </c>
      <c r="C11" s="8"/>
      <c r="D11" s="36">
        <f>설계내역서!G49</f>
        <v>0</v>
      </c>
      <c r="E11" s="34">
        <f>설계내역서!I49</f>
        <v>0</v>
      </c>
      <c r="F11" s="46">
        <f>설계내역서!K49</f>
        <v>0</v>
      </c>
      <c r="G11" s="36">
        <f>설계내역서!M49</f>
        <v>0</v>
      </c>
    </row>
    <row r="12" spans="1:16" ht="24" customHeight="1" x14ac:dyDescent="0.3">
      <c r="A12" s="8" t="s">
        <v>232</v>
      </c>
      <c r="B12" s="8" t="s">
        <v>233</v>
      </c>
      <c r="C12" s="8"/>
      <c r="D12" s="36">
        <f>설계내역서!G50</f>
        <v>0</v>
      </c>
      <c r="E12" s="34">
        <f>설계내역서!I50</f>
        <v>0</v>
      </c>
      <c r="F12" s="46">
        <f>설계내역서!K50</f>
        <v>0</v>
      </c>
      <c r="G12" s="36">
        <f>설계내역서!M50</f>
        <v>0</v>
      </c>
    </row>
    <row r="13" spans="1:16" ht="24" customHeight="1" x14ac:dyDescent="0.3">
      <c r="A13" s="8" t="s">
        <v>231</v>
      </c>
      <c r="B13" s="8" t="s">
        <v>230</v>
      </c>
      <c r="C13" s="8"/>
      <c r="D13" s="36">
        <f>설계내역서!G55</f>
        <v>0</v>
      </c>
      <c r="E13" s="34">
        <f>설계내역서!I55</f>
        <v>0</v>
      </c>
      <c r="F13" s="46">
        <f>설계내역서!K55</f>
        <v>0</v>
      </c>
      <c r="G13" s="36">
        <f>설계내역서!M55</f>
        <v>0</v>
      </c>
    </row>
    <row r="14" spans="1:16" ht="24" customHeight="1" x14ac:dyDescent="0.3">
      <c r="A14" s="8" t="s">
        <v>258</v>
      </c>
      <c r="B14" s="8" t="s">
        <v>259</v>
      </c>
      <c r="C14" s="8"/>
      <c r="D14" s="36">
        <f>설계내역서!G66</f>
        <v>0</v>
      </c>
      <c r="E14" s="34">
        <f>설계내역서!I66</f>
        <v>0</v>
      </c>
      <c r="F14" s="46">
        <f>설계내역서!K66</f>
        <v>0</v>
      </c>
      <c r="G14" s="36">
        <f>설계내역서!M66</f>
        <v>0</v>
      </c>
    </row>
    <row r="15" spans="1:16" ht="24" customHeight="1" x14ac:dyDescent="0.3">
      <c r="A15" s="8" t="s">
        <v>272</v>
      </c>
      <c r="B15" s="8" t="s">
        <v>273</v>
      </c>
      <c r="C15" s="8"/>
      <c r="D15" s="36">
        <f>설계내역서!G74</f>
        <v>0</v>
      </c>
      <c r="E15" s="34">
        <f>설계내역서!I74</f>
        <v>0</v>
      </c>
      <c r="F15" s="46">
        <f>설계내역서!K74</f>
        <v>0</v>
      </c>
      <c r="G15" s="36">
        <f>설계내역서!M74</f>
        <v>0</v>
      </c>
    </row>
    <row r="16" spans="1:16" ht="24" customHeight="1" x14ac:dyDescent="0.3">
      <c r="A16" s="8" t="s">
        <v>287</v>
      </c>
      <c r="B16" s="8" t="s">
        <v>288</v>
      </c>
      <c r="C16" s="8"/>
      <c r="D16" s="36">
        <f>설계내역서!G82</f>
        <v>0</v>
      </c>
      <c r="E16" s="34">
        <f>설계내역서!I82</f>
        <v>0</v>
      </c>
      <c r="F16" s="46">
        <f>설계내역서!K82</f>
        <v>0</v>
      </c>
      <c r="G16" s="36">
        <f>설계내역서!M82</f>
        <v>0</v>
      </c>
    </row>
    <row r="17" spans="1:16" ht="24" customHeight="1" x14ac:dyDescent="0.3">
      <c r="A17" s="8"/>
      <c r="B17" s="8" t="s">
        <v>289</v>
      </c>
      <c r="C17" s="8"/>
      <c r="D17" s="36">
        <f>ROUNDDOWN(E16*M17/100,0)</f>
        <v>0</v>
      </c>
      <c r="E17" s="91" t="str">
        <f>"직접노무비 x "&amp;ROUND(M17,5)&amp;"%"</f>
        <v>직접노무비 x 19.1%</v>
      </c>
      <c r="F17" s="92"/>
      <c r="G17" s="93"/>
      <c r="H17" s="14" t="s">
        <v>290</v>
      </c>
      <c r="I17" s="22">
        <v>0</v>
      </c>
      <c r="M17" s="48">
        <v>19.100000000000001</v>
      </c>
      <c r="N17" s="22">
        <v>0</v>
      </c>
      <c r="O17" s="22">
        <v>0</v>
      </c>
      <c r="P17" s="22">
        <v>0</v>
      </c>
    </row>
    <row r="18" spans="1:16" ht="24" customHeight="1" x14ac:dyDescent="0.3">
      <c r="A18" s="8"/>
      <c r="B18" s="8" t="s">
        <v>291</v>
      </c>
      <c r="C18" s="8"/>
      <c r="D18" s="36">
        <f>ROUNDDOWN(((E16+D17))*M18/100,0)</f>
        <v>0</v>
      </c>
      <c r="E18" s="91" t="str">
        <f>"(직접노무비+간접노무비) x "&amp;ROUND(M18,5)&amp;"%"</f>
        <v>(직접노무비+간접노무비) x 3.56%</v>
      </c>
      <c r="F18" s="92"/>
      <c r="G18" s="93"/>
      <c r="H18" s="14" t="s">
        <v>292</v>
      </c>
      <c r="I18" s="22">
        <v>0</v>
      </c>
      <c r="M18" s="48">
        <v>3.56</v>
      </c>
      <c r="N18" s="22">
        <v>0</v>
      </c>
      <c r="O18" s="22">
        <v>0</v>
      </c>
      <c r="P18" s="22">
        <v>0</v>
      </c>
    </row>
    <row r="19" spans="1:16" ht="24" customHeight="1" x14ac:dyDescent="0.3">
      <c r="A19" s="8"/>
      <c r="B19" s="8" t="s">
        <v>293</v>
      </c>
      <c r="C19" s="8"/>
      <c r="D19" s="36">
        <f>ROUNDDOWN(((E16+D17))*M19/100,0)</f>
        <v>0</v>
      </c>
      <c r="E19" s="91" t="str">
        <f>"(직접노무비+간접노무비) x "&amp;ROUND(M19,5)&amp;"%"</f>
        <v>(직접노무비+간접노무비) x 1.01%</v>
      </c>
      <c r="F19" s="92"/>
      <c r="G19" s="93"/>
      <c r="H19" s="14" t="s">
        <v>294</v>
      </c>
      <c r="I19" s="22">
        <v>0</v>
      </c>
      <c r="M19" s="48">
        <v>1.01</v>
      </c>
      <c r="N19" s="22">
        <v>0</v>
      </c>
      <c r="O19" s="22">
        <v>0</v>
      </c>
      <c r="P19" s="22">
        <v>0</v>
      </c>
    </row>
    <row r="20" spans="1:16" ht="24" customHeight="1" x14ac:dyDescent="0.3">
      <c r="A20" s="8"/>
      <c r="B20" s="8" t="s">
        <v>295</v>
      </c>
      <c r="C20" s="8"/>
      <c r="D20" s="36">
        <f>ROUNDDOWN((E16)*M20/100,0)</f>
        <v>0</v>
      </c>
      <c r="E20" s="91" t="str">
        <f>"직접노무비 x "&amp;ROUND(M20,5)&amp;"%"</f>
        <v>직접노무비 x 3.595%</v>
      </c>
      <c r="F20" s="92"/>
      <c r="G20" s="93"/>
      <c r="H20" s="14" t="s">
        <v>296</v>
      </c>
      <c r="I20" s="22">
        <v>0</v>
      </c>
      <c r="J20" s="37">
        <f>E16</f>
        <v>0</v>
      </c>
      <c r="M20" s="48">
        <v>3.5950000000000002</v>
      </c>
      <c r="N20" s="22">
        <v>0</v>
      </c>
      <c r="O20" s="22">
        <v>0</v>
      </c>
      <c r="P20" s="22">
        <v>0</v>
      </c>
    </row>
    <row r="21" spans="1:16" ht="24" customHeight="1" x14ac:dyDescent="0.3">
      <c r="A21" s="8"/>
      <c r="B21" s="8" t="s">
        <v>297</v>
      </c>
      <c r="C21" s="8"/>
      <c r="D21" s="36">
        <f>ROUNDDOWN(D20*M21/100,0)</f>
        <v>0</v>
      </c>
      <c r="E21" s="91" t="str">
        <f>"건강보험료 x "&amp;ROUND(M21,5)&amp;"%"</f>
        <v>건강보험료 x 13.14%</v>
      </c>
      <c r="F21" s="92"/>
      <c r="G21" s="93"/>
      <c r="H21" s="14" t="s">
        <v>298</v>
      </c>
      <c r="I21" s="22">
        <v>0</v>
      </c>
      <c r="J21" s="37">
        <f>D20</f>
        <v>0</v>
      </c>
      <c r="M21" s="48">
        <v>13.14</v>
      </c>
      <c r="N21" s="22">
        <v>0</v>
      </c>
      <c r="O21" s="22">
        <v>0</v>
      </c>
      <c r="P21" s="22">
        <v>0</v>
      </c>
    </row>
    <row r="22" spans="1:16" ht="24" customHeight="1" x14ac:dyDescent="0.3">
      <c r="A22" s="8"/>
      <c r="B22" s="8" t="s">
        <v>299</v>
      </c>
      <c r="C22" s="8"/>
      <c r="D22" s="36">
        <f>ROUNDDOWN((E16)*M22/100,0)</f>
        <v>0</v>
      </c>
      <c r="E22" s="91" t="str">
        <f>"직접노무비 x "&amp;ROUND(M22,5)&amp;"%"</f>
        <v>직접노무비 x 4.75%</v>
      </c>
      <c r="F22" s="92"/>
      <c r="G22" s="93"/>
      <c r="H22" s="14" t="s">
        <v>300</v>
      </c>
      <c r="I22" s="22">
        <v>0</v>
      </c>
      <c r="J22" s="37">
        <f>E16</f>
        <v>0</v>
      </c>
      <c r="M22" s="48">
        <v>4.75</v>
      </c>
      <c r="N22" s="22">
        <v>0</v>
      </c>
      <c r="O22" s="22">
        <v>0</v>
      </c>
      <c r="P22" s="22">
        <v>0</v>
      </c>
    </row>
    <row r="23" spans="1:16" ht="24" customHeight="1" x14ac:dyDescent="0.3">
      <c r="A23" s="8"/>
      <c r="B23" s="8" t="s">
        <v>301</v>
      </c>
      <c r="C23" s="8"/>
      <c r="D23" s="36">
        <f>ROUNDDOWN((E16)*M23/100,0)</f>
        <v>0</v>
      </c>
      <c r="E23" s="91" t="str">
        <f>"직접노무비 x "&amp;ROUND(M23,5)&amp;"%"</f>
        <v>직접노무비 x 2.3%</v>
      </c>
      <c r="F23" s="92"/>
      <c r="G23" s="93"/>
      <c r="H23" s="14" t="s">
        <v>302</v>
      </c>
      <c r="I23" s="22">
        <v>0</v>
      </c>
      <c r="J23" s="37">
        <f>E16</f>
        <v>0</v>
      </c>
      <c r="M23" s="48">
        <v>2.2999999999999998</v>
      </c>
      <c r="N23" s="22">
        <v>0</v>
      </c>
      <c r="O23" s="22">
        <v>0</v>
      </c>
      <c r="P23" s="22">
        <v>0</v>
      </c>
    </row>
    <row r="24" spans="1:16" ht="24" customHeight="1" x14ac:dyDescent="0.3">
      <c r="A24" s="8"/>
      <c r="B24" s="8" t="s">
        <v>303</v>
      </c>
      <c r="C24" s="8" t="s">
        <v>304</v>
      </c>
      <c r="D24" s="36">
        <f>ROUNDDOWN(ROUNDDOWN(((E16+(F16)))*M24/100,0)*1.2,0)</f>
        <v>0</v>
      </c>
      <c r="E24" s="95" t="str">
        <f>"A）&lt;(직노+직재+간재) x "&amp;ROUND(M24,5)&amp;"%&gt;의 1.2배 = "&amp;TEXT(D24,"#,0")&amp;"
B）(직노+직재+간재+관급재/1.1) x "&amp;ROUND(M24,5)&amp;"% = "</f>
        <v xml:space="preserve">A）&lt;(직노+직재+간재) x 3.15%&gt;의 1.2배 = 0
B）(직노+직재+간재+관급재/1.1) x 3.15% = </v>
      </c>
      <c r="F24" s="92"/>
      <c r="G24" s="93"/>
      <c r="H24" s="14" t="s">
        <v>305</v>
      </c>
      <c r="I24" s="22">
        <v>0</v>
      </c>
      <c r="J24" s="37">
        <f>((E16+(F16))+(I37-O37)/1.1)</f>
        <v>27025072.727272727</v>
      </c>
      <c r="M24" s="48">
        <v>3.15</v>
      </c>
      <c r="N24" s="22">
        <v>0</v>
      </c>
      <c r="O24" s="22">
        <v>0</v>
      </c>
      <c r="P24" s="22">
        <v>0</v>
      </c>
    </row>
    <row r="25" spans="1:16" ht="24" customHeight="1" x14ac:dyDescent="0.3">
      <c r="A25" s="8"/>
      <c r="B25" s="8" t="s">
        <v>307</v>
      </c>
      <c r="C25" s="8"/>
      <c r="D25" s="36">
        <f>ROUNDDOWN(((((E16+D17)+(F16))))*M25/100,0)</f>
        <v>0</v>
      </c>
      <c r="E25" s="91" t="str">
        <f>"(직접노무비+간접노무비+재료비) x "&amp;ROUND(M25,5)&amp;"%"</f>
        <v>(직접노무비+간접노무비+재료비) x 5.5%</v>
      </c>
      <c r="F25" s="92"/>
      <c r="G25" s="93"/>
      <c r="H25" s="14" t="s">
        <v>308</v>
      </c>
      <c r="I25" s="22">
        <v>0</v>
      </c>
      <c r="M25" s="48">
        <v>5.5</v>
      </c>
      <c r="N25" s="22">
        <v>0</v>
      </c>
      <c r="O25" s="22">
        <v>0</v>
      </c>
      <c r="P25" s="22">
        <v>0</v>
      </c>
    </row>
    <row r="26" spans="1:16" ht="24" customHeight="1" x14ac:dyDescent="0.3">
      <c r="A26" s="8"/>
      <c r="B26" s="8" t="s">
        <v>309</v>
      </c>
      <c r="C26" s="8"/>
      <c r="D26" s="36">
        <f>ROUNDDOWN((D16)*M26/100,0)</f>
        <v>0</v>
      </c>
      <c r="E26" s="91" t="str">
        <f>"(재료비 + 직접노무비 + 산출경비) x "&amp;ROUND(M26,5)&amp;"%"</f>
        <v>(재료비 + 직접노무비 + 산출경비) x 0.8%</v>
      </c>
      <c r="F26" s="92"/>
      <c r="G26" s="93"/>
      <c r="H26" s="14" t="s">
        <v>310</v>
      </c>
      <c r="I26" s="22">
        <v>0</v>
      </c>
      <c r="M26" s="48">
        <v>0.8</v>
      </c>
      <c r="N26" s="22">
        <v>0</v>
      </c>
      <c r="O26" s="22">
        <v>0</v>
      </c>
      <c r="P26" s="22">
        <v>0</v>
      </c>
    </row>
    <row r="27" spans="1:16" ht="24" customHeight="1" x14ac:dyDescent="0.3">
      <c r="A27" s="8"/>
      <c r="B27" s="8" t="s">
        <v>311</v>
      </c>
      <c r="C27" s="8"/>
      <c r="D27" s="36">
        <f>ROUNDDOWN((D16)*M27/100,0)</f>
        <v>0</v>
      </c>
      <c r="E27" s="91" t="str">
        <f>"(재료비 + 직접노무비 + 산출경비) x "&amp;ROUND(M27,5)&amp;"%"</f>
        <v>(재료비 + 직접노무비 + 산출경비) x 0.1%</v>
      </c>
      <c r="F27" s="92"/>
      <c r="G27" s="93"/>
      <c r="H27" s="14" t="s">
        <v>312</v>
      </c>
      <c r="I27" s="22">
        <v>0</v>
      </c>
      <c r="M27" s="48">
        <v>0.1</v>
      </c>
      <c r="N27" s="22">
        <v>0</v>
      </c>
      <c r="O27" s="22">
        <v>0</v>
      </c>
      <c r="P27" s="22">
        <v>0</v>
      </c>
    </row>
    <row r="28" spans="1:16" ht="24" customHeight="1" x14ac:dyDescent="0.3">
      <c r="A28" s="8"/>
      <c r="B28" s="8" t="s">
        <v>313</v>
      </c>
      <c r="C28" s="8"/>
      <c r="D28" s="36">
        <f>ROUNDDOWN(((E16+D17))*M28/100,0)</f>
        <v>0</v>
      </c>
      <c r="E28" s="91" t="str">
        <f>"(직접노무비+간접노무비) x "&amp;ROUND(M28,5)&amp;"%"</f>
        <v>(직접노무비+간접노무비) x 0.006%</v>
      </c>
      <c r="F28" s="92"/>
      <c r="G28" s="93"/>
      <c r="H28" s="14" t="s">
        <v>314</v>
      </c>
      <c r="I28" s="22">
        <v>0</v>
      </c>
      <c r="M28" s="48">
        <v>6.0000000000000001E-3</v>
      </c>
      <c r="N28" s="22">
        <v>0</v>
      </c>
      <c r="O28" s="22">
        <v>0</v>
      </c>
      <c r="P28" s="22">
        <v>0</v>
      </c>
    </row>
    <row r="29" spans="1:16" ht="24" customHeight="1" x14ac:dyDescent="0.3">
      <c r="A29" s="8"/>
      <c r="B29" s="8" t="s">
        <v>315</v>
      </c>
      <c r="C29" s="8"/>
      <c r="D29" s="36">
        <f>ROUNDDOWN(((E16+D17))*M29/100,0)</f>
        <v>0</v>
      </c>
      <c r="E29" s="91" t="str">
        <f>"(직접노무비+간접노무비) x "&amp;ROUND(M29,5)&amp;"%"</f>
        <v>(직접노무비+간접노무비) x 0.09%</v>
      </c>
      <c r="F29" s="92"/>
      <c r="G29" s="93"/>
      <c r="H29" s="14" t="s">
        <v>316</v>
      </c>
      <c r="I29" s="22">
        <v>0</v>
      </c>
      <c r="M29" s="48">
        <v>0.09</v>
      </c>
      <c r="N29" s="22">
        <v>0</v>
      </c>
      <c r="O29" s="22">
        <v>0</v>
      </c>
      <c r="P29" s="22">
        <v>0</v>
      </c>
    </row>
    <row r="30" spans="1:16" ht="24" customHeight="1" x14ac:dyDescent="0.3">
      <c r="A30" s="8" t="s">
        <v>317</v>
      </c>
      <c r="B30" s="8" t="s">
        <v>318</v>
      </c>
      <c r="C30" s="8"/>
      <c r="D30" s="36">
        <f>(D16+D17+D18+D19+D20+D21+D22+D23+D24+D25+D26+D27+D28+D29)</f>
        <v>0</v>
      </c>
      <c r="E30" s="96"/>
      <c r="F30" s="92"/>
      <c r="G30" s="93"/>
      <c r="H30" s="14" t="s">
        <v>319</v>
      </c>
      <c r="I30" s="22">
        <v>0</v>
      </c>
      <c r="M30" s="22">
        <v>0</v>
      </c>
      <c r="N30" s="22">
        <v>0</v>
      </c>
      <c r="O30" s="22">
        <v>0</v>
      </c>
      <c r="P30" s="22">
        <v>0</v>
      </c>
    </row>
    <row r="31" spans="1:16" ht="24" customHeight="1" x14ac:dyDescent="0.3">
      <c r="A31" s="8"/>
      <c r="B31" s="8" t="s">
        <v>320</v>
      </c>
      <c r="C31" s="8"/>
      <c r="D31" s="36">
        <f>ROUNDDOWN(((D30)+0)*M31/100,0)</f>
        <v>0</v>
      </c>
      <c r="E31" s="91" t="str">
        <f>"(나.소  계) x "&amp;ROUND(M31,5)&amp;"%"</f>
        <v>(나.소  계) x 8%</v>
      </c>
      <c r="F31" s="92"/>
      <c r="G31" s="93"/>
      <c r="H31" s="14" t="s">
        <v>321</v>
      </c>
      <c r="I31" s="22">
        <v>0</v>
      </c>
      <c r="M31" s="47">
        <v>8</v>
      </c>
      <c r="N31" s="22">
        <v>0</v>
      </c>
      <c r="O31" s="22">
        <v>0</v>
      </c>
      <c r="P31" s="22">
        <v>0</v>
      </c>
    </row>
    <row r="32" spans="1:16" ht="24" customHeight="1" x14ac:dyDescent="0.3">
      <c r="A32" s="8" t="s">
        <v>322</v>
      </c>
      <c r="B32" s="8" t="s">
        <v>318</v>
      </c>
      <c r="C32" s="8"/>
      <c r="D32" s="36">
        <f>(D30+D31)</f>
        <v>0</v>
      </c>
      <c r="E32" s="96"/>
      <c r="F32" s="92"/>
      <c r="G32" s="93"/>
      <c r="H32" s="14" t="s">
        <v>323</v>
      </c>
      <c r="I32" s="22">
        <v>0</v>
      </c>
      <c r="J32" s="37">
        <f>D32</f>
        <v>0</v>
      </c>
      <c r="L32" s="37">
        <f>D32</f>
        <v>0</v>
      </c>
      <c r="M32" s="22">
        <v>0</v>
      </c>
      <c r="N32" s="22">
        <v>0</v>
      </c>
      <c r="O32" s="22">
        <v>0</v>
      </c>
      <c r="P32" s="22">
        <v>0</v>
      </c>
    </row>
    <row r="33" spans="1:16" ht="24" customHeight="1" x14ac:dyDescent="0.3">
      <c r="A33" s="8"/>
      <c r="B33" s="8" t="s">
        <v>324</v>
      </c>
      <c r="C33" s="8"/>
      <c r="D33" s="36">
        <f>ROUNDDOWN(((D32)-(F16))*M33/100,0)-I33-K33</f>
        <v>-6138</v>
      </c>
      <c r="E33" s="91" t="str">
        <f>"(다.소계 - 재료비) x "&amp;ROUND(M33,5)&amp;"% = "&amp;TEXT(J33,"#,##0")</f>
        <v>(다.소계 - 재료비) x 15% = 0</v>
      </c>
      <c r="F33" s="92"/>
      <c r="G33" s="93"/>
      <c r="H33" s="14" t="s">
        <v>325</v>
      </c>
      <c r="I33" s="47">
        <v>6138</v>
      </c>
      <c r="J33" s="37">
        <f>ROUNDDOWN(((J32)-(F16))*M33/100,0)</f>
        <v>0</v>
      </c>
      <c r="L33" s="37">
        <f>ROUNDDOWN(((L32)-(F16))*M33/100,0)-I33</f>
        <v>-6138</v>
      </c>
      <c r="M33" s="47">
        <v>15</v>
      </c>
      <c r="N33" s="22">
        <v>0</v>
      </c>
      <c r="O33" s="22">
        <v>0</v>
      </c>
      <c r="P33" s="22">
        <v>0</v>
      </c>
    </row>
    <row r="34" spans="1:16" ht="24" customHeight="1" x14ac:dyDescent="0.3">
      <c r="A34" s="8" t="s">
        <v>326</v>
      </c>
      <c r="B34" s="8" t="s">
        <v>327</v>
      </c>
      <c r="C34" s="8"/>
      <c r="D34" s="36">
        <f>(D32+D33)</f>
        <v>-6138</v>
      </c>
      <c r="E34" s="96"/>
      <c r="F34" s="92"/>
      <c r="G34" s="93"/>
      <c r="H34" s="14" t="s">
        <v>328</v>
      </c>
      <c r="I34" s="22">
        <v>0</v>
      </c>
      <c r="J34" s="37">
        <f>(J32+J33)</f>
        <v>0</v>
      </c>
      <c r="L34" s="37">
        <f>(L32+L33)</f>
        <v>-6138</v>
      </c>
      <c r="M34" s="22">
        <v>0</v>
      </c>
      <c r="N34" s="22">
        <v>0</v>
      </c>
      <c r="O34" s="22">
        <v>0</v>
      </c>
      <c r="P34" s="22">
        <v>0</v>
      </c>
    </row>
    <row r="35" spans="1:16" ht="24" customHeight="1" x14ac:dyDescent="0.3">
      <c r="A35" s="8"/>
      <c r="B35" s="8" t="s">
        <v>329</v>
      </c>
      <c r="C35" s="8"/>
      <c r="D35" s="36">
        <f>ROUNDDOWN((D34)*M35/100,0)+I35</f>
        <v>-613</v>
      </c>
      <c r="E35" s="91" t="str">
        <f>"공급가액 x "&amp;ROUND(M35,5)&amp;"%"</f>
        <v>공급가액 x 10%</v>
      </c>
      <c r="F35" s="92"/>
      <c r="G35" s="93"/>
      <c r="H35" s="14" t="s">
        <v>330</v>
      </c>
      <c r="I35" s="47">
        <v>0</v>
      </c>
      <c r="J35" s="37">
        <f>ROUNDDOWN((J34)*M35/100,0)+I35</f>
        <v>0</v>
      </c>
      <c r="L35" s="37">
        <f>ROUNDDOWN((L34)*M35/100,0)+I35</f>
        <v>-613</v>
      </c>
      <c r="M35" s="47">
        <v>10</v>
      </c>
      <c r="N35" s="22">
        <v>0</v>
      </c>
      <c r="O35" s="22">
        <v>0</v>
      </c>
      <c r="P35" s="22">
        <v>0</v>
      </c>
    </row>
    <row r="36" spans="1:16" ht="24" customHeight="1" x14ac:dyDescent="0.3">
      <c r="A36" s="8" t="s">
        <v>331</v>
      </c>
      <c r="B36" s="8" t="s">
        <v>332</v>
      </c>
      <c r="C36" s="8"/>
      <c r="D36" s="36">
        <f>(D34+D35)</f>
        <v>-6751</v>
      </c>
      <c r="E36" s="96"/>
      <c r="F36" s="92"/>
      <c r="G36" s="93"/>
      <c r="H36" s="14" t="s">
        <v>333</v>
      </c>
      <c r="I36" s="22">
        <v>0</v>
      </c>
      <c r="J36" s="37">
        <f>(J34+J35)</f>
        <v>0</v>
      </c>
      <c r="L36" s="37">
        <f>(L34+L35)</f>
        <v>-6751</v>
      </c>
      <c r="M36" s="22">
        <v>0</v>
      </c>
      <c r="N36" s="22">
        <v>0</v>
      </c>
      <c r="O36" s="22">
        <v>0</v>
      </c>
      <c r="P36" s="22">
        <v>0</v>
      </c>
    </row>
    <row r="37" spans="1:16" ht="24" customHeight="1" x14ac:dyDescent="0.3">
      <c r="A37" s="8"/>
      <c r="B37" s="8" t="s">
        <v>334</v>
      </c>
      <c r="C37" s="8"/>
      <c r="D37" s="36"/>
      <c r="E37" s="91"/>
      <c r="F37" s="92"/>
      <c r="G37" s="93"/>
      <c r="H37" s="14" t="s">
        <v>335</v>
      </c>
      <c r="I37" s="47">
        <v>29888108</v>
      </c>
      <c r="J37" s="37">
        <f>ROUNDUP(I37,-3)</f>
        <v>29889000</v>
      </c>
      <c r="L37" s="37">
        <f>ROUNDUP(I37,-3)</f>
        <v>29889000</v>
      </c>
      <c r="M37" s="22">
        <v>3</v>
      </c>
      <c r="N37" s="22">
        <v>0</v>
      </c>
      <c r="O37" s="47">
        <v>160528</v>
      </c>
      <c r="P37" s="22">
        <v>0</v>
      </c>
    </row>
    <row r="38" spans="1:16" ht="24" customHeight="1" x14ac:dyDescent="0.3">
      <c r="A38" s="8" t="s">
        <v>336</v>
      </c>
      <c r="B38" s="8" t="s">
        <v>337</v>
      </c>
      <c r="C38" s="8"/>
      <c r="D38" s="36"/>
      <c r="E38" s="96"/>
      <c r="F38" s="92"/>
      <c r="G38" s="93"/>
      <c r="H38" s="14" t="s">
        <v>338</v>
      </c>
      <c r="I38" s="22">
        <v>0</v>
      </c>
      <c r="J38" s="37">
        <f>(J36+J37)</f>
        <v>29889000</v>
      </c>
      <c r="L38" s="37">
        <f>(L36+L37)</f>
        <v>29882249</v>
      </c>
      <c r="M38" s="22">
        <v>0</v>
      </c>
      <c r="N38" s="22">
        <v>0</v>
      </c>
      <c r="O38" s="22">
        <v>0</v>
      </c>
      <c r="P38" s="22">
        <v>0</v>
      </c>
    </row>
  </sheetData>
  <mergeCells count="24">
    <mergeCell ref="E38:G38"/>
    <mergeCell ref="E27:G27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E37:G37"/>
    <mergeCell ref="E26:G26"/>
    <mergeCell ref="A1:G1"/>
    <mergeCell ref="I3:P3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</mergeCells>
  <phoneticPr fontId="16" type="noConversion"/>
  <hyperlinks>
    <hyperlink ref="H1" r:id="rId1" tooltip="설계예산시스템(STmate w26.10)으로 작성 하였으며,_x000a_엑셀 인쇄품질 600 dpi에 최적화 되어 있습니다._x000a_경영정보(주) http://www.stma.co.kr_x000a_Tel) 070-4350-0040_x000a_Fax) 0505-300-3948" xr:uid="{00000000-0004-0000-0300-000000000000}"/>
  </hyperlinks>
  <printOptions horizontalCentered="1"/>
  <pageMargins left="0.78740157480314965" right="0.78740157480314965" top="0.59055118110236215" bottom="0.55118110236220474" header="0" footer="0.35433070866141736"/>
  <pageSetup paperSize="9" scale="91" fitToWidth="0" fitToHeight="0" orientation="landscape" r:id="rId2"/>
  <headerFooter alignWithMargins="0">
    <oddFooter xml:space="preserve">&amp;R&amp;"굴림체,"&amp;9 </oddFooter>
  </headerFooter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5"/>
  <sheetViews>
    <sheetView workbookViewId="0">
      <pane ySplit="4" topLeftCell="A23" activePane="bottomLeft" state="frozenSplit"/>
      <selection pane="bottomLeft" activeCell="AB6" sqref="AB6"/>
    </sheetView>
  </sheetViews>
  <sheetFormatPr defaultColWidth="9.125" defaultRowHeight="16.5" x14ac:dyDescent="0.3"/>
  <cols>
    <col min="1" max="1" width="10" style="4" customWidth="1"/>
    <col min="2" max="3" width="24.25" style="4" customWidth="1"/>
    <col min="4" max="4" width="10" style="4" customWidth="1"/>
    <col min="5" max="5" width="5.5" style="4" customWidth="1"/>
    <col min="6" max="6" width="10" style="4" customWidth="1"/>
    <col min="7" max="7" width="11.5" style="4" customWidth="1"/>
    <col min="8" max="8" width="10" style="4" customWidth="1"/>
    <col min="9" max="9" width="11.5" style="4" customWidth="1"/>
    <col min="10" max="10" width="10" style="4" customWidth="1"/>
    <col min="11" max="11" width="11.5" style="4" customWidth="1"/>
    <col min="12" max="12" width="10" style="4" customWidth="1"/>
    <col min="13" max="13" width="11.5" style="4" customWidth="1"/>
    <col min="14" max="14" width="10" style="4" customWidth="1"/>
    <col min="15" max="15" width="9.125" style="13" hidden="1" customWidth="1"/>
    <col min="16" max="28" width="2.125" style="4" customWidth="1"/>
    <col min="29" max="16384" width="9.125" style="4"/>
  </cols>
  <sheetData>
    <row r="1" spans="1:17" ht="24.95" customHeight="1" x14ac:dyDescent="0.3">
      <c r="A1" s="81" t="s">
        <v>131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3" t="s">
        <v>43</v>
      </c>
    </row>
    <row r="2" spans="1:17" ht="30.6" customHeight="1" x14ac:dyDescent="0.3">
      <c r="A2" s="1" t="s">
        <v>0</v>
      </c>
      <c r="O2" s="16" t="str">
        <f ca="1">MID(CELL("filename",$A$1),FIND("]",CELL("filename",$A$1))+1,LEN(CELL("filename",$A$1)))</f>
        <v>설계내역서</v>
      </c>
    </row>
    <row r="3" spans="1:17" ht="30.6" customHeight="1" x14ac:dyDescent="0.3">
      <c r="A3" s="97" t="s">
        <v>132</v>
      </c>
      <c r="B3" s="97" t="s">
        <v>2</v>
      </c>
      <c r="C3" s="97" t="s">
        <v>3</v>
      </c>
      <c r="D3" s="97" t="s">
        <v>133</v>
      </c>
      <c r="E3" s="97" t="s">
        <v>4</v>
      </c>
      <c r="F3" s="84" t="s">
        <v>5</v>
      </c>
      <c r="G3" s="98"/>
      <c r="H3" s="84" t="s">
        <v>6</v>
      </c>
      <c r="I3" s="98"/>
      <c r="J3" s="84" t="s">
        <v>7</v>
      </c>
      <c r="K3" s="98"/>
      <c r="L3" s="84" t="s">
        <v>8</v>
      </c>
      <c r="M3" s="98"/>
      <c r="N3" s="84" t="s">
        <v>9</v>
      </c>
    </row>
    <row r="4" spans="1:17" ht="30.6" customHeight="1" x14ac:dyDescent="0.3">
      <c r="A4" s="98"/>
      <c r="B4" s="98"/>
      <c r="C4" s="98"/>
      <c r="D4" s="98"/>
      <c r="E4" s="98"/>
      <c r="F4" s="7" t="s">
        <v>89</v>
      </c>
      <c r="G4" s="7" t="s">
        <v>134</v>
      </c>
      <c r="H4" s="7" t="s">
        <v>89</v>
      </c>
      <c r="I4" s="7" t="s">
        <v>134</v>
      </c>
      <c r="J4" s="7" t="s">
        <v>89</v>
      </c>
      <c r="K4" s="7" t="s">
        <v>134</v>
      </c>
      <c r="L4" s="7" t="s">
        <v>89</v>
      </c>
      <c r="M4" s="7" t="s">
        <v>134</v>
      </c>
      <c r="N4" s="85"/>
    </row>
    <row r="5" spans="1:17" ht="30.6" customHeight="1" x14ac:dyDescent="0.3">
      <c r="A5" s="23" t="s">
        <v>137</v>
      </c>
      <c r="B5" s="23" t="s">
        <v>138</v>
      </c>
      <c r="C5" s="25" t="s">
        <v>139</v>
      </c>
      <c r="D5" s="27"/>
      <c r="E5" s="18"/>
      <c r="F5" s="10"/>
      <c r="G5" s="34"/>
      <c r="H5" s="11"/>
      <c r="I5" s="36"/>
      <c r="J5" s="11"/>
      <c r="K5" s="42"/>
      <c r="L5" s="17"/>
      <c r="M5" s="42"/>
      <c r="N5" s="18"/>
      <c r="O5" s="14" t="str">
        <f>"_x0007_`COD|E5_x0005_`QTY1|1_x0005_`EXI|0_x0005_`ITT|0_x0005_`END|"&amp;ROW(M82)&amp;"_x0005_`"</f>
        <v>_x0007_`COD|E5_x0005_`QTY1|1_x0005_`EXI|0_x0005_`ITT|0_x0005_`END|82_x0005_`</v>
      </c>
      <c r="P5" s="5" t="s">
        <v>141</v>
      </c>
      <c r="Q5" s="5" t="s">
        <v>136</v>
      </c>
    </row>
    <row r="6" spans="1:17" ht="30.6" customHeight="1" x14ac:dyDescent="0.3">
      <c r="A6" s="8"/>
      <c r="B6" s="8"/>
      <c r="C6" s="26"/>
      <c r="D6" s="27"/>
      <c r="E6" s="18"/>
      <c r="F6" s="10"/>
      <c r="G6" s="35"/>
      <c r="H6" s="38"/>
      <c r="I6" s="38"/>
      <c r="J6" s="38"/>
      <c r="K6" s="38"/>
      <c r="L6" s="38"/>
      <c r="M6" s="45"/>
      <c r="N6" s="18"/>
      <c r="O6" s="14" t="s">
        <v>142</v>
      </c>
      <c r="P6" s="5" t="s">
        <v>140</v>
      </c>
      <c r="Q6" s="5" t="s">
        <v>141</v>
      </c>
    </row>
    <row r="7" spans="1:17" ht="30.6" customHeight="1" x14ac:dyDescent="0.3">
      <c r="A7" s="23" t="s">
        <v>145</v>
      </c>
      <c r="B7" s="23" t="s">
        <v>146</v>
      </c>
      <c r="C7" s="25"/>
      <c r="D7" s="27"/>
      <c r="E7" s="18"/>
      <c r="F7" s="10"/>
      <c r="G7" s="34"/>
      <c r="H7" s="11"/>
      <c r="I7" s="36"/>
      <c r="J7" s="11"/>
      <c r="K7" s="42"/>
      <c r="L7" s="17"/>
      <c r="M7" s="42"/>
      <c r="N7" s="18"/>
      <c r="O7" s="14" t="str">
        <f>"_x0007_`COD|E4_x0005_`QTY1|1_x0005_`EXI|0_x0005_`ITT|0_x0005_`END|"&amp;ROW(M29)&amp;"_x0005_`"</f>
        <v>_x0007_`COD|E4_x0005_`QTY1|1_x0005_`EXI|0_x0005_`ITT|0_x0005_`END|29_x0005_`</v>
      </c>
      <c r="P7" s="5" t="s">
        <v>148</v>
      </c>
      <c r="Q7" s="5" t="s">
        <v>141</v>
      </c>
    </row>
    <row r="8" spans="1:17" ht="30.6" customHeight="1" x14ac:dyDescent="0.3">
      <c r="A8" s="8" t="s">
        <v>149</v>
      </c>
      <c r="B8" s="8" t="s">
        <v>150</v>
      </c>
      <c r="C8" s="26"/>
      <c r="D8" s="27"/>
      <c r="E8" s="18"/>
      <c r="F8" s="10"/>
      <c r="G8" s="34"/>
      <c r="H8" s="11"/>
      <c r="I8" s="36"/>
      <c r="J8" s="11"/>
      <c r="K8" s="42"/>
      <c r="L8" s="17"/>
      <c r="M8" s="42"/>
      <c r="N8" s="18"/>
      <c r="O8" s="14" t="str">
        <f>"_x0007_`COD|E2_x0005_`QTY1|1_x0005_`EXI|0_x0005_`ITT|0_x0005_`END|"&amp;ROW(M14)&amp;"_x0005_`"</f>
        <v>_x0007_`COD|E2_x0005_`QTY1|1_x0005_`EXI|0_x0005_`ITT|0_x0005_`END|14_x0005_`</v>
      </c>
      <c r="P8" s="5" t="s">
        <v>152</v>
      </c>
      <c r="Q8" s="5" t="s">
        <v>148</v>
      </c>
    </row>
    <row r="9" spans="1:17" ht="30.6" customHeight="1" x14ac:dyDescent="0.3">
      <c r="A9" s="8"/>
      <c r="B9" s="8" t="s">
        <v>19</v>
      </c>
      <c r="C9" s="26" t="s">
        <v>20</v>
      </c>
      <c r="D9" s="28">
        <v>5</v>
      </c>
      <c r="E9" s="18" t="s">
        <v>21</v>
      </c>
      <c r="F9" s="31"/>
      <c r="G9" s="36"/>
      <c r="H9" s="39"/>
      <c r="I9" s="11"/>
      <c r="J9" s="41"/>
      <c r="K9" s="11"/>
      <c r="L9" s="43"/>
      <c r="M9" s="17"/>
      <c r="N9" s="18"/>
      <c r="O9" s="14" t="s">
        <v>153</v>
      </c>
      <c r="P9" s="5" t="s">
        <v>151</v>
      </c>
      <c r="Q9" s="5" t="s">
        <v>152</v>
      </c>
    </row>
    <row r="10" spans="1:17" ht="30.6" customHeight="1" x14ac:dyDescent="0.3">
      <c r="A10" s="8"/>
      <c r="B10" s="8" t="s">
        <v>30</v>
      </c>
      <c r="C10" s="26" t="s">
        <v>31</v>
      </c>
      <c r="D10" s="28">
        <v>10</v>
      </c>
      <c r="E10" s="18" t="s">
        <v>21</v>
      </c>
      <c r="F10" s="31"/>
      <c r="G10" s="36"/>
      <c r="H10" s="39"/>
      <c r="I10" s="11"/>
      <c r="J10" s="41"/>
      <c r="K10" s="11"/>
      <c r="L10" s="43"/>
      <c r="M10" s="17"/>
      <c r="N10" s="18"/>
      <c r="O10" s="14" t="s">
        <v>155</v>
      </c>
      <c r="P10" s="5" t="s">
        <v>154</v>
      </c>
      <c r="Q10" s="5" t="s">
        <v>152</v>
      </c>
    </row>
    <row r="11" spans="1:17" ht="30.6" customHeight="1" x14ac:dyDescent="0.3">
      <c r="A11" s="8"/>
      <c r="B11" s="8" t="s">
        <v>17</v>
      </c>
      <c r="C11" s="26" t="s">
        <v>18</v>
      </c>
      <c r="D11" s="28">
        <v>4586</v>
      </c>
      <c r="E11" s="18" t="s">
        <v>16</v>
      </c>
      <c r="F11" s="31"/>
      <c r="G11" s="36"/>
      <c r="H11" s="39"/>
      <c r="I11" s="11"/>
      <c r="J11" s="41"/>
      <c r="K11" s="11"/>
      <c r="L11" s="43"/>
      <c r="M11" s="17"/>
      <c r="N11" s="18"/>
      <c r="O11" s="14" t="s">
        <v>157</v>
      </c>
      <c r="P11" s="5" t="s">
        <v>156</v>
      </c>
      <c r="Q11" s="5" t="s">
        <v>152</v>
      </c>
    </row>
    <row r="12" spans="1:17" ht="30.6" customHeight="1" x14ac:dyDescent="0.3">
      <c r="A12" s="8"/>
      <c r="B12" s="8" t="s">
        <v>36</v>
      </c>
      <c r="C12" s="26" t="s">
        <v>37</v>
      </c>
      <c r="D12" s="28">
        <v>459</v>
      </c>
      <c r="E12" s="18" t="s">
        <v>16</v>
      </c>
      <c r="F12" s="31"/>
      <c r="G12" s="36"/>
      <c r="H12" s="39"/>
      <c r="I12" s="11"/>
      <c r="J12" s="41"/>
      <c r="K12" s="11"/>
      <c r="L12" s="43"/>
      <c r="M12" s="17"/>
      <c r="N12" s="18"/>
      <c r="O12" s="14" t="s">
        <v>159</v>
      </c>
      <c r="P12" s="5" t="s">
        <v>158</v>
      </c>
      <c r="Q12" s="5" t="s">
        <v>152</v>
      </c>
    </row>
    <row r="13" spans="1:17" ht="30.6" customHeight="1" x14ac:dyDescent="0.3">
      <c r="A13" s="8"/>
      <c r="B13" s="8" t="s">
        <v>69</v>
      </c>
      <c r="C13" s="26" t="s">
        <v>70</v>
      </c>
      <c r="D13" s="28">
        <v>254</v>
      </c>
      <c r="E13" s="18" t="s">
        <v>10</v>
      </c>
      <c r="F13" s="31"/>
      <c r="G13" s="36"/>
      <c r="H13" s="39"/>
      <c r="I13" s="11"/>
      <c r="J13" s="41"/>
      <c r="K13" s="11"/>
      <c r="L13" s="43"/>
      <c r="M13" s="17"/>
      <c r="N13" s="18"/>
      <c r="O13" s="14" t="s">
        <v>161</v>
      </c>
      <c r="P13" s="5" t="s">
        <v>160</v>
      </c>
      <c r="Q13" s="5" t="s">
        <v>152</v>
      </c>
    </row>
    <row r="14" spans="1:17" ht="30.6" customHeight="1" x14ac:dyDescent="0.3">
      <c r="A14" s="8" t="s">
        <v>163</v>
      </c>
      <c r="B14" s="8" t="s">
        <v>164</v>
      </c>
      <c r="C14" s="26"/>
      <c r="D14" s="27"/>
      <c r="E14" s="18"/>
      <c r="F14" s="10"/>
      <c r="G14" s="34"/>
      <c r="H14" s="11"/>
      <c r="I14" s="36"/>
      <c r="J14" s="11"/>
      <c r="K14" s="42"/>
      <c r="L14" s="17"/>
      <c r="M14" s="42"/>
      <c r="N14" s="18"/>
      <c r="O14" s="14" t="str">
        <f>"_x0007_`COD|E2_x0005_`QTY1|1_x0005_`EXI|0_x0005_`ITT|0_x0005_`END|"&amp;ROW(M19)&amp;"_x0005_`"</f>
        <v>_x0007_`COD|E2_x0005_`QTY1|1_x0005_`EXI|0_x0005_`ITT|0_x0005_`END|19_x0005_`</v>
      </c>
      <c r="P14" s="5" t="s">
        <v>152</v>
      </c>
      <c r="Q14" s="5" t="s">
        <v>148</v>
      </c>
    </row>
    <row r="15" spans="1:17" ht="30.6" customHeight="1" x14ac:dyDescent="0.3">
      <c r="A15" s="8"/>
      <c r="B15" s="8" t="s">
        <v>44</v>
      </c>
      <c r="C15" s="26" t="s">
        <v>45</v>
      </c>
      <c r="D15" s="28">
        <v>2533</v>
      </c>
      <c r="E15" s="18" t="s">
        <v>10</v>
      </c>
      <c r="F15" s="31"/>
      <c r="G15" s="36"/>
      <c r="H15" s="39"/>
      <c r="I15" s="11"/>
      <c r="J15" s="41"/>
      <c r="K15" s="11"/>
      <c r="L15" s="43"/>
      <c r="M15" s="17"/>
      <c r="N15" s="18"/>
      <c r="O15" s="14" t="s">
        <v>166</v>
      </c>
      <c r="P15" s="5" t="s">
        <v>165</v>
      </c>
      <c r="Q15" s="5" t="s">
        <v>152</v>
      </c>
    </row>
    <row r="16" spans="1:17" ht="30.6" customHeight="1" x14ac:dyDescent="0.3">
      <c r="A16" s="8"/>
      <c r="B16" s="8" t="s">
        <v>46</v>
      </c>
      <c r="C16" s="26" t="s">
        <v>47</v>
      </c>
      <c r="D16" s="28">
        <v>1666</v>
      </c>
      <c r="E16" s="18" t="s">
        <v>10</v>
      </c>
      <c r="F16" s="31"/>
      <c r="G16" s="36"/>
      <c r="H16" s="39"/>
      <c r="I16" s="11"/>
      <c r="J16" s="41"/>
      <c r="K16" s="11"/>
      <c r="L16" s="43"/>
      <c r="M16" s="17"/>
      <c r="N16" s="18"/>
      <c r="O16" s="14" t="s">
        <v>168</v>
      </c>
      <c r="P16" s="5" t="s">
        <v>167</v>
      </c>
      <c r="Q16" s="5" t="s">
        <v>152</v>
      </c>
    </row>
    <row r="17" spans="1:17" ht="30.6" customHeight="1" x14ac:dyDescent="0.3">
      <c r="A17" s="8"/>
      <c r="B17" s="8" t="s">
        <v>48</v>
      </c>
      <c r="C17" s="26" t="s">
        <v>49</v>
      </c>
      <c r="D17" s="28">
        <v>4</v>
      </c>
      <c r="E17" s="18" t="s">
        <v>10</v>
      </c>
      <c r="F17" s="31"/>
      <c r="G17" s="36"/>
      <c r="H17" s="39"/>
      <c r="I17" s="11"/>
      <c r="J17" s="41"/>
      <c r="K17" s="11"/>
      <c r="L17" s="43"/>
      <c r="M17" s="17"/>
      <c r="N17" s="18"/>
      <c r="O17" s="14" t="s">
        <v>170</v>
      </c>
      <c r="P17" s="5" t="s">
        <v>169</v>
      </c>
      <c r="Q17" s="5" t="s">
        <v>152</v>
      </c>
    </row>
    <row r="18" spans="1:17" ht="30.6" customHeight="1" x14ac:dyDescent="0.3">
      <c r="A18" s="8"/>
      <c r="B18" s="8" t="s">
        <v>50</v>
      </c>
      <c r="C18" s="26" t="s">
        <v>47</v>
      </c>
      <c r="D18" s="28">
        <v>48</v>
      </c>
      <c r="E18" s="18" t="s">
        <v>10</v>
      </c>
      <c r="F18" s="31"/>
      <c r="G18" s="36"/>
      <c r="H18" s="39"/>
      <c r="I18" s="11"/>
      <c r="J18" s="41"/>
      <c r="K18" s="11"/>
      <c r="L18" s="43"/>
      <c r="M18" s="17"/>
      <c r="N18" s="18"/>
      <c r="O18" s="14" t="s">
        <v>172</v>
      </c>
      <c r="P18" s="5" t="s">
        <v>171</v>
      </c>
      <c r="Q18" s="5" t="s">
        <v>152</v>
      </c>
    </row>
    <row r="19" spans="1:17" ht="30.6" customHeight="1" x14ac:dyDescent="0.3">
      <c r="A19" s="8" t="s">
        <v>173</v>
      </c>
      <c r="B19" s="8" t="s">
        <v>174</v>
      </c>
      <c r="C19" s="26"/>
      <c r="D19" s="27"/>
      <c r="E19" s="18"/>
      <c r="F19" s="10"/>
      <c r="G19" s="34"/>
      <c r="H19" s="11"/>
      <c r="I19" s="36"/>
      <c r="J19" s="11"/>
      <c r="K19" s="42"/>
      <c r="L19" s="17"/>
      <c r="M19" s="42"/>
      <c r="N19" s="18"/>
      <c r="O19" s="14" t="str">
        <f>"_x0007_`COD|E2_x0005_`QTY1|1_x0005_`EXI|0_x0005_`ITT|0_x0005_`END|"&amp;ROW(M25)&amp;"_x0005_`"</f>
        <v>_x0007_`COD|E2_x0005_`QTY1|1_x0005_`EXI|0_x0005_`ITT|0_x0005_`END|25_x0005_`</v>
      </c>
      <c r="P19" s="5" t="s">
        <v>152</v>
      </c>
      <c r="Q19" s="5" t="s">
        <v>148</v>
      </c>
    </row>
    <row r="20" spans="1:17" ht="30.6" customHeight="1" x14ac:dyDescent="0.3">
      <c r="A20" s="8"/>
      <c r="B20" s="8" t="s">
        <v>51</v>
      </c>
      <c r="C20" s="26"/>
      <c r="D20" s="28">
        <v>521</v>
      </c>
      <c r="E20" s="18" t="s">
        <v>10</v>
      </c>
      <c r="F20" s="31"/>
      <c r="G20" s="36"/>
      <c r="H20" s="39"/>
      <c r="I20" s="11"/>
      <c r="J20" s="41"/>
      <c r="K20" s="11"/>
      <c r="L20" s="43"/>
      <c r="M20" s="17"/>
      <c r="N20" s="18"/>
      <c r="O20" s="14" t="s">
        <v>176</v>
      </c>
      <c r="P20" s="5" t="s">
        <v>175</v>
      </c>
      <c r="Q20" s="5" t="s">
        <v>152</v>
      </c>
    </row>
    <row r="21" spans="1:17" ht="30.6" customHeight="1" x14ac:dyDescent="0.3">
      <c r="A21" s="8"/>
      <c r="B21" s="8" t="s">
        <v>73</v>
      </c>
      <c r="C21" s="26" t="s">
        <v>72</v>
      </c>
      <c r="D21" s="28">
        <v>97</v>
      </c>
      <c r="E21" s="18" t="s">
        <v>10</v>
      </c>
      <c r="F21" s="31"/>
      <c r="G21" s="36"/>
      <c r="H21" s="39"/>
      <c r="I21" s="11"/>
      <c r="J21" s="41"/>
      <c r="K21" s="11"/>
      <c r="L21" s="43"/>
      <c r="M21" s="17"/>
      <c r="N21" s="18"/>
      <c r="O21" s="14" t="s">
        <v>178</v>
      </c>
      <c r="P21" s="5" t="s">
        <v>177</v>
      </c>
      <c r="Q21" s="5" t="s">
        <v>152</v>
      </c>
    </row>
    <row r="22" spans="1:17" ht="30.6" customHeight="1" x14ac:dyDescent="0.3">
      <c r="A22" s="8"/>
      <c r="B22" s="8" t="s">
        <v>71</v>
      </c>
      <c r="C22" s="26" t="s">
        <v>72</v>
      </c>
      <c r="D22" s="28">
        <v>61</v>
      </c>
      <c r="E22" s="18" t="s">
        <v>10</v>
      </c>
      <c r="F22" s="31"/>
      <c r="G22" s="36"/>
      <c r="H22" s="39"/>
      <c r="I22" s="11"/>
      <c r="J22" s="41"/>
      <c r="K22" s="11"/>
      <c r="L22" s="43"/>
      <c r="M22" s="17"/>
      <c r="N22" s="18"/>
      <c r="O22" s="14" t="s">
        <v>180</v>
      </c>
      <c r="P22" s="5" t="s">
        <v>179</v>
      </c>
      <c r="Q22" s="5" t="s">
        <v>152</v>
      </c>
    </row>
    <row r="23" spans="1:17" ht="30.6" customHeight="1" x14ac:dyDescent="0.3">
      <c r="A23" s="8"/>
      <c r="B23" s="8" t="s">
        <v>81</v>
      </c>
      <c r="C23" s="26" t="s">
        <v>75</v>
      </c>
      <c r="D23" s="28">
        <v>2</v>
      </c>
      <c r="E23" s="18" t="s">
        <v>10</v>
      </c>
      <c r="F23" s="31"/>
      <c r="G23" s="36"/>
      <c r="H23" s="39"/>
      <c r="I23" s="11"/>
      <c r="J23" s="41"/>
      <c r="K23" s="11"/>
      <c r="L23" s="43"/>
      <c r="M23" s="17"/>
      <c r="N23" s="18"/>
      <c r="O23" s="14" t="s">
        <v>182</v>
      </c>
      <c r="P23" s="5" t="s">
        <v>181</v>
      </c>
      <c r="Q23" s="5" t="s">
        <v>152</v>
      </c>
    </row>
    <row r="24" spans="1:17" ht="30.6" customHeight="1" x14ac:dyDescent="0.3">
      <c r="A24" s="8"/>
      <c r="B24" s="8" t="s">
        <v>74</v>
      </c>
      <c r="C24" s="26" t="s">
        <v>75</v>
      </c>
      <c r="D24" s="28">
        <v>2</v>
      </c>
      <c r="E24" s="18" t="s">
        <v>10</v>
      </c>
      <c r="F24" s="31"/>
      <c r="G24" s="36"/>
      <c r="H24" s="39"/>
      <c r="I24" s="11"/>
      <c r="J24" s="41"/>
      <c r="K24" s="11"/>
      <c r="L24" s="43"/>
      <c r="M24" s="17"/>
      <c r="N24" s="18"/>
      <c r="O24" s="14" t="s">
        <v>184</v>
      </c>
      <c r="P24" s="5" t="s">
        <v>183</v>
      </c>
      <c r="Q24" s="5" t="s">
        <v>152</v>
      </c>
    </row>
    <row r="25" spans="1:17" ht="30.6" customHeight="1" x14ac:dyDescent="0.3">
      <c r="A25" s="8" t="s">
        <v>185</v>
      </c>
      <c r="B25" s="8" t="s">
        <v>186</v>
      </c>
      <c r="C25" s="26"/>
      <c r="D25" s="27"/>
      <c r="E25" s="18"/>
      <c r="F25" s="10"/>
      <c r="G25" s="34"/>
      <c r="H25" s="11"/>
      <c r="I25" s="36"/>
      <c r="J25" s="11"/>
      <c r="K25" s="42"/>
      <c r="L25" s="17"/>
      <c r="M25" s="42"/>
      <c r="N25" s="18"/>
      <c r="O25" s="14" t="str">
        <f>"_x0007_`COD|E2_x0005_`QTY1|1_x0005_`EXI|0_x0005_`ITT|0_x0005_`END|"&amp;ROW(M29)&amp;"_x0005_`"</f>
        <v>_x0007_`COD|E2_x0005_`QTY1|1_x0005_`EXI|0_x0005_`ITT|0_x0005_`END|29_x0005_`</v>
      </c>
      <c r="P25" s="5" t="s">
        <v>152</v>
      </c>
      <c r="Q25" s="5" t="s">
        <v>148</v>
      </c>
    </row>
    <row r="26" spans="1:17" ht="30.6" customHeight="1" x14ac:dyDescent="0.3">
      <c r="A26" s="8"/>
      <c r="B26" s="8" t="s">
        <v>82</v>
      </c>
      <c r="C26" s="26" t="s">
        <v>83</v>
      </c>
      <c r="D26" s="28">
        <v>3539</v>
      </c>
      <c r="E26" s="18" t="s">
        <v>10</v>
      </c>
      <c r="F26" s="31"/>
      <c r="G26" s="36"/>
      <c r="H26" s="39"/>
      <c r="I26" s="11"/>
      <c r="J26" s="41"/>
      <c r="K26" s="11"/>
      <c r="L26" s="43"/>
      <c r="M26" s="17"/>
      <c r="N26" s="18"/>
      <c r="O26" s="14" t="s">
        <v>188</v>
      </c>
      <c r="P26" s="5" t="s">
        <v>187</v>
      </c>
      <c r="Q26" s="5" t="s">
        <v>152</v>
      </c>
    </row>
    <row r="27" spans="1:17" ht="30.6" customHeight="1" x14ac:dyDescent="0.3">
      <c r="A27" s="8"/>
      <c r="B27" s="8" t="s">
        <v>53</v>
      </c>
      <c r="C27" s="26" t="s">
        <v>52</v>
      </c>
      <c r="D27" s="28">
        <v>939</v>
      </c>
      <c r="E27" s="18" t="s">
        <v>16</v>
      </c>
      <c r="F27" s="31"/>
      <c r="G27" s="36"/>
      <c r="H27" s="39"/>
      <c r="I27" s="11"/>
      <c r="J27" s="41"/>
      <c r="K27" s="11"/>
      <c r="L27" s="43"/>
      <c r="M27" s="17"/>
      <c r="N27" s="18"/>
      <c r="O27" s="14" t="s">
        <v>190</v>
      </c>
      <c r="P27" s="5" t="s">
        <v>189</v>
      </c>
      <c r="Q27" s="5" t="s">
        <v>152</v>
      </c>
    </row>
    <row r="28" spans="1:17" ht="30.6" customHeight="1" x14ac:dyDescent="0.3">
      <c r="A28" s="8"/>
      <c r="B28" s="8" t="s">
        <v>54</v>
      </c>
      <c r="C28" s="26" t="s">
        <v>52</v>
      </c>
      <c r="D28" s="28">
        <v>1206</v>
      </c>
      <c r="E28" s="18" t="s">
        <v>16</v>
      </c>
      <c r="F28" s="31"/>
      <c r="G28" s="36"/>
      <c r="H28" s="39"/>
      <c r="I28" s="11"/>
      <c r="J28" s="41"/>
      <c r="K28" s="11"/>
      <c r="L28" s="43"/>
      <c r="M28" s="17"/>
      <c r="N28" s="18"/>
      <c r="O28" s="14" t="s">
        <v>192</v>
      </c>
      <c r="P28" s="5" t="s">
        <v>191</v>
      </c>
      <c r="Q28" s="5" t="s">
        <v>152</v>
      </c>
    </row>
    <row r="29" spans="1:17" ht="30.6" customHeight="1" x14ac:dyDescent="0.3">
      <c r="A29" s="8"/>
      <c r="B29" s="8"/>
      <c r="C29" s="26"/>
      <c r="D29" s="27"/>
      <c r="E29" s="18"/>
      <c r="F29" s="10"/>
      <c r="G29" s="35"/>
      <c r="H29" s="38"/>
      <c r="I29" s="38"/>
      <c r="J29" s="38"/>
      <c r="K29" s="38"/>
      <c r="L29" s="38"/>
      <c r="M29" s="45"/>
      <c r="N29" s="18"/>
      <c r="O29" s="14" t="s">
        <v>142</v>
      </c>
      <c r="P29" s="5" t="s">
        <v>140</v>
      </c>
      <c r="Q29" s="5" t="s">
        <v>141</v>
      </c>
    </row>
    <row r="30" spans="1:17" ht="30.6" customHeight="1" x14ac:dyDescent="0.3">
      <c r="A30" s="23" t="s">
        <v>162</v>
      </c>
      <c r="B30" s="23" t="s">
        <v>147</v>
      </c>
      <c r="C30" s="25"/>
      <c r="D30" s="27"/>
      <c r="E30" s="18"/>
      <c r="F30" s="10"/>
      <c r="G30" s="34"/>
      <c r="H30" s="11"/>
      <c r="I30" s="36"/>
      <c r="J30" s="11"/>
      <c r="K30" s="42"/>
      <c r="L30" s="17"/>
      <c r="M30" s="42"/>
      <c r="N30" s="18"/>
      <c r="O30" s="14" t="str">
        <f>"_x0007_`COD|E4_x0005_`QTY1|1_x0005_`EXI|0_x0005_`ITT|0_x0005_`END|"&amp;ROW(M48)&amp;"_x0005_`"</f>
        <v>_x0007_`COD|E4_x0005_`QTY1|1_x0005_`EXI|0_x0005_`ITT|0_x0005_`END|48_x0005_`</v>
      </c>
      <c r="P30" s="5" t="s">
        <v>148</v>
      </c>
      <c r="Q30" s="5" t="s">
        <v>141</v>
      </c>
    </row>
    <row r="31" spans="1:17" ht="30.6" customHeight="1" x14ac:dyDescent="0.3">
      <c r="A31" s="23" t="s">
        <v>195</v>
      </c>
      <c r="B31" s="23" t="s">
        <v>196</v>
      </c>
      <c r="C31" s="25"/>
      <c r="D31" s="27"/>
      <c r="E31" s="18"/>
      <c r="F31" s="10"/>
      <c r="G31" s="34"/>
      <c r="H31" s="11"/>
      <c r="I31" s="36"/>
      <c r="J31" s="11"/>
      <c r="K31" s="42"/>
      <c r="L31" s="17"/>
      <c r="M31" s="42"/>
      <c r="N31" s="18"/>
      <c r="O31" s="14" t="str">
        <f>"_x0007_`COD|E3_x0005_`QTY1|1_x0005_`EXI|0_x0005_`ITT|0_x0005_`END|"&amp;ROW(M38)&amp;"_x0005_`"</f>
        <v>_x0007_`COD|E3_x0005_`QTY1|1_x0005_`EXI|0_x0005_`ITT|0_x0005_`END|38_x0005_`</v>
      </c>
      <c r="P31" s="5" t="s">
        <v>198</v>
      </c>
      <c r="Q31" s="5" t="s">
        <v>148</v>
      </c>
    </row>
    <row r="32" spans="1:17" ht="30.6" customHeight="1" x14ac:dyDescent="0.3">
      <c r="A32" s="8"/>
      <c r="B32" s="8" t="s">
        <v>22</v>
      </c>
      <c r="C32" s="26" t="s">
        <v>23</v>
      </c>
      <c r="D32" s="28">
        <v>1010</v>
      </c>
      <c r="E32" s="18" t="s">
        <v>16</v>
      </c>
      <c r="F32" s="31"/>
      <c r="G32" s="36"/>
      <c r="H32" s="39"/>
      <c r="I32" s="11"/>
      <c r="J32" s="41"/>
      <c r="K32" s="11"/>
      <c r="L32" s="43"/>
      <c r="M32" s="17"/>
      <c r="N32" s="18"/>
      <c r="O32" s="14" t="s">
        <v>199</v>
      </c>
      <c r="P32" s="5" t="s">
        <v>197</v>
      </c>
      <c r="Q32" s="5" t="s">
        <v>198</v>
      </c>
    </row>
    <row r="33" spans="1:17" ht="30.6" customHeight="1" x14ac:dyDescent="0.3">
      <c r="A33" s="8"/>
      <c r="B33" s="8" t="s">
        <v>24</v>
      </c>
      <c r="C33" s="26" t="s">
        <v>25</v>
      </c>
      <c r="D33" s="28">
        <v>280</v>
      </c>
      <c r="E33" s="18" t="s">
        <v>13</v>
      </c>
      <c r="F33" s="31"/>
      <c r="G33" s="36"/>
      <c r="H33" s="39"/>
      <c r="I33" s="11"/>
      <c r="J33" s="41"/>
      <c r="K33" s="11"/>
      <c r="L33" s="43"/>
      <c r="M33" s="17"/>
      <c r="N33" s="18"/>
      <c r="O33" s="14" t="s">
        <v>201</v>
      </c>
      <c r="P33" s="5" t="s">
        <v>200</v>
      </c>
      <c r="Q33" s="5" t="s">
        <v>198</v>
      </c>
    </row>
    <row r="34" spans="1:17" ht="30.6" customHeight="1" x14ac:dyDescent="0.3">
      <c r="A34" s="8"/>
      <c r="B34" s="8" t="s">
        <v>55</v>
      </c>
      <c r="C34" s="26" t="s">
        <v>22</v>
      </c>
      <c r="D34" s="28">
        <v>158</v>
      </c>
      <c r="E34" s="18" t="s">
        <v>13</v>
      </c>
      <c r="F34" s="31"/>
      <c r="G34" s="36"/>
      <c r="H34" s="39"/>
      <c r="I34" s="11"/>
      <c r="J34" s="41"/>
      <c r="K34" s="11"/>
      <c r="L34" s="43"/>
      <c r="M34" s="17"/>
      <c r="N34" s="18"/>
      <c r="O34" s="14" t="s">
        <v>203</v>
      </c>
      <c r="P34" s="5" t="s">
        <v>202</v>
      </c>
      <c r="Q34" s="5" t="s">
        <v>198</v>
      </c>
    </row>
    <row r="35" spans="1:17" ht="30.6" customHeight="1" x14ac:dyDescent="0.3">
      <c r="A35" s="8"/>
      <c r="B35" s="8" t="s">
        <v>14</v>
      </c>
      <c r="C35" s="26" t="s">
        <v>15</v>
      </c>
      <c r="D35" s="28">
        <v>240</v>
      </c>
      <c r="E35" s="18" t="s">
        <v>13</v>
      </c>
      <c r="F35" s="31"/>
      <c r="G35" s="36"/>
      <c r="H35" s="39"/>
      <c r="I35" s="11"/>
      <c r="J35" s="41"/>
      <c r="K35" s="11"/>
      <c r="L35" s="43"/>
      <c r="M35" s="17"/>
      <c r="N35" s="18"/>
      <c r="O35" s="14" t="s">
        <v>205</v>
      </c>
      <c r="P35" s="5" t="s">
        <v>204</v>
      </c>
      <c r="Q35" s="5" t="s">
        <v>198</v>
      </c>
    </row>
    <row r="36" spans="1:17" ht="30.6" customHeight="1" x14ac:dyDescent="0.3">
      <c r="A36" s="8"/>
      <c r="B36" s="8" t="s">
        <v>84</v>
      </c>
      <c r="C36" s="26"/>
      <c r="D36" s="28">
        <v>749</v>
      </c>
      <c r="E36" s="18" t="s">
        <v>16</v>
      </c>
      <c r="F36" s="31"/>
      <c r="G36" s="36"/>
      <c r="H36" s="39"/>
      <c r="I36" s="11"/>
      <c r="J36" s="41"/>
      <c r="K36" s="11"/>
      <c r="L36" s="43"/>
      <c r="M36" s="17"/>
      <c r="N36" s="18"/>
      <c r="O36" s="14" t="s">
        <v>207</v>
      </c>
      <c r="P36" s="5" t="s">
        <v>206</v>
      </c>
      <c r="Q36" s="5" t="s">
        <v>198</v>
      </c>
    </row>
    <row r="37" spans="1:17" ht="30.6" customHeight="1" x14ac:dyDescent="0.3">
      <c r="A37" s="8"/>
      <c r="B37" s="8" t="s">
        <v>38</v>
      </c>
      <c r="C37" s="26" t="s">
        <v>39</v>
      </c>
      <c r="D37" s="28">
        <v>8</v>
      </c>
      <c r="E37" s="18" t="s">
        <v>13</v>
      </c>
      <c r="F37" s="31"/>
      <c r="G37" s="36"/>
      <c r="H37" s="39"/>
      <c r="I37" s="11"/>
      <c r="J37" s="41"/>
      <c r="K37" s="11"/>
      <c r="L37" s="43"/>
      <c r="M37" s="17"/>
      <c r="N37" s="18"/>
      <c r="O37" s="14" t="s">
        <v>209</v>
      </c>
      <c r="P37" s="5" t="s">
        <v>208</v>
      </c>
      <c r="Q37" s="5" t="s">
        <v>198</v>
      </c>
    </row>
    <row r="38" spans="1:17" ht="30.6" customHeight="1" x14ac:dyDescent="0.3">
      <c r="A38" s="23" t="s">
        <v>210</v>
      </c>
      <c r="B38" s="23" t="s">
        <v>211</v>
      </c>
      <c r="C38" s="25"/>
      <c r="D38" s="27"/>
      <c r="E38" s="18"/>
      <c r="F38" s="10"/>
      <c r="G38" s="34"/>
      <c r="H38" s="11"/>
      <c r="I38" s="36"/>
      <c r="J38" s="11"/>
      <c r="K38" s="42"/>
      <c r="L38" s="17"/>
      <c r="M38" s="42"/>
      <c r="N38" s="18"/>
      <c r="O38" s="14" t="str">
        <f>"_x0007_`COD|E3_x0005_`QTY1|1_x0005_`EXI|0_x0005_`ITT|0_x0005_`END|"&amp;ROW(M41)&amp;"_x0005_`"</f>
        <v>_x0007_`COD|E3_x0005_`QTY1|1_x0005_`EXI|0_x0005_`ITT|0_x0005_`END|41_x0005_`</v>
      </c>
      <c r="P38" s="5" t="s">
        <v>198</v>
      </c>
      <c r="Q38" s="5" t="s">
        <v>148</v>
      </c>
    </row>
    <row r="39" spans="1:17" ht="30.6" customHeight="1" x14ac:dyDescent="0.3">
      <c r="A39" s="8"/>
      <c r="B39" s="8" t="s">
        <v>34</v>
      </c>
      <c r="C39" s="26" t="s">
        <v>35</v>
      </c>
      <c r="D39" s="28">
        <v>20</v>
      </c>
      <c r="E39" s="18" t="s">
        <v>13</v>
      </c>
      <c r="F39" s="31"/>
      <c r="G39" s="36"/>
      <c r="H39" s="39"/>
      <c r="I39" s="11"/>
      <c r="J39" s="41"/>
      <c r="K39" s="11"/>
      <c r="L39" s="43"/>
      <c r="M39" s="17"/>
      <c r="N39" s="18"/>
      <c r="O39" s="14" t="s">
        <v>213</v>
      </c>
      <c r="P39" s="5" t="s">
        <v>212</v>
      </c>
      <c r="Q39" s="5" t="s">
        <v>198</v>
      </c>
    </row>
    <row r="40" spans="1:17" ht="30.6" customHeight="1" x14ac:dyDescent="0.3">
      <c r="A40" s="8"/>
      <c r="B40" s="8" t="s">
        <v>42</v>
      </c>
      <c r="C40" s="26" t="s">
        <v>35</v>
      </c>
      <c r="D40" s="28">
        <v>30</v>
      </c>
      <c r="E40" s="18" t="s">
        <v>13</v>
      </c>
      <c r="F40" s="31"/>
      <c r="G40" s="36"/>
      <c r="H40" s="39"/>
      <c r="I40" s="11"/>
      <c r="J40" s="41"/>
      <c r="K40" s="11"/>
      <c r="L40" s="43"/>
      <c r="M40" s="17"/>
      <c r="N40" s="18"/>
      <c r="O40" s="14" t="s">
        <v>215</v>
      </c>
      <c r="P40" s="5" t="s">
        <v>214</v>
      </c>
      <c r="Q40" s="5" t="s">
        <v>198</v>
      </c>
    </row>
    <row r="41" spans="1:17" ht="30.6" customHeight="1" x14ac:dyDescent="0.3">
      <c r="A41" s="23" t="s">
        <v>216</v>
      </c>
      <c r="B41" s="23" t="s">
        <v>217</v>
      </c>
      <c r="C41" s="25"/>
      <c r="D41" s="27"/>
      <c r="E41" s="18"/>
      <c r="F41" s="10"/>
      <c r="G41" s="34"/>
      <c r="H41" s="11"/>
      <c r="I41" s="36"/>
      <c r="J41" s="11"/>
      <c r="K41" s="42"/>
      <c r="L41" s="17"/>
      <c r="M41" s="42"/>
      <c r="N41" s="18"/>
      <c r="O41" s="14" t="str">
        <f>"_x0007_`COD|E3_x0005_`QTY1|1_x0005_`EXI|1_x0005_`ITT|0_x0005_`END|"&amp;ROW(M44)&amp;"_x0005_`"</f>
        <v>_x0007_`COD|E3_x0005_`QTY1|1_x0005_`EXI|1_x0005_`ITT|0_x0005_`END|44_x0005_`</v>
      </c>
      <c r="P41" s="5" t="s">
        <v>198</v>
      </c>
      <c r="Q41" s="5" t="s">
        <v>148</v>
      </c>
    </row>
    <row r="42" spans="1:17" ht="30.6" customHeight="1" x14ac:dyDescent="0.3">
      <c r="A42" s="8"/>
      <c r="B42" s="8" t="s">
        <v>11</v>
      </c>
      <c r="C42" s="26" t="s">
        <v>12</v>
      </c>
      <c r="D42" s="28">
        <v>14</v>
      </c>
      <c r="E42" s="18" t="s">
        <v>13</v>
      </c>
      <c r="F42" s="31"/>
      <c r="G42" s="36"/>
      <c r="H42" s="39"/>
      <c r="I42" s="11"/>
      <c r="J42" s="41"/>
      <c r="K42" s="11"/>
      <c r="L42" s="43"/>
      <c r="M42" s="17"/>
      <c r="N42" s="18"/>
      <c r="O42" s="14" t="s">
        <v>219</v>
      </c>
      <c r="P42" s="5" t="s">
        <v>218</v>
      </c>
      <c r="Q42" s="5" t="s">
        <v>198</v>
      </c>
    </row>
    <row r="43" spans="1:17" ht="30.6" customHeight="1" x14ac:dyDescent="0.3">
      <c r="A43" s="8"/>
      <c r="B43" s="8" t="s">
        <v>40</v>
      </c>
      <c r="C43" s="26" t="s">
        <v>41</v>
      </c>
      <c r="D43" s="28">
        <v>1</v>
      </c>
      <c r="E43" s="18" t="s">
        <v>21</v>
      </c>
      <c r="F43" s="31"/>
      <c r="G43" s="36"/>
      <c r="H43" s="39"/>
      <c r="I43" s="11"/>
      <c r="J43" s="41"/>
      <c r="K43" s="11"/>
      <c r="L43" s="43"/>
      <c r="M43" s="17"/>
      <c r="N43" s="18"/>
      <c r="O43" s="14" t="s">
        <v>221</v>
      </c>
      <c r="P43" s="5" t="s">
        <v>220</v>
      </c>
      <c r="Q43" s="5" t="s">
        <v>198</v>
      </c>
    </row>
    <row r="44" spans="1:17" ht="30.6" customHeight="1" x14ac:dyDescent="0.3">
      <c r="A44" s="23" t="s">
        <v>222</v>
      </c>
      <c r="B44" s="23" t="s">
        <v>223</v>
      </c>
      <c r="C44" s="25"/>
      <c r="D44" s="27"/>
      <c r="E44" s="18"/>
      <c r="F44" s="10"/>
      <c r="G44" s="34"/>
      <c r="H44" s="11"/>
      <c r="I44" s="36"/>
      <c r="J44" s="11"/>
      <c r="K44" s="42"/>
      <c r="L44" s="17"/>
      <c r="M44" s="42"/>
      <c r="N44" s="18"/>
      <c r="O44" s="14" t="str">
        <f>"_x0007_`COD|E3_x0005_`QTY1|1_x0005_`EXI|0_x0005_`ITT|0_x0005_`END|"&amp;ROW(M48)&amp;"_x0005_`"</f>
        <v>_x0007_`COD|E3_x0005_`QTY1|1_x0005_`EXI|0_x0005_`ITT|0_x0005_`END|48_x0005_`</v>
      </c>
      <c r="P44" s="5" t="s">
        <v>198</v>
      </c>
      <c r="Q44" s="5" t="s">
        <v>148</v>
      </c>
    </row>
    <row r="45" spans="1:17" ht="30.6" customHeight="1" x14ac:dyDescent="0.3">
      <c r="A45" s="8"/>
      <c r="B45" s="8" t="s">
        <v>26</v>
      </c>
      <c r="C45" s="26" t="s">
        <v>27</v>
      </c>
      <c r="D45" s="28">
        <v>52</v>
      </c>
      <c r="E45" s="18" t="s">
        <v>16</v>
      </c>
      <c r="F45" s="31"/>
      <c r="G45" s="36"/>
      <c r="H45" s="39"/>
      <c r="I45" s="11"/>
      <c r="J45" s="41"/>
      <c r="K45" s="11"/>
      <c r="L45" s="43"/>
      <c r="M45" s="17"/>
      <c r="N45" s="18"/>
      <c r="O45" s="14" t="s">
        <v>225</v>
      </c>
      <c r="P45" s="5" t="s">
        <v>224</v>
      </c>
      <c r="Q45" s="5" t="s">
        <v>198</v>
      </c>
    </row>
    <row r="46" spans="1:17" ht="30.6" customHeight="1" x14ac:dyDescent="0.3">
      <c r="A46" s="8"/>
      <c r="B46" s="8" t="s">
        <v>28</v>
      </c>
      <c r="C46" s="26" t="s">
        <v>29</v>
      </c>
      <c r="D46" s="28">
        <v>1</v>
      </c>
      <c r="E46" s="18" t="s">
        <v>21</v>
      </c>
      <c r="F46" s="31"/>
      <c r="G46" s="36"/>
      <c r="H46" s="39"/>
      <c r="I46" s="11"/>
      <c r="J46" s="41"/>
      <c r="K46" s="11"/>
      <c r="L46" s="43"/>
      <c r="M46" s="17"/>
      <c r="N46" s="18"/>
      <c r="O46" s="14" t="s">
        <v>227</v>
      </c>
      <c r="P46" s="5" t="s">
        <v>226</v>
      </c>
      <c r="Q46" s="5" t="s">
        <v>198</v>
      </c>
    </row>
    <row r="47" spans="1:17" ht="30.6" customHeight="1" x14ac:dyDescent="0.3">
      <c r="A47" s="8"/>
      <c r="B47" s="8" t="s">
        <v>107</v>
      </c>
      <c r="C47" s="26" t="s">
        <v>108</v>
      </c>
      <c r="D47" s="28">
        <v>1</v>
      </c>
      <c r="E47" s="18" t="s">
        <v>93</v>
      </c>
      <c r="F47" s="31"/>
      <c r="G47" s="36"/>
      <c r="H47" s="40"/>
      <c r="I47" s="17"/>
      <c r="J47" s="41"/>
      <c r="K47" s="11"/>
      <c r="L47" s="44"/>
      <c r="M47" s="17"/>
      <c r="N47" s="18"/>
      <c r="O47" s="14" t="s">
        <v>229</v>
      </c>
      <c r="P47" s="5" t="s">
        <v>228</v>
      </c>
      <c r="Q47" s="5" t="s">
        <v>198</v>
      </c>
    </row>
    <row r="48" spans="1:17" ht="30.6" customHeight="1" x14ac:dyDescent="0.3">
      <c r="A48" s="8"/>
      <c r="B48" s="8"/>
      <c r="C48" s="26"/>
      <c r="D48" s="27"/>
      <c r="E48" s="18"/>
      <c r="F48" s="10"/>
      <c r="G48" s="35"/>
      <c r="H48" s="38"/>
      <c r="I48" s="38"/>
      <c r="J48" s="38"/>
      <c r="K48" s="38"/>
      <c r="L48" s="38"/>
      <c r="M48" s="45"/>
      <c r="N48" s="18"/>
      <c r="O48" s="14" t="s">
        <v>142</v>
      </c>
      <c r="P48" s="5" t="s">
        <v>140</v>
      </c>
      <c r="Q48" s="5" t="s">
        <v>141</v>
      </c>
    </row>
    <row r="49" spans="1:17" ht="30.6" customHeight="1" x14ac:dyDescent="0.3">
      <c r="A49" s="23" t="s">
        <v>193</v>
      </c>
      <c r="B49" s="23" t="s">
        <v>194</v>
      </c>
      <c r="C49" s="25"/>
      <c r="D49" s="27"/>
      <c r="E49" s="18"/>
      <c r="F49" s="10"/>
      <c r="G49" s="34"/>
      <c r="H49" s="11"/>
      <c r="I49" s="36"/>
      <c r="J49" s="11"/>
      <c r="K49" s="42"/>
      <c r="L49" s="17"/>
      <c r="M49" s="42"/>
      <c r="N49" s="18"/>
      <c r="O49" s="14" t="str">
        <f>"_x0007_`COD|E4_x0005_`QTY1|1_x0005_`EXI|0_x0005_`ITT|0_x0005_`END|"&amp;ROW(M54)&amp;"_x0005_`"</f>
        <v>_x0007_`COD|E4_x0005_`QTY1|1_x0005_`EXI|0_x0005_`ITT|0_x0005_`END|54_x0005_`</v>
      </c>
      <c r="P49" s="5" t="s">
        <v>148</v>
      </c>
      <c r="Q49" s="5" t="s">
        <v>141</v>
      </c>
    </row>
    <row r="50" spans="1:17" ht="30.6" customHeight="1" x14ac:dyDescent="0.3">
      <c r="A50" s="23" t="s">
        <v>232</v>
      </c>
      <c r="B50" s="23" t="s">
        <v>233</v>
      </c>
      <c r="C50" s="25"/>
      <c r="D50" s="27"/>
      <c r="E50" s="18"/>
      <c r="F50" s="10"/>
      <c r="G50" s="34"/>
      <c r="H50" s="11"/>
      <c r="I50" s="36"/>
      <c r="J50" s="11"/>
      <c r="K50" s="42"/>
      <c r="L50" s="17"/>
      <c r="M50" s="42"/>
      <c r="N50" s="18"/>
      <c r="O50" s="14" t="str">
        <f>"_x0007_`COD|E3_x0005_`QTY1|1_x0005_`EXI|0_x0005_`ITT|0_x0005_`END|"&amp;ROW(M54)&amp;"_x0005_`"</f>
        <v>_x0007_`COD|E3_x0005_`QTY1|1_x0005_`EXI|0_x0005_`ITT|0_x0005_`END|54_x0005_`</v>
      </c>
      <c r="P50" s="5" t="s">
        <v>198</v>
      </c>
      <c r="Q50" s="5" t="s">
        <v>148</v>
      </c>
    </row>
    <row r="51" spans="1:17" ht="30.6" customHeight="1" x14ac:dyDescent="0.3">
      <c r="A51" s="8"/>
      <c r="B51" s="8" t="s">
        <v>32</v>
      </c>
      <c r="C51" s="26" t="s">
        <v>33</v>
      </c>
      <c r="D51" s="28">
        <v>50</v>
      </c>
      <c r="E51" s="18" t="s">
        <v>13</v>
      </c>
      <c r="F51" s="31"/>
      <c r="G51" s="36"/>
      <c r="H51" s="39"/>
      <c r="I51" s="11"/>
      <c r="J51" s="41"/>
      <c r="K51" s="11"/>
      <c r="L51" s="43"/>
      <c r="M51" s="17"/>
      <c r="N51" s="18"/>
      <c r="O51" s="14" t="s">
        <v>235</v>
      </c>
      <c r="P51" s="5" t="s">
        <v>234</v>
      </c>
      <c r="Q51" s="5" t="s">
        <v>198</v>
      </c>
    </row>
    <row r="52" spans="1:17" ht="30.6" customHeight="1" x14ac:dyDescent="0.3">
      <c r="A52" s="8"/>
      <c r="B52" s="8" t="s">
        <v>56</v>
      </c>
      <c r="C52" s="26"/>
      <c r="D52" s="28">
        <v>150</v>
      </c>
      <c r="E52" s="18" t="s">
        <v>16</v>
      </c>
      <c r="F52" s="31"/>
      <c r="G52" s="36"/>
      <c r="H52" s="39"/>
      <c r="I52" s="11"/>
      <c r="J52" s="41"/>
      <c r="K52" s="11"/>
      <c r="L52" s="43"/>
      <c r="M52" s="17"/>
      <c r="N52" s="18"/>
      <c r="O52" s="14" t="s">
        <v>237</v>
      </c>
      <c r="P52" s="5" t="s">
        <v>236</v>
      </c>
      <c r="Q52" s="5" t="s">
        <v>198</v>
      </c>
    </row>
    <row r="53" spans="1:17" ht="30.6" customHeight="1" x14ac:dyDescent="0.3">
      <c r="A53" s="8"/>
      <c r="B53" s="8" t="s">
        <v>85</v>
      </c>
      <c r="C53" s="26" t="s">
        <v>86</v>
      </c>
      <c r="D53" s="28">
        <v>3380</v>
      </c>
      <c r="E53" s="18" t="s">
        <v>13</v>
      </c>
      <c r="F53" s="31"/>
      <c r="G53" s="36"/>
      <c r="H53" s="39"/>
      <c r="I53" s="11"/>
      <c r="J53" s="41"/>
      <c r="K53" s="11"/>
      <c r="L53" s="43"/>
      <c r="M53" s="17"/>
      <c r="N53" s="18"/>
      <c r="O53" s="14" t="s">
        <v>239</v>
      </c>
      <c r="P53" s="5" t="s">
        <v>238</v>
      </c>
      <c r="Q53" s="5" t="s">
        <v>198</v>
      </c>
    </row>
    <row r="54" spans="1:17" ht="30.6" customHeight="1" x14ac:dyDescent="0.3">
      <c r="A54" s="8"/>
      <c r="B54" s="8"/>
      <c r="C54" s="26"/>
      <c r="D54" s="27"/>
      <c r="E54" s="18"/>
      <c r="F54" s="10"/>
      <c r="G54" s="35"/>
      <c r="H54" s="38"/>
      <c r="I54" s="38"/>
      <c r="J54" s="38"/>
      <c r="K54" s="38"/>
      <c r="L54" s="38"/>
      <c r="M54" s="45"/>
      <c r="N54" s="18"/>
      <c r="O54" s="14" t="s">
        <v>142</v>
      </c>
      <c r="P54" s="5" t="s">
        <v>140</v>
      </c>
      <c r="Q54" s="5" t="s">
        <v>141</v>
      </c>
    </row>
    <row r="55" spans="1:17" ht="30.6" customHeight="1" x14ac:dyDescent="0.3">
      <c r="A55" s="23" t="s">
        <v>231</v>
      </c>
      <c r="B55" s="23" t="s">
        <v>230</v>
      </c>
      <c r="C55" s="25"/>
      <c r="D55" s="27"/>
      <c r="E55" s="18"/>
      <c r="F55" s="10"/>
      <c r="G55" s="34"/>
      <c r="H55" s="11"/>
      <c r="I55" s="36"/>
      <c r="J55" s="11"/>
      <c r="K55" s="42"/>
      <c r="L55" s="17"/>
      <c r="M55" s="42"/>
      <c r="N55" s="18"/>
      <c r="O55" s="14" t="str">
        <f>"_x0007_`COD|E4_x0005_`QTY1|1_x0005_`EXI|0_x0005_`ITT|0_x0005_`END|"&amp;ROW(M65)&amp;"_x0005_`"</f>
        <v>_x0007_`COD|E4_x0005_`QTY1|1_x0005_`EXI|0_x0005_`ITT|0_x0005_`END|65_x0005_`</v>
      </c>
      <c r="P55" s="5" t="s">
        <v>148</v>
      </c>
      <c r="Q55" s="5" t="s">
        <v>141</v>
      </c>
    </row>
    <row r="56" spans="1:17" ht="30.6" customHeight="1" x14ac:dyDescent="0.3">
      <c r="A56" s="8"/>
      <c r="B56" s="8" t="s">
        <v>57</v>
      </c>
      <c r="C56" s="26" t="s">
        <v>58</v>
      </c>
      <c r="D56" s="28">
        <v>2</v>
      </c>
      <c r="E56" s="18" t="s">
        <v>59</v>
      </c>
      <c r="F56" s="31"/>
      <c r="G56" s="36"/>
      <c r="H56" s="39"/>
      <c r="I56" s="11"/>
      <c r="J56" s="41"/>
      <c r="K56" s="11"/>
      <c r="L56" s="43"/>
      <c r="M56" s="17"/>
      <c r="N56" s="18"/>
      <c r="O56" s="14" t="s">
        <v>241</v>
      </c>
      <c r="P56" s="5" t="s">
        <v>240</v>
      </c>
      <c r="Q56" s="5" t="s">
        <v>148</v>
      </c>
    </row>
    <row r="57" spans="1:17" ht="30.6" customHeight="1" x14ac:dyDescent="0.3">
      <c r="A57" s="8"/>
      <c r="B57" s="8" t="s">
        <v>60</v>
      </c>
      <c r="C57" s="26" t="s">
        <v>58</v>
      </c>
      <c r="D57" s="28">
        <v>1</v>
      </c>
      <c r="E57" s="18" t="s">
        <v>59</v>
      </c>
      <c r="F57" s="31"/>
      <c r="G57" s="36"/>
      <c r="H57" s="39"/>
      <c r="I57" s="11"/>
      <c r="J57" s="41"/>
      <c r="K57" s="11"/>
      <c r="L57" s="43"/>
      <c r="M57" s="17"/>
      <c r="N57" s="18"/>
      <c r="O57" s="14" t="s">
        <v>243</v>
      </c>
      <c r="P57" s="5" t="s">
        <v>242</v>
      </c>
      <c r="Q57" s="5" t="s">
        <v>148</v>
      </c>
    </row>
    <row r="58" spans="1:17" ht="30.6" customHeight="1" x14ac:dyDescent="0.3">
      <c r="A58" s="8"/>
      <c r="B58" s="8" t="s">
        <v>61</v>
      </c>
      <c r="C58" s="26" t="s">
        <v>62</v>
      </c>
      <c r="D58" s="28">
        <v>21</v>
      </c>
      <c r="E58" s="18" t="s">
        <v>10</v>
      </c>
      <c r="F58" s="31"/>
      <c r="G58" s="36"/>
      <c r="H58" s="39"/>
      <c r="I58" s="11"/>
      <c r="J58" s="41"/>
      <c r="K58" s="11"/>
      <c r="L58" s="43"/>
      <c r="M58" s="17"/>
      <c r="N58" s="18"/>
      <c r="O58" s="14" t="s">
        <v>245</v>
      </c>
      <c r="P58" s="5" t="s">
        <v>244</v>
      </c>
      <c r="Q58" s="5" t="s">
        <v>148</v>
      </c>
    </row>
    <row r="59" spans="1:17" ht="30.6" customHeight="1" x14ac:dyDescent="0.3">
      <c r="A59" s="8"/>
      <c r="B59" s="8" t="s">
        <v>65</v>
      </c>
      <c r="C59" s="26" t="s">
        <v>66</v>
      </c>
      <c r="D59" s="28">
        <v>24</v>
      </c>
      <c r="E59" s="18" t="s">
        <v>10</v>
      </c>
      <c r="F59" s="31"/>
      <c r="G59" s="36"/>
      <c r="H59" s="39"/>
      <c r="I59" s="11"/>
      <c r="J59" s="41"/>
      <c r="K59" s="11"/>
      <c r="L59" s="43"/>
      <c r="M59" s="17"/>
      <c r="N59" s="18"/>
      <c r="O59" s="14" t="s">
        <v>247</v>
      </c>
      <c r="P59" s="5" t="s">
        <v>246</v>
      </c>
      <c r="Q59" s="5" t="s">
        <v>148</v>
      </c>
    </row>
    <row r="60" spans="1:17" ht="30.6" customHeight="1" x14ac:dyDescent="0.3">
      <c r="A60" s="8"/>
      <c r="B60" s="8" t="s">
        <v>67</v>
      </c>
      <c r="C60" s="26" t="s">
        <v>66</v>
      </c>
      <c r="D60" s="28">
        <v>46</v>
      </c>
      <c r="E60" s="18" t="s">
        <v>10</v>
      </c>
      <c r="F60" s="31"/>
      <c r="G60" s="36"/>
      <c r="H60" s="39"/>
      <c r="I60" s="11"/>
      <c r="J60" s="41"/>
      <c r="K60" s="11"/>
      <c r="L60" s="43"/>
      <c r="M60" s="17"/>
      <c r="N60" s="18"/>
      <c r="O60" s="14" t="s">
        <v>249</v>
      </c>
      <c r="P60" s="5" t="s">
        <v>248</v>
      </c>
      <c r="Q60" s="5" t="s">
        <v>148</v>
      </c>
    </row>
    <row r="61" spans="1:17" ht="30.6" customHeight="1" x14ac:dyDescent="0.3">
      <c r="A61" s="8"/>
      <c r="B61" s="8" t="s">
        <v>68</v>
      </c>
      <c r="C61" s="26" t="s">
        <v>66</v>
      </c>
      <c r="D61" s="28">
        <v>77</v>
      </c>
      <c r="E61" s="18" t="s">
        <v>10</v>
      </c>
      <c r="F61" s="31"/>
      <c r="G61" s="36"/>
      <c r="H61" s="39"/>
      <c r="I61" s="11"/>
      <c r="J61" s="41"/>
      <c r="K61" s="11"/>
      <c r="L61" s="43"/>
      <c r="M61" s="17"/>
      <c r="N61" s="18"/>
      <c r="O61" s="14" t="s">
        <v>251</v>
      </c>
      <c r="P61" s="5" t="s">
        <v>250</v>
      </c>
      <c r="Q61" s="5" t="s">
        <v>148</v>
      </c>
    </row>
    <row r="62" spans="1:17" ht="30.6" customHeight="1" x14ac:dyDescent="0.3">
      <c r="A62" s="8"/>
      <c r="B62" s="8" t="s">
        <v>63</v>
      </c>
      <c r="C62" s="26" t="s">
        <v>64</v>
      </c>
      <c r="D62" s="28">
        <v>310</v>
      </c>
      <c r="E62" s="18" t="s">
        <v>59</v>
      </c>
      <c r="F62" s="31"/>
      <c r="G62" s="36"/>
      <c r="H62" s="39"/>
      <c r="I62" s="11"/>
      <c r="J62" s="41"/>
      <c r="K62" s="11"/>
      <c r="L62" s="43"/>
      <c r="M62" s="17"/>
      <c r="N62" s="18"/>
      <c r="O62" s="14" t="s">
        <v>253</v>
      </c>
      <c r="P62" s="5" t="s">
        <v>252</v>
      </c>
      <c r="Q62" s="5" t="s">
        <v>148</v>
      </c>
    </row>
    <row r="63" spans="1:17" ht="30.6" customHeight="1" x14ac:dyDescent="0.3">
      <c r="A63" s="8"/>
      <c r="B63" s="8" t="s">
        <v>78</v>
      </c>
      <c r="C63" s="26" t="s">
        <v>79</v>
      </c>
      <c r="D63" s="28">
        <v>150</v>
      </c>
      <c r="E63" s="18" t="s">
        <v>80</v>
      </c>
      <c r="F63" s="31"/>
      <c r="G63" s="36"/>
      <c r="H63" s="39"/>
      <c r="I63" s="11"/>
      <c r="J63" s="41"/>
      <c r="K63" s="11"/>
      <c r="L63" s="43"/>
      <c r="M63" s="17"/>
      <c r="N63" s="18"/>
      <c r="O63" s="14" t="s">
        <v>255</v>
      </c>
      <c r="P63" s="5" t="s">
        <v>254</v>
      </c>
      <c r="Q63" s="5" t="s">
        <v>148</v>
      </c>
    </row>
    <row r="64" spans="1:17" ht="30.6" customHeight="1" x14ac:dyDescent="0.3">
      <c r="A64" s="8"/>
      <c r="B64" s="8" t="s">
        <v>76</v>
      </c>
      <c r="C64" s="26" t="s">
        <v>77</v>
      </c>
      <c r="D64" s="28">
        <v>222</v>
      </c>
      <c r="E64" s="18" t="s">
        <v>10</v>
      </c>
      <c r="F64" s="31"/>
      <c r="G64" s="36"/>
      <c r="H64" s="39"/>
      <c r="I64" s="11"/>
      <c r="J64" s="41"/>
      <c r="K64" s="11"/>
      <c r="L64" s="43"/>
      <c r="M64" s="17"/>
      <c r="N64" s="18"/>
      <c r="O64" s="14" t="s">
        <v>257</v>
      </c>
      <c r="P64" s="5" t="s">
        <v>256</v>
      </c>
      <c r="Q64" s="5" t="s">
        <v>148</v>
      </c>
    </row>
    <row r="65" spans="1:17" ht="30.6" customHeight="1" x14ac:dyDescent="0.3">
      <c r="A65" s="8"/>
      <c r="B65" s="8"/>
      <c r="C65" s="26"/>
      <c r="D65" s="27"/>
      <c r="E65" s="18"/>
      <c r="F65" s="10"/>
      <c r="G65" s="35"/>
      <c r="H65" s="38"/>
      <c r="I65" s="38"/>
      <c r="J65" s="38"/>
      <c r="K65" s="38"/>
      <c r="L65" s="38"/>
      <c r="M65" s="45"/>
      <c r="N65" s="18"/>
      <c r="O65" s="14" t="s">
        <v>142</v>
      </c>
      <c r="P65" s="5" t="s">
        <v>140</v>
      </c>
      <c r="Q65" s="5" t="s">
        <v>141</v>
      </c>
    </row>
    <row r="66" spans="1:17" ht="30.6" customHeight="1" x14ac:dyDescent="0.3">
      <c r="A66" s="23" t="s">
        <v>258</v>
      </c>
      <c r="B66" s="23" t="s">
        <v>259</v>
      </c>
      <c r="C66" s="25"/>
      <c r="D66" s="27"/>
      <c r="E66" s="18"/>
      <c r="F66" s="10"/>
      <c r="G66" s="34"/>
      <c r="H66" s="11"/>
      <c r="I66" s="36"/>
      <c r="J66" s="11"/>
      <c r="K66" s="42"/>
      <c r="L66" s="17"/>
      <c r="M66" s="42"/>
      <c r="N66" s="18"/>
      <c r="O66" s="14" t="str">
        <f>"_x0007_`COD|E4_x0005_`QTY1|1_x0005_`EXI|0_x0005_`ITT|0_x0005_`END|"&amp;ROW(M73)&amp;"_x0005_`"</f>
        <v>_x0007_`COD|E4_x0005_`QTY1|1_x0005_`EXI|0_x0005_`ITT|0_x0005_`END|73_x0005_`</v>
      </c>
      <c r="P66" s="5" t="s">
        <v>148</v>
      </c>
      <c r="Q66" s="5" t="s">
        <v>141</v>
      </c>
    </row>
    <row r="67" spans="1:17" ht="30.6" customHeight="1" x14ac:dyDescent="0.3">
      <c r="A67" s="8"/>
      <c r="B67" s="8" t="s">
        <v>117</v>
      </c>
      <c r="C67" s="26" t="s">
        <v>118</v>
      </c>
      <c r="D67" s="28">
        <v>21</v>
      </c>
      <c r="E67" s="18" t="s">
        <v>90</v>
      </c>
      <c r="F67" s="31"/>
      <c r="G67" s="36"/>
      <c r="H67" s="40"/>
      <c r="I67" s="17"/>
      <c r="J67" s="41"/>
      <c r="K67" s="11"/>
      <c r="L67" s="44"/>
      <c r="M67" s="17"/>
      <c r="N67" s="18"/>
      <c r="O67" s="14" t="s">
        <v>261</v>
      </c>
      <c r="P67" s="5" t="s">
        <v>260</v>
      </c>
      <c r="Q67" s="5" t="s">
        <v>148</v>
      </c>
    </row>
    <row r="68" spans="1:17" ht="30.6" customHeight="1" x14ac:dyDescent="0.3">
      <c r="A68" s="8"/>
      <c r="B68" s="8" t="s">
        <v>114</v>
      </c>
      <c r="C68" s="26" t="s">
        <v>115</v>
      </c>
      <c r="D68" s="28">
        <v>24</v>
      </c>
      <c r="E68" s="18" t="s">
        <v>90</v>
      </c>
      <c r="F68" s="31"/>
      <c r="G68" s="36"/>
      <c r="H68" s="40"/>
      <c r="I68" s="17"/>
      <c r="J68" s="41"/>
      <c r="K68" s="11"/>
      <c r="L68" s="44"/>
      <c r="M68" s="17"/>
      <c r="N68" s="18"/>
      <c r="O68" s="14" t="s">
        <v>263</v>
      </c>
      <c r="P68" s="5" t="s">
        <v>262</v>
      </c>
      <c r="Q68" s="5" t="s">
        <v>148</v>
      </c>
    </row>
    <row r="69" spans="1:17" ht="30.6" customHeight="1" x14ac:dyDescent="0.3">
      <c r="A69" s="8"/>
      <c r="B69" s="8" t="s">
        <v>97</v>
      </c>
      <c r="C69" s="26" t="s">
        <v>115</v>
      </c>
      <c r="D69" s="28">
        <v>46</v>
      </c>
      <c r="E69" s="18" t="s">
        <v>90</v>
      </c>
      <c r="F69" s="31"/>
      <c r="G69" s="36"/>
      <c r="H69" s="40"/>
      <c r="I69" s="17"/>
      <c r="J69" s="41"/>
      <c r="K69" s="11"/>
      <c r="L69" s="44"/>
      <c r="M69" s="17"/>
      <c r="N69" s="18"/>
      <c r="O69" s="14" t="s">
        <v>265</v>
      </c>
      <c r="P69" s="5" t="s">
        <v>264</v>
      </c>
      <c r="Q69" s="5" t="s">
        <v>148</v>
      </c>
    </row>
    <row r="70" spans="1:17" ht="30.6" customHeight="1" x14ac:dyDescent="0.3">
      <c r="A70" s="8"/>
      <c r="B70" s="8" t="s">
        <v>116</v>
      </c>
      <c r="C70" s="26" t="s">
        <v>115</v>
      </c>
      <c r="D70" s="28">
        <v>77</v>
      </c>
      <c r="E70" s="18" t="s">
        <v>90</v>
      </c>
      <c r="F70" s="31"/>
      <c r="G70" s="36"/>
      <c r="H70" s="40"/>
      <c r="I70" s="17"/>
      <c r="J70" s="41"/>
      <c r="K70" s="11"/>
      <c r="L70" s="44"/>
      <c r="M70" s="17"/>
      <c r="N70" s="18"/>
      <c r="O70" s="14" t="s">
        <v>267</v>
      </c>
      <c r="P70" s="5" t="s">
        <v>266</v>
      </c>
      <c r="Q70" s="5" t="s">
        <v>148</v>
      </c>
    </row>
    <row r="71" spans="1:17" ht="30.6" customHeight="1" x14ac:dyDescent="0.3">
      <c r="A71" s="8"/>
      <c r="B71" s="8" t="s">
        <v>98</v>
      </c>
      <c r="C71" s="26" t="s">
        <v>99</v>
      </c>
      <c r="D71" s="28">
        <v>310</v>
      </c>
      <c r="E71" s="18" t="s">
        <v>59</v>
      </c>
      <c r="F71" s="31"/>
      <c r="G71" s="36"/>
      <c r="H71" s="40"/>
      <c r="I71" s="17"/>
      <c r="J71" s="41"/>
      <c r="K71" s="11"/>
      <c r="L71" s="44"/>
      <c r="M71" s="17"/>
      <c r="N71" s="18"/>
      <c r="O71" s="14" t="s">
        <v>269</v>
      </c>
      <c r="P71" s="5" t="s">
        <v>268</v>
      </c>
      <c r="Q71" s="5" t="s">
        <v>148</v>
      </c>
    </row>
    <row r="72" spans="1:17" ht="30.6" customHeight="1" x14ac:dyDescent="0.3">
      <c r="A72" s="8"/>
      <c r="B72" s="8" t="s">
        <v>112</v>
      </c>
      <c r="C72" s="26" t="s">
        <v>113</v>
      </c>
      <c r="D72" s="28">
        <v>150</v>
      </c>
      <c r="E72" s="18" t="s">
        <v>80</v>
      </c>
      <c r="F72" s="31"/>
      <c r="G72" s="36"/>
      <c r="H72" s="40"/>
      <c r="I72" s="17"/>
      <c r="J72" s="41"/>
      <c r="K72" s="11"/>
      <c r="L72" s="44"/>
      <c r="M72" s="17"/>
      <c r="N72" s="18"/>
      <c r="O72" s="14" t="s">
        <v>271</v>
      </c>
      <c r="P72" s="5" t="s">
        <v>270</v>
      </c>
      <c r="Q72" s="5" t="s">
        <v>148</v>
      </c>
    </row>
    <row r="73" spans="1:17" ht="30.6" customHeight="1" x14ac:dyDescent="0.3">
      <c r="A73" s="8"/>
      <c r="B73" s="8"/>
      <c r="C73" s="26"/>
      <c r="D73" s="27"/>
      <c r="E73" s="18"/>
      <c r="F73" s="10"/>
      <c r="G73" s="35"/>
      <c r="H73" s="38"/>
      <c r="I73" s="38"/>
      <c r="J73" s="38"/>
      <c r="K73" s="38"/>
      <c r="L73" s="38"/>
      <c r="M73" s="45"/>
      <c r="N73" s="18"/>
      <c r="O73" s="14" t="s">
        <v>142</v>
      </c>
      <c r="P73" s="5" t="s">
        <v>140</v>
      </c>
      <c r="Q73" s="5" t="s">
        <v>141</v>
      </c>
    </row>
    <row r="74" spans="1:17" ht="30.6" customHeight="1" x14ac:dyDescent="0.3">
      <c r="A74" s="23" t="s">
        <v>272</v>
      </c>
      <c r="B74" s="23" t="s">
        <v>273</v>
      </c>
      <c r="C74" s="25"/>
      <c r="D74" s="27"/>
      <c r="E74" s="18"/>
      <c r="F74" s="10"/>
      <c r="G74" s="34"/>
      <c r="H74" s="11"/>
      <c r="I74" s="36"/>
      <c r="J74" s="11"/>
      <c r="K74" s="42"/>
      <c r="L74" s="17"/>
      <c r="M74" s="42"/>
      <c r="N74" s="18"/>
      <c r="O74" s="14" t="str">
        <f>"_x0007_`COD|C4_x0005_`QTY1|1_x0005_`EXI|1_x0005_`ITT|0_x0005_`END|"&amp;ROW(M81)&amp;"_x0005_`"</f>
        <v>_x0007_`COD|C4_x0005_`QTY1|1_x0005_`EXI|1_x0005_`ITT|0_x0005_`END|81_x0005_`</v>
      </c>
      <c r="P74" s="5" t="s">
        <v>286</v>
      </c>
    </row>
    <row r="75" spans="1:17" ht="30.6" customHeight="1" x14ac:dyDescent="0.3">
      <c r="A75" s="8"/>
      <c r="B75" s="8" t="s">
        <v>109</v>
      </c>
      <c r="C75" s="26" t="s">
        <v>110</v>
      </c>
      <c r="D75" s="28">
        <v>216</v>
      </c>
      <c r="E75" s="18" t="s">
        <v>90</v>
      </c>
      <c r="F75" s="31"/>
      <c r="G75" s="36"/>
      <c r="H75" s="40"/>
      <c r="I75" s="17"/>
      <c r="J75" s="41"/>
      <c r="K75" s="11"/>
      <c r="L75" s="44"/>
      <c r="M75" s="17"/>
      <c r="N75" s="18"/>
      <c r="O75" s="14" t="s">
        <v>275</v>
      </c>
      <c r="P75" s="5" t="s">
        <v>274</v>
      </c>
      <c r="Q75" s="5" t="s">
        <v>286</v>
      </c>
    </row>
    <row r="76" spans="1:17" ht="30.6" customHeight="1" x14ac:dyDescent="0.3">
      <c r="A76" s="8"/>
      <c r="B76" s="8" t="s">
        <v>109</v>
      </c>
      <c r="C76" s="26" t="s">
        <v>111</v>
      </c>
      <c r="D76" s="28">
        <v>6</v>
      </c>
      <c r="E76" s="18" t="s">
        <v>90</v>
      </c>
      <c r="F76" s="31"/>
      <c r="G76" s="36"/>
      <c r="H76" s="40"/>
      <c r="I76" s="17"/>
      <c r="J76" s="41"/>
      <c r="K76" s="11"/>
      <c r="L76" s="44"/>
      <c r="M76" s="17"/>
      <c r="N76" s="18"/>
      <c r="O76" s="14" t="s">
        <v>277</v>
      </c>
      <c r="P76" s="5" t="s">
        <v>276</v>
      </c>
      <c r="Q76" s="5" t="s">
        <v>286</v>
      </c>
    </row>
    <row r="77" spans="1:17" ht="30.6" customHeight="1" x14ac:dyDescent="0.3">
      <c r="A77" s="8"/>
      <c r="B77" s="8" t="s">
        <v>100</v>
      </c>
      <c r="C77" s="26" t="s">
        <v>101</v>
      </c>
      <c r="D77" s="28">
        <v>14</v>
      </c>
      <c r="E77" s="18" t="s">
        <v>92</v>
      </c>
      <c r="F77" s="31"/>
      <c r="G77" s="36"/>
      <c r="H77" s="40"/>
      <c r="I77" s="17"/>
      <c r="J77" s="41"/>
      <c r="K77" s="11"/>
      <c r="L77" s="44"/>
      <c r="M77" s="17"/>
      <c r="N77" s="18"/>
      <c r="O77" s="14" t="s">
        <v>279</v>
      </c>
      <c r="P77" s="5" t="s">
        <v>278</v>
      </c>
      <c r="Q77" s="5" t="s">
        <v>286</v>
      </c>
    </row>
    <row r="78" spans="1:17" ht="30.6" customHeight="1" x14ac:dyDescent="0.3">
      <c r="A78" s="8"/>
      <c r="B78" s="8" t="s">
        <v>102</v>
      </c>
      <c r="C78" s="26" t="s">
        <v>103</v>
      </c>
      <c r="D78" s="28">
        <v>1</v>
      </c>
      <c r="E78" s="18" t="s">
        <v>104</v>
      </c>
      <c r="F78" s="31"/>
      <c r="G78" s="36"/>
      <c r="H78" s="40"/>
      <c r="I78" s="17"/>
      <c r="J78" s="41"/>
      <c r="K78" s="11"/>
      <c r="L78" s="44"/>
      <c r="M78" s="17"/>
      <c r="N78" s="18"/>
      <c r="O78" s="14" t="s">
        <v>281</v>
      </c>
      <c r="P78" s="5" t="s">
        <v>280</v>
      </c>
      <c r="Q78" s="5" t="s">
        <v>286</v>
      </c>
    </row>
    <row r="79" spans="1:17" ht="30.6" customHeight="1" x14ac:dyDescent="0.3">
      <c r="A79" s="8"/>
      <c r="B79" s="8" t="s">
        <v>105</v>
      </c>
      <c r="C79" s="26" t="s">
        <v>106</v>
      </c>
      <c r="D79" s="28">
        <v>1172</v>
      </c>
      <c r="E79" s="18" t="s">
        <v>91</v>
      </c>
      <c r="F79" s="31"/>
      <c r="G79" s="36"/>
      <c r="H79" s="40"/>
      <c r="I79" s="17"/>
      <c r="J79" s="41"/>
      <c r="K79" s="11"/>
      <c r="L79" s="44"/>
      <c r="M79" s="17"/>
      <c r="N79" s="18"/>
      <c r="O79" s="14" t="s">
        <v>283</v>
      </c>
      <c r="P79" s="5" t="s">
        <v>282</v>
      </c>
      <c r="Q79" s="5" t="s">
        <v>286</v>
      </c>
    </row>
    <row r="80" spans="1:17" ht="30.6" customHeight="1" x14ac:dyDescent="0.3">
      <c r="A80" s="8"/>
      <c r="B80" s="8" t="s">
        <v>94</v>
      </c>
      <c r="C80" s="26" t="s">
        <v>95</v>
      </c>
      <c r="D80" s="28">
        <v>0.54</v>
      </c>
      <c r="E80" s="18" t="s">
        <v>96</v>
      </c>
      <c r="F80" s="31"/>
      <c r="G80" s="36"/>
      <c r="H80" s="40"/>
      <c r="I80" s="9"/>
      <c r="J80" s="40"/>
      <c r="K80" s="17"/>
      <c r="L80" s="44"/>
      <c r="M80" s="17"/>
      <c r="N80" s="18"/>
      <c r="O80" s="14" t="s">
        <v>285</v>
      </c>
      <c r="P80" s="5" t="s">
        <v>284</v>
      </c>
      <c r="Q80" s="5" t="s">
        <v>286</v>
      </c>
    </row>
    <row r="81" spans="1:17" ht="30.6" customHeight="1" x14ac:dyDescent="0.3">
      <c r="A81" s="8"/>
      <c r="B81" s="8"/>
      <c r="C81" s="26"/>
      <c r="D81" s="27"/>
      <c r="E81" s="18"/>
      <c r="F81" s="10"/>
      <c r="G81" s="35"/>
      <c r="H81" s="38"/>
      <c r="I81" s="38"/>
      <c r="J81" s="38"/>
      <c r="K81" s="38"/>
      <c r="L81" s="38"/>
      <c r="M81" s="45"/>
      <c r="N81" s="18"/>
      <c r="O81" s="14" t="s">
        <v>142</v>
      </c>
      <c r="P81" s="5" t="s">
        <v>140</v>
      </c>
      <c r="Q81" s="5" t="s">
        <v>141</v>
      </c>
    </row>
    <row r="82" spans="1:17" hidden="1" x14ac:dyDescent="0.3">
      <c r="B82" s="5" t="s">
        <v>135</v>
      </c>
      <c r="G82" s="37"/>
      <c r="I82" s="37"/>
      <c r="K82" s="37"/>
      <c r="M82" s="37"/>
    </row>
    <row r="83" spans="1:17" ht="30.6" customHeight="1" x14ac:dyDescent="0.3">
      <c r="A83" s="24"/>
      <c r="B83" s="24"/>
      <c r="C83" s="24"/>
      <c r="D83" s="29"/>
      <c r="E83" s="20"/>
      <c r="F83" s="32"/>
      <c r="G83" s="32"/>
      <c r="H83" s="32"/>
      <c r="I83" s="32"/>
      <c r="J83" s="32"/>
      <c r="K83" s="32"/>
      <c r="L83" s="32"/>
      <c r="M83" s="32"/>
      <c r="N83" s="12"/>
    </row>
    <row r="84" spans="1:17" ht="30.6" customHeight="1" x14ac:dyDescent="0.3">
      <c r="A84" s="8"/>
      <c r="B84" s="8"/>
      <c r="C84" s="8"/>
      <c r="D84" s="30"/>
      <c r="E84" s="21"/>
      <c r="F84" s="33"/>
      <c r="G84" s="33"/>
      <c r="H84" s="33"/>
      <c r="I84" s="33"/>
      <c r="J84" s="33"/>
      <c r="K84" s="33"/>
      <c r="L84" s="33"/>
      <c r="M84" s="33"/>
      <c r="N84" s="18"/>
    </row>
    <row r="85" spans="1:17" ht="30.6" customHeight="1" x14ac:dyDescent="0.3">
      <c r="A85" s="8"/>
      <c r="B85" s="8"/>
      <c r="C85" s="8"/>
      <c r="D85" s="30"/>
      <c r="E85" s="21"/>
      <c r="F85" s="33"/>
      <c r="G85" s="33"/>
      <c r="H85" s="33"/>
      <c r="I85" s="33"/>
      <c r="J85" s="33"/>
      <c r="K85" s="33"/>
      <c r="L85" s="33"/>
      <c r="M85" s="33"/>
      <c r="N85" s="18"/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16" type="noConversion"/>
  <conditionalFormatting sqref="D5:D85">
    <cfRule type="expression" dxfId="1" priority="1" stopIfTrue="1">
      <formula>AND(D5&lt;&gt;0,INT(D5)=D5)</formula>
    </cfRule>
  </conditionalFormatting>
  <conditionalFormatting sqref="F5:N85">
    <cfRule type="expression" dxfId="0" priority="2" stopIfTrue="1">
      <formula>AND(F5&lt;&gt;0,INT(F5)=F5)</formula>
    </cfRule>
  </conditionalFormatting>
  <hyperlinks>
    <hyperlink ref="O1" r:id="rId1" tooltip="설계예산시스템(STmate w26.10)으로 작성 하였으며,_x000a_엑셀 인쇄품질 600 dpi에 최적화 되어 있습니다._x000a_경영정보(주) http://www.stma.co.kr_x000a_Tel) 070-4350-0040_x000a_Fax) 0505-300-3948" xr:uid="{00000000-0004-0000-0400-000001000000}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2"/>
  <headerFooter alignWithMargins="0">
    <oddFooter xml:space="preserve">&amp;R&amp;"굴림체,"&amp;9 </oddFooter>
  </headerFooter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65" customWidth="1"/>
    <col min="2" max="2" width="16.75" style="65" customWidth="1"/>
    <col min="3" max="3" width="15.25" style="65" customWidth="1"/>
    <col min="4" max="24" width="2.5" style="65" customWidth="1"/>
    <col min="25" max="16384" width="9.125" style="65"/>
  </cols>
  <sheetData>
    <row r="2" spans="2:24" ht="19.5" x14ac:dyDescent="0.3">
      <c r="B2" s="99" t="s">
        <v>393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</row>
    <row r="4" spans="2:24" hidden="1" x14ac:dyDescent="0.3">
      <c r="B4" s="66" t="s">
        <v>394</v>
      </c>
      <c r="C4" s="69" t="b">
        <f ca="1">ISERROR(SUM(C6:X15,C18:X23))</f>
        <v>1</v>
      </c>
      <c r="D4" s="72">
        <f>ROW(C24)</f>
        <v>24</v>
      </c>
    </row>
    <row r="5" spans="2:24" hidden="1" x14ac:dyDescent="0.3">
      <c r="B5" s="67" t="s">
        <v>395</v>
      </c>
      <c r="C5" s="67" t="s">
        <v>396</v>
      </c>
      <c r="D5" s="67" t="s">
        <v>397</v>
      </c>
      <c r="E5" s="67" t="s">
        <v>398</v>
      </c>
      <c r="F5" s="67" t="s">
        <v>399</v>
      </c>
      <c r="G5" s="67" t="s">
        <v>400</v>
      </c>
      <c r="H5" s="67" t="s">
        <v>372</v>
      </c>
      <c r="I5" s="67" t="s">
        <v>401</v>
      </c>
      <c r="J5" s="67" t="s">
        <v>402</v>
      </c>
      <c r="K5" s="67" t="s">
        <v>403</v>
      </c>
      <c r="L5" s="67" t="s">
        <v>404</v>
      </c>
      <c r="M5" s="67" t="s">
        <v>405</v>
      </c>
      <c r="N5" s="67" t="s">
        <v>406</v>
      </c>
      <c r="O5" s="67" t="s">
        <v>407</v>
      </c>
      <c r="P5" s="67" t="s">
        <v>408</v>
      </c>
      <c r="Q5" s="67" t="s">
        <v>409</v>
      </c>
      <c r="R5" s="67" t="s">
        <v>410</v>
      </c>
      <c r="S5" s="67" t="s">
        <v>411</v>
      </c>
      <c r="T5" s="67" t="s">
        <v>412</v>
      </c>
      <c r="U5" s="67" t="s">
        <v>413</v>
      </c>
      <c r="V5" s="67" t="s">
        <v>414</v>
      </c>
      <c r="W5" s="67" t="s">
        <v>415</v>
      </c>
      <c r="X5" s="67" t="s">
        <v>416</v>
      </c>
    </row>
    <row r="6" spans="2:24" hidden="1" x14ac:dyDescent="0.3">
      <c r="B6" s="68" t="s">
        <v>417</v>
      </c>
      <c r="C6" s="70" t="e">
        <f ca="1">IF(D6="","재료비단가표",MID(D6,FIND("]",D6)+1,LEN(D6)))</f>
        <v>#REF!</v>
      </c>
      <c r="D6" s="70" t="e">
        <f ca="1">CELL("filename",#REF!)</f>
        <v>#REF!</v>
      </c>
      <c r="E6" s="73"/>
      <c r="F6" s="74" t="e">
        <f ca="1">HYPERLINK("#"&amp;C6&amp;"!"&amp;ADDRESS(3,COLUMN(#REF!),1),COLUMN(#REF!))</f>
        <v>#REF!</v>
      </c>
      <c r="G6" s="74" t="e">
        <f ca="1">HYPERLINK("#"&amp;C6&amp;"!"&amp;ADDRESS(3,COLUMN(#REF!),1),COLUMN(#REF!))</f>
        <v>#REF!</v>
      </c>
      <c r="H6" s="73"/>
      <c r="I6" s="74" t="e">
        <f ca="1">HYPERLINK("#"&amp;C6&amp;"!"&amp;ADDRESS(3,COLUMN(#REF!),1),COLUMN(#REF!))</f>
        <v>#REF!</v>
      </c>
      <c r="J6" s="74" t="e">
        <f ca="1">HYPERLINK("#"&amp;C6&amp;"!A"&amp;ROW(#REF!),ROW(#REF!))</f>
        <v>#REF!</v>
      </c>
      <c r="K6" s="74" t="e">
        <f ca="1">HYPERLINK("#"&amp;C6&amp;"!A"&amp;ROW(#REF!),ROW(#REF!))</f>
        <v>#REF!</v>
      </c>
      <c r="L6" s="74" t="e">
        <f ca="1">HYPERLINK("#"&amp;C6&amp;"!"&amp;ADDRESS(3,COLUMN(#REF!),1),COLUMN(#REF!))</f>
        <v>#REF!</v>
      </c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4" t="e">
        <f ca="1">HYPERLINK("#"&amp;C6&amp;"!"&amp;ADDRESS(3,COLUMN(#REF!),1),COLUMN(#REF!))</f>
        <v>#REF!</v>
      </c>
    </row>
    <row r="7" spans="2:24" hidden="1" x14ac:dyDescent="0.3">
      <c r="B7" s="68" t="s">
        <v>418</v>
      </c>
      <c r="C7" s="70" t="e">
        <f ca="1">IF(D7="","노무비단가표",MID(D7,FIND("]",D7)+1,LEN(D7)))</f>
        <v>#REF!</v>
      </c>
      <c r="D7" s="70" t="e">
        <f ca="1">CELL("filename",#REF!)</f>
        <v>#REF!</v>
      </c>
      <c r="E7" s="73"/>
      <c r="F7" s="74" t="e">
        <f ca="1">HYPERLINK("#"&amp;C7&amp;"!"&amp;ADDRESS(3,COLUMN(#REF!),1),COLUMN(#REF!))</f>
        <v>#REF!</v>
      </c>
      <c r="G7" s="74" t="e">
        <f ca="1">HYPERLINK("#"&amp;C7&amp;"!"&amp;ADDRESS(3,COLUMN(#REF!),1),COLUMN(#REF!))</f>
        <v>#REF!</v>
      </c>
      <c r="H7" s="73"/>
      <c r="I7" s="74" t="e">
        <f ca="1">HYPERLINK("#"&amp;C7&amp;"!"&amp;ADDRESS(3,COLUMN(#REF!),1),COLUMN(#REF!))</f>
        <v>#REF!</v>
      </c>
      <c r="J7" s="74" t="e">
        <f ca="1">HYPERLINK("#"&amp;C7&amp;"!A"&amp;ROW(#REF!),ROW(#REF!))</f>
        <v>#REF!</v>
      </c>
      <c r="K7" s="74" t="e">
        <f ca="1">HYPERLINK("#"&amp;C7&amp;"!A"&amp;ROW(#REF!),ROW(#REF!))</f>
        <v>#REF!</v>
      </c>
      <c r="L7" s="74" t="e">
        <f ca="1">HYPERLINK("#"&amp;C7&amp;"!"&amp;ADDRESS(3,COLUMN(#REF!),1),COLUMN(#REF!))</f>
        <v>#REF!</v>
      </c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4" t="e">
        <f ca="1">HYPERLINK("#"&amp;C7&amp;"!"&amp;ADDRESS(3,COLUMN(#REF!),1),COLUMN(#REF!))</f>
        <v>#REF!</v>
      </c>
    </row>
    <row r="8" spans="2:24" hidden="1" x14ac:dyDescent="0.3">
      <c r="B8" s="68" t="s">
        <v>419</v>
      </c>
      <c r="C8" s="70" t="e">
        <f ca="1">IF(D8="","경비단가표",MID(D8,FIND("]",D8)+1,LEN(D8)))</f>
        <v>#REF!</v>
      </c>
      <c r="D8" s="70" t="e">
        <f ca="1">CELL("filename",#REF!)</f>
        <v>#REF!</v>
      </c>
      <c r="E8" s="73"/>
      <c r="F8" s="74" t="e">
        <f ca="1">HYPERLINK("#"&amp;C8&amp;"!"&amp;ADDRESS(3,COLUMN(#REF!),1),COLUMN(#REF!))</f>
        <v>#REF!</v>
      </c>
      <c r="G8" s="74" t="e">
        <f ca="1">HYPERLINK("#"&amp;C8&amp;"!"&amp;ADDRESS(3,COLUMN(#REF!),1),COLUMN(#REF!))</f>
        <v>#REF!</v>
      </c>
      <c r="H8" s="73"/>
      <c r="I8" s="74" t="e">
        <f ca="1">HYPERLINK("#"&amp;C8&amp;"!"&amp;ADDRESS(3,COLUMN(#REF!),1),COLUMN(#REF!))</f>
        <v>#REF!</v>
      </c>
      <c r="J8" s="74" t="e">
        <f ca="1">HYPERLINK("#"&amp;C8&amp;"!A"&amp;ROW(#REF!),ROW(#REF!))</f>
        <v>#REF!</v>
      </c>
      <c r="K8" s="74" t="e">
        <f ca="1">HYPERLINK("#"&amp;C8&amp;"!A"&amp;ROW(#REF!),ROW(#REF!))</f>
        <v>#REF!</v>
      </c>
      <c r="L8" s="74" t="e">
        <f ca="1">HYPERLINK("#"&amp;C8&amp;"!"&amp;ADDRESS(3,COLUMN(#REF!),1),COLUMN(#REF!))</f>
        <v>#REF!</v>
      </c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4" t="e">
        <f ca="1">HYPERLINK("#"&amp;C8&amp;"!"&amp;ADDRESS(3,COLUMN(#REF!),1),COLUMN(#REF!))</f>
        <v>#REF!</v>
      </c>
    </row>
    <row r="9" spans="2:24" hidden="1" x14ac:dyDescent="0.3">
      <c r="B9" s="68" t="s">
        <v>420</v>
      </c>
      <c r="C9" s="68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</row>
    <row r="10" spans="2:24" hidden="1" x14ac:dyDescent="0.3">
      <c r="B10" s="68" t="s">
        <v>421</v>
      </c>
      <c r="C10" s="70" t="e">
        <f ca="1">IF(D10="","환율및기초자료",MID(D10,FIND("]",D10)+1,LEN(D10)))</f>
        <v>#REF!</v>
      </c>
      <c r="D10" s="70" t="e">
        <f ca="1">CELL("filename",#REF!)</f>
        <v>#REF!</v>
      </c>
      <c r="E10" s="74" t="e">
        <f ca="1">HYPERLINK("#"&amp;C10&amp;"!"&amp;ADDRESS(5,COLUMN(#REF!),1),COLUMN(#REF!))</f>
        <v>#REF!</v>
      </c>
      <c r="F10" s="74" t="e">
        <f ca="1">HYPERLINK("#"&amp;C10&amp;"!"&amp;ADDRESS(5,COLUMN(#REF!),1),COLUMN(#REF!))</f>
        <v>#REF!</v>
      </c>
      <c r="G10" s="74" t="e">
        <f ca="1">HYPERLINK("#"&amp;C10&amp;"!"&amp;ADDRESS(5,COLUMN(#REF!),1),COLUMN(#REF!))</f>
        <v>#REF!</v>
      </c>
      <c r="H10" s="73"/>
      <c r="I10" s="74" t="e">
        <f ca="1">HYPERLINK("#"&amp;C10&amp;"!"&amp;ADDRESS(5,COLUMN(#REF!),1),COLUMN(#REF!))</f>
        <v>#REF!</v>
      </c>
      <c r="J10" s="74" t="e">
        <f ca="1">HYPERLINK("#"&amp;C10&amp;"!A"&amp;ROW(#REF!),ROW(#REF!))</f>
        <v>#REF!</v>
      </c>
      <c r="K10" s="74" t="e">
        <f ca="1">HYPERLINK("#"&amp;C10&amp;"!A"&amp;ROW(#REF!),ROW(#REF!))</f>
        <v>#REF!</v>
      </c>
      <c r="L10" s="74" t="e">
        <f ca="1">HYPERLINK("#"&amp;C10&amp;"!"&amp;ADDRESS(5,COLUMN(#REF!),1),COLUMN(#REF!))</f>
        <v>#REF!</v>
      </c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4" t="e">
        <f ca="1">HYPERLINK("#"&amp;C10&amp;"!"&amp;ADDRESS(5,COLUMN(#REF!),1),COLUMN(#REF!))</f>
        <v>#REF!</v>
      </c>
    </row>
    <row r="11" spans="2:24" hidden="1" x14ac:dyDescent="0.3">
      <c r="B11" s="68" t="s">
        <v>422</v>
      </c>
      <c r="C11" s="70" t="e">
        <f ca="1">IF(D11="","기계경비목록표",MID(D11,FIND("]",D11)+1,LEN(D11)))</f>
        <v>#REF!</v>
      </c>
      <c r="D11" s="70" t="e">
        <f ca="1">CELL("filename",#REF!)</f>
        <v>#REF!</v>
      </c>
      <c r="E11" s="73"/>
      <c r="F11" s="74" t="e">
        <f ca="1">HYPERLINK("#"&amp;C11&amp;"!"&amp;ADDRESS(3,COLUMN(#REF!),1),COLUMN(#REF!))</f>
        <v>#REF!</v>
      </c>
      <c r="G11" s="74" t="e">
        <f ca="1">HYPERLINK("#"&amp;C11&amp;"!"&amp;ADDRESS(3,COLUMN(#REF!),1),COLUMN(#REF!))</f>
        <v>#REF!</v>
      </c>
      <c r="H11" s="73"/>
      <c r="I11" s="74" t="e">
        <f ca="1">HYPERLINK("#"&amp;C11&amp;"!"&amp;ADDRESS(3,COLUMN(#REF!),1),COLUMN(#REF!))</f>
        <v>#REF!</v>
      </c>
      <c r="J11" s="74" t="e">
        <f ca="1">HYPERLINK("#"&amp;C11&amp;"!A"&amp;ROW(#REF!),ROW(#REF!))</f>
        <v>#REF!</v>
      </c>
      <c r="K11" s="74" t="e">
        <f ca="1">HYPERLINK("#"&amp;C11&amp;"!A"&amp;ROW(#REF!),ROW(#REF!))</f>
        <v>#REF!</v>
      </c>
      <c r="L11" s="74" t="e">
        <f ca="1">HYPERLINK("#"&amp;C11&amp;"!"&amp;ADDRESS(3,COLUMN(#REF!),1),COLUMN(#REF!))</f>
        <v>#REF!</v>
      </c>
      <c r="M11" s="73"/>
      <c r="N11" s="74" t="e">
        <f ca="1">HYPERLINK("#"&amp;C11&amp;"!"&amp;ADDRESS(3,COLUMN(#REF!),1),COLUMN(#REF!))</f>
        <v>#REF!</v>
      </c>
      <c r="O11" s="73"/>
      <c r="P11" s="74" t="e">
        <f ca="1">HYPERLINK("#"&amp;C11&amp;"!"&amp;ADDRESS(3,COLUMN(#REF!),1),COLUMN(#REF!))</f>
        <v>#REF!</v>
      </c>
      <c r="Q11" s="73"/>
      <c r="R11" s="74" t="e">
        <f ca="1">HYPERLINK("#"&amp;C11&amp;"!"&amp;ADDRESS(3,COLUMN(#REF!),1),COLUMN(#REF!))</f>
        <v>#REF!</v>
      </c>
      <c r="S11" s="73"/>
      <c r="T11" s="73"/>
      <c r="U11" s="73"/>
      <c r="V11" s="73"/>
      <c r="W11" s="73"/>
      <c r="X11" s="74" t="e">
        <f ca="1">HYPERLINK("#"&amp;C11&amp;"!"&amp;ADDRESS(3,COLUMN(#REF!),1),COLUMN(#REF!))</f>
        <v>#REF!</v>
      </c>
    </row>
    <row r="12" spans="2:24" hidden="1" x14ac:dyDescent="0.3">
      <c r="B12" s="68" t="s">
        <v>423</v>
      </c>
      <c r="C12" s="68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2:24" hidden="1" x14ac:dyDescent="0.3">
      <c r="B13" s="68" t="s">
        <v>424</v>
      </c>
      <c r="C13" s="70" t="e">
        <f ca="1">IF(D13="","일위대가목록표",MID(D13,FIND("]",D13)+1,LEN(D13)))</f>
        <v>#REF!</v>
      </c>
      <c r="D13" s="70" t="e">
        <f ca="1">CELL("filename",#REF!)</f>
        <v>#REF!</v>
      </c>
      <c r="E13" s="73"/>
      <c r="F13" s="74" t="e">
        <f ca="1">HYPERLINK("#"&amp;C13&amp;"!"&amp;ADDRESS(3,COLUMN(#REF!),1),COLUMN(#REF!))</f>
        <v>#REF!</v>
      </c>
      <c r="G13" s="74" t="e">
        <f ca="1">HYPERLINK("#"&amp;C13&amp;"!"&amp;ADDRESS(3,COLUMN(#REF!),1),COLUMN(#REF!))</f>
        <v>#REF!</v>
      </c>
      <c r="H13" s="73"/>
      <c r="I13" s="74" t="e">
        <f ca="1">HYPERLINK("#"&amp;C13&amp;"!"&amp;ADDRESS(3,COLUMN(#REF!),1),COLUMN(#REF!))</f>
        <v>#REF!</v>
      </c>
      <c r="J13" s="74" t="e">
        <f ca="1">HYPERLINK("#"&amp;C13&amp;"!A"&amp;ROW(#REF!),ROW(#REF!))</f>
        <v>#REF!</v>
      </c>
      <c r="K13" s="74" t="e">
        <f ca="1">HYPERLINK("#"&amp;C13&amp;"!A"&amp;ROW(#REF!),ROW(#REF!))</f>
        <v>#REF!</v>
      </c>
      <c r="L13" s="74" t="e">
        <f ca="1">HYPERLINK("#"&amp;C13&amp;"!"&amp;ADDRESS(3,COLUMN(#REF!),1),COLUMN(#REF!))</f>
        <v>#REF!</v>
      </c>
      <c r="M13" s="73"/>
      <c r="N13" s="74" t="e">
        <f ca="1">HYPERLINK("#"&amp;C13&amp;"!"&amp;ADDRESS(3,COLUMN(#REF!),1),COLUMN(#REF!))</f>
        <v>#REF!</v>
      </c>
      <c r="O13" s="73"/>
      <c r="P13" s="74" t="e">
        <f ca="1">HYPERLINK("#"&amp;C13&amp;"!"&amp;ADDRESS(3,COLUMN(#REF!),1),COLUMN(#REF!))</f>
        <v>#REF!</v>
      </c>
      <c r="Q13" s="73"/>
      <c r="R13" s="74" t="e">
        <f ca="1">HYPERLINK("#"&amp;C13&amp;"!"&amp;ADDRESS(3,COLUMN(#REF!),1),COLUMN(#REF!))</f>
        <v>#REF!</v>
      </c>
      <c r="S13" s="73"/>
      <c r="T13" s="73"/>
      <c r="U13" s="73"/>
      <c r="V13" s="73"/>
      <c r="W13" s="73"/>
      <c r="X13" s="74" t="e">
        <f ca="1">HYPERLINK("#"&amp;C13&amp;"!"&amp;ADDRESS(3,COLUMN(#REF!),1),COLUMN(#REF!))</f>
        <v>#REF!</v>
      </c>
    </row>
    <row r="14" spans="2:24" hidden="1" x14ac:dyDescent="0.3">
      <c r="B14" s="68" t="s">
        <v>425</v>
      </c>
      <c r="C14" s="70" t="e">
        <f ca="1">IF(D14="","단가산출근거목록표",MID(D14,FIND("]",D14)+1,LEN(D14)))</f>
        <v>#REF!</v>
      </c>
      <c r="D14" s="70" t="e">
        <f ca="1">CELL("filename",#REF!)</f>
        <v>#REF!</v>
      </c>
      <c r="E14" s="73"/>
      <c r="F14" s="74" t="e">
        <f ca="1">HYPERLINK("#"&amp;C14&amp;"!"&amp;ADDRESS(3,COLUMN(#REF!),1),COLUMN(#REF!))</f>
        <v>#REF!</v>
      </c>
      <c r="G14" s="74" t="e">
        <f ca="1">HYPERLINK("#"&amp;C14&amp;"!"&amp;ADDRESS(3,COLUMN(#REF!),1),COLUMN(#REF!))</f>
        <v>#REF!</v>
      </c>
      <c r="H14" s="73"/>
      <c r="I14" s="74" t="e">
        <f ca="1">HYPERLINK("#"&amp;C14&amp;"!"&amp;ADDRESS(3,COLUMN(#REF!),1),COLUMN(#REF!))</f>
        <v>#REF!</v>
      </c>
      <c r="J14" s="74" t="e">
        <f ca="1">HYPERLINK("#"&amp;C14&amp;"!A"&amp;ROW(#REF!),ROW(#REF!))</f>
        <v>#REF!</v>
      </c>
      <c r="K14" s="74" t="e">
        <f ca="1">HYPERLINK("#"&amp;C14&amp;"!A"&amp;ROW(#REF!),ROW(#REF!))</f>
        <v>#REF!</v>
      </c>
      <c r="L14" s="74" t="e">
        <f ca="1">HYPERLINK("#"&amp;C14&amp;"!"&amp;ADDRESS(3,COLUMN(#REF!),1),COLUMN(#REF!))</f>
        <v>#REF!</v>
      </c>
      <c r="M14" s="73"/>
      <c r="N14" s="74" t="e">
        <f ca="1">HYPERLINK("#"&amp;C14&amp;"!"&amp;ADDRESS(3,COLUMN(#REF!),1),COLUMN(#REF!))</f>
        <v>#REF!</v>
      </c>
      <c r="O14" s="73"/>
      <c r="P14" s="74" t="e">
        <f ca="1">HYPERLINK("#"&amp;C14&amp;"!"&amp;ADDRESS(3,COLUMN(#REF!),1),COLUMN(#REF!))</f>
        <v>#REF!</v>
      </c>
      <c r="Q14" s="73"/>
      <c r="R14" s="74" t="e">
        <f ca="1">HYPERLINK("#"&amp;C14&amp;"!"&amp;ADDRESS(3,COLUMN(#REF!),1),COLUMN(#REF!))</f>
        <v>#REF!</v>
      </c>
      <c r="S14" s="73"/>
      <c r="T14" s="73"/>
      <c r="U14" s="73"/>
      <c r="V14" s="73"/>
      <c r="W14" s="73"/>
      <c r="X14" s="74" t="e">
        <f ca="1">HYPERLINK("#"&amp;C14&amp;"!"&amp;ADDRESS(3,COLUMN(#REF!),1),COLUMN(#REF!))</f>
        <v>#REF!</v>
      </c>
    </row>
    <row r="15" spans="2:24" hidden="1" x14ac:dyDescent="0.3">
      <c r="B15" s="68" t="s">
        <v>426</v>
      </c>
      <c r="C15" s="70" t="e">
        <f ca="1">IF(D15="","재료비단가대비표",MID(D15,FIND("]",D15)+1,LEN(D15)))</f>
        <v>#REF!</v>
      </c>
      <c r="D15" s="70" t="e">
        <f ca="1">CELL("filename",#REF!)</f>
        <v>#REF!</v>
      </c>
      <c r="E15" s="73"/>
      <c r="F15" s="74" t="e">
        <f ca="1">HYPERLINK("#"&amp;C15&amp;"!"&amp;ADDRESS(4,COLUMN(#REF!),1),COLUMN(#REF!))</f>
        <v>#REF!</v>
      </c>
      <c r="G15" s="74" t="e">
        <f ca="1">HYPERLINK("#"&amp;C15&amp;"!"&amp;ADDRESS(4,COLUMN(#REF!),1),COLUMN(#REF!))</f>
        <v>#REF!</v>
      </c>
      <c r="H15" s="73"/>
      <c r="I15" s="74" t="e">
        <f ca="1">HYPERLINK("#"&amp;C15&amp;"!"&amp;ADDRESS(4,COLUMN(#REF!),1),COLUMN(#REF!))</f>
        <v>#REF!</v>
      </c>
      <c r="J15" s="74" t="e">
        <f ca="1">HYPERLINK("#"&amp;C15&amp;"!A"&amp;ROW(#REF!),ROW(#REF!))</f>
        <v>#REF!</v>
      </c>
      <c r="K15" s="74" t="e">
        <f ca="1">HYPERLINK("#"&amp;C15&amp;"!A"&amp;ROW(#REF!),ROW(#REF!))</f>
        <v>#REF!</v>
      </c>
      <c r="L15" s="74" t="e">
        <f ca="1">HYPERLINK("#"&amp;C15&amp;"!"&amp;ADDRESS(4,COLUMN(#REF!),1),COLUMN(#REF!))</f>
        <v>#REF!</v>
      </c>
      <c r="M15" s="74" t="e">
        <f ca="1">HYPERLINK("#"&amp;C15&amp;"!"&amp;ADDRESS(4,COLUMN(#REF!),1),COLUMN(#REF!))</f>
        <v>#REF!</v>
      </c>
      <c r="N15" s="74" t="e">
        <f ca="1">HYPERLINK("#"&amp;C15&amp;"!"&amp;ADDRESS(4,COLUMN(#REF!),1),COLUMN(#REF!))</f>
        <v>#REF!</v>
      </c>
      <c r="O15" s="74" t="e">
        <f ca="1">HYPERLINK("#"&amp;C15&amp;"!"&amp;ADDRESS(4,COLUMN(#REF!),1),COLUMN(#REF!))</f>
        <v>#REF!</v>
      </c>
      <c r="P15" s="74" t="e">
        <f ca="1">HYPERLINK("#"&amp;C15&amp;"!"&amp;ADDRESS(4,COLUMN(#REF!),1),COLUMN(#REF!))</f>
        <v>#REF!</v>
      </c>
      <c r="Q15" s="74" t="e">
        <f ca="1">HYPERLINK("#"&amp;C15&amp;"!"&amp;ADDRESS(4,COLUMN(#REF!),1),COLUMN(#REF!))</f>
        <v>#REF!</v>
      </c>
      <c r="R15" s="74" t="e">
        <f ca="1">HYPERLINK("#"&amp;C15&amp;"!"&amp;ADDRESS(4,COLUMN(#REF!),1),COLUMN(#REF!))</f>
        <v>#REF!</v>
      </c>
      <c r="S15" s="74" t="e">
        <f ca="1">HYPERLINK("#"&amp;C15&amp;"!"&amp;ADDRESS(4,COLUMN(#REF!),1),COLUMN(#REF!))</f>
        <v>#REF!</v>
      </c>
      <c r="T15" s="74" t="e">
        <f ca="1">HYPERLINK("#"&amp;C15&amp;"!"&amp;ADDRESS(4,COLUMN(#REF!),1),COLUMN(#REF!))</f>
        <v>#REF!</v>
      </c>
      <c r="U15" s="74" t="e">
        <f ca="1">HYPERLINK("#"&amp;C15&amp;"!"&amp;ADDRESS(4,COLUMN(#REF!),1),COLUMN(#REF!))</f>
        <v>#REF!</v>
      </c>
      <c r="V15" s="74" t="e">
        <f ca="1">HYPERLINK("#"&amp;C15&amp;"!"&amp;ADDRESS(4,COLUMN(#REF!),1),COLUMN(#REF!))</f>
        <v>#REF!</v>
      </c>
      <c r="W15" s="74" t="e">
        <f ca="1">HYPERLINK("#"&amp;C15&amp;"!"&amp;ADDRESS(4,COLUMN(#REF!),1),COLUMN(#REF!))</f>
        <v>#REF!</v>
      </c>
      <c r="X15" s="74" t="e">
        <f ca="1">HYPERLINK("#"&amp;C15&amp;"!"&amp;ADDRESS(4,COLUMN(#REF!),1),COLUMN(#REF!))</f>
        <v>#REF!</v>
      </c>
    </row>
    <row r="16" spans="2:24" hidden="1" x14ac:dyDescent="0.3">
      <c r="B16" s="68" t="s">
        <v>427</v>
      </c>
      <c r="C16" s="70" t="str">
        <f ca="1">IF(D16="","설계내역서",MID(D16,FIND("]",D16)+1,LEN(D16)))</f>
        <v>설계내역서</v>
      </c>
      <c r="D16" s="70" t="str">
        <f ca="1">CELL("filename",설계내역서!A1)</f>
        <v>C:\Users\USER\Desktop\2026 업무폴더\1. 2026 계약현황\2. 사업소 의뢰\2026. 10월\4. 2026년도 간선임도사업(경산 남천 송백~남천 하도1)\1. 계약의뢰\[(공내역서) 2026년도 간선임도사업(경산 남천 송백 ~ 남천 하도1).xlsx]설계내역서</v>
      </c>
      <c r="E16" s="74">
        <f ca="1">HYPERLINK("#"&amp;C16&amp;"!"&amp;ADDRESS(4,COLUMN(설계내역서!A1),1),COLUMN(설계내역서!A1))</f>
        <v>1</v>
      </c>
      <c r="F16" s="74">
        <f ca="1">HYPERLINK("#"&amp;C16&amp;"!"&amp;ADDRESS(4,COLUMN(설계내역서!B1),1),COLUMN(설계내역서!B1))</f>
        <v>2</v>
      </c>
      <c r="G16" s="74">
        <f ca="1">HYPERLINK("#"&amp;C16&amp;"!"&amp;ADDRESS(4,COLUMN(설계내역서!C1),1),COLUMN(설계내역서!C1))</f>
        <v>3</v>
      </c>
      <c r="H16" s="74">
        <f ca="1">HYPERLINK("#"&amp;C16&amp;"!"&amp;ADDRESS(4,COLUMN(설계내역서!D1),1),COLUMN(설계내역서!D1))</f>
        <v>4</v>
      </c>
      <c r="I16" s="74">
        <f ca="1">HYPERLINK("#"&amp;C16&amp;"!"&amp;ADDRESS(4,COLUMN(설계내역서!E1),1),COLUMN(설계내역서!E1))</f>
        <v>5</v>
      </c>
      <c r="J16" s="74">
        <f ca="1">HYPERLINK("#"&amp;C16&amp;"!A"&amp;ROW(설계내역서!A5),ROW(설계내역서!A5))</f>
        <v>5</v>
      </c>
      <c r="K16" s="74">
        <f ca="1">HYPERLINK("#"&amp;C16&amp;"!A"&amp;ROW(설계내역서!A85),ROW(설계내역서!A85))</f>
        <v>85</v>
      </c>
      <c r="L16" s="74">
        <f ca="1">HYPERLINK("#"&amp;C16&amp;"!"&amp;ADDRESS(4,COLUMN(설계내역서!F1),1),COLUMN(설계내역서!F1))</f>
        <v>6</v>
      </c>
      <c r="M16" s="74">
        <f ca="1">HYPERLINK("#"&amp;C16&amp;"!"&amp;ADDRESS(4,COLUMN(설계내역서!G1),1),COLUMN(설계내역서!G1))</f>
        <v>7</v>
      </c>
      <c r="N16" s="74">
        <f ca="1">HYPERLINK("#"&amp;C16&amp;"!"&amp;ADDRESS(4,COLUMN(설계내역서!J1),1),COLUMN(설계내역서!J1))</f>
        <v>10</v>
      </c>
      <c r="O16" s="74">
        <f ca="1">HYPERLINK("#"&amp;C16&amp;"!"&amp;ADDRESS(4,COLUMN(설계내역서!K1),1),COLUMN(설계내역서!K1))</f>
        <v>11</v>
      </c>
      <c r="P16" s="74">
        <f ca="1">HYPERLINK("#"&amp;C16&amp;"!"&amp;ADDRESS(4,COLUMN(설계내역서!H1),1),COLUMN(설계내역서!H1))</f>
        <v>8</v>
      </c>
      <c r="Q16" s="74">
        <f ca="1">HYPERLINK("#"&amp;C16&amp;"!"&amp;ADDRESS(4,COLUMN(설계내역서!I1),1),COLUMN(설계내역서!I1))</f>
        <v>9</v>
      </c>
      <c r="R16" s="74">
        <f ca="1">HYPERLINK("#"&amp;C16&amp;"!"&amp;ADDRESS(4,COLUMN(설계내역서!L1),1),COLUMN(설계내역서!L1))</f>
        <v>12</v>
      </c>
      <c r="S16" s="74">
        <f ca="1">HYPERLINK("#"&amp;C16&amp;"!"&amp;ADDRESS(4,COLUMN(설계내역서!M1),1),COLUMN(설계내역서!M1))</f>
        <v>13</v>
      </c>
      <c r="T16" s="73"/>
      <c r="U16" s="73"/>
      <c r="V16" s="73"/>
      <c r="W16" s="73"/>
      <c r="X16" s="74">
        <f ca="1">HYPERLINK("#"&amp;C16&amp;"!"&amp;ADDRESS(4,COLUMN(설계내역서!O1),1),COLUMN(설계내역서!O1))</f>
        <v>15</v>
      </c>
    </row>
    <row r="17" spans="2:24" hidden="1" x14ac:dyDescent="0.3">
      <c r="B17" s="68" t="s">
        <v>428</v>
      </c>
      <c r="C17" s="70" t="str">
        <f ca="1">IF(D17="","총괄설계내역서",MID(D17,FIND("]",D17)+1,LEN(D17)))</f>
        <v>총괄설계내역서</v>
      </c>
      <c r="D17" s="70" t="str">
        <f ca="1">CELL("filename",총괄설계내역서!A1)</f>
        <v>C:\Users\USER\Desktop\2026 업무폴더\1. 2026 계약현황\2. 사업소 의뢰\2026. 10월\4. 2026년도 간선임도사업(경산 남천 송백~남천 하도1)\1. 계약의뢰\[(공내역서) 2026년도 간선임도사업(경산 남천 송백 ~ 남천 하도1).xlsx]총괄설계내역서</v>
      </c>
      <c r="E17" s="74">
        <f ca="1">HYPERLINK("#"&amp;C17&amp;"!"&amp;ADDRESS(3,COLUMN(총괄설계내역서!A1),1),COLUMN(총괄설계내역서!A1))</f>
        <v>1</v>
      </c>
      <c r="F17" s="74">
        <f ca="1">HYPERLINK("#"&amp;C17&amp;"!"&amp;ADDRESS(3,COLUMN(총괄설계내역서!B1),1),COLUMN(총괄설계내역서!B1))</f>
        <v>2</v>
      </c>
      <c r="G17" s="74">
        <f ca="1">HYPERLINK("#"&amp;C17&amp;"!"&amp;ADDRESS(3,COLUMN(총괄설계내역서!C1),1),COLUMN(총괄설계내역서!C1))</f>
        <v>3</v>
      </c>
      <c r="H17" s="73"/>
      <c r="I17" s="74">
        <f ca="1">HYPERLINK("#"&amp;C17&amp;"!"&amp;ADDRESS(3,COLUMN(총괄설계내역서!E1),1),COLUMN(총괄설계내역서!E1))</f>
        <v>5</v>
      </c>
      <c r="J17" s="74">
        <f ca="1">HYPERLINK("#"&amp;C17&amp;"!A"&amp;ROW(총괄설계내역서!A4),ROW(총괄설계내역서!A4))</f>
        <v>4</v>
      </c>
      <c r="K17" s="74">
        <f ca="1">HYPERLINK("#"&amp;C17&amp;"!A"&amp;ROW(총괄설계내역서!A38),ROW(총괄설계내역서!A38))</f>
        <v>38</v>
      </c>
      <c r="L17" s="74">
        <f ca="1">HYPERLINK("#"&amp;C17&amp;"!"&amp;ADDRESS(3,COLUMN(총괄설계내역서!D1),1),COLUMN(총괄설계내역서!D1))</f>
        <v>4</v>
      </c>
      <c r="M17" s="74">
        <f ca="1">HYPERLINK("#"&amp;C17&amp;"!"&amp;ADDRESS(3,COLUMN(총괄설계내역서!I1),1),COLUMN(총괄설계내역서!I1))</f>
        <v>9</v>
      </c>
      <c r="N17" s="74">
        <f ca="1">HYPERLINK("#"&amp;C17&amp;"!"&amp;ADDRESS(3,COLUMN(총괄설계내역서!M1),1),COLUMN(총괄설계내역서!M1))</f>
        <v>13</v>
      </c>
      <c r="O17" s="74">
        <f ca="1">HYPERLINK("#"&amp;C17&amp;"!"&amp;ADDRESS(3,COLUMN(총괄설계내역서!N1),1),COLUMN(총괄설계내역서!N1))</f>
        <v>14</v>
      </c>
      <c r="P17" s="74">
        <f ca="1">HYPERLINK("#"&amp;C17&amp;"!"&amp;ADDRESS(3,COLUMN(총괄설계내역서!O1),1),COLUMN(총괄설계내역서!O1))</f>
        <v>15</v>
      </c>
      <c r="Q17" s="74">
        <f ca="1">HYPERLINK("#"&amp;C17&amp;"!"&amp;ADDRESS(3,COLUMN(총괄설계내역서!P1),1),COLUMN(총괄설계내역서!P1))</f>
        <v>16</v>
      </c>
      <c r="R17" s="73"/>
      <c r="S17" s="73"/>
      <c r="T17" s="73"/>
      <c r="U17" s="73"/>
      <c r="V17" s="73"/>
      <c r="W17" s="73"/>
      <c r="X17" s="74">
        <f ca="1">HYPERLINK("#"&amp;C17&amp;"!"&amp;ADDRESS(3,COLUMN(총괄설계내역서!H1),1),COLUMN(총괄설계내역서!H1))</f>
        <v>8</v>
      </c>
    </row>
    <row r="18" spans="2:24" hidden="1" x14ac:dyDescent="0.3">
      <c r="B18" s="68" t="s">
        <v>429</v>
      </c>
      <c r="C18" s="70" t="e">
        <f ca="1">IF(D18="","기계경비산출조서",MID(D18,FIND("]",D18)+1,LEN(D18)))</f>
        <v>#REF!</v>
      </c>
      <c r="D18" s="70" t="e">
        <f ca="1">CELL("filename",#REF!)</f>
        <v>#REF!</v>
      </c>
      <c r="E18" s="73"/>
      <c r="F18" s="74" t="e">
        <f ca="1">HYPERLINK("#"&amp;C18&amp;"!"&amp;ADDRESS(4,COLUMN(#REF!),1),COLUMN(#REF!))</f>
        <v>#REF!</v>
      </c>
      <c r="G18" s="74" t="e">
        <f ca="1">HYPERLINK("#"&amp;C18&amp;"!"&amp;ADDRESS(4,COLUMN(#REF!),1),COLUMN(#REF!))</f>
        <v>#REF!</v>
      </c>
      <c r="H18" s="74" t="e">
        <f ca="1">HYPERLINK("#"&amp;C18&amp;"!"&amp;ADDRESS(4,COLUMN(#REF!),1),COLUMN(#REF!))</f>
        <v>#REF!</v>
      </c>
      <c r="I18" s="74" t="e">
        <f ca="1">HYPERLINK("#"&amp;C18&amp;"!"&amp;ADDRESS(4,COLUMN(#REF!),1),COLUMN(#REF!))</f>
        <v>#REF!</v>
      </c>
      <c r="J18" s="74" t="e">
        <f ca="1">HYPERLINK("#"&amp;C18&amp;"!A"&amp;ROW(#REF!),ROW(#REF!))</f>
        <v>#REF!</v>
      </c>
      <c r="K18" s="74" t="e">
        <f ca="1">HYPERLINK("#"&amp;C18&amp;"!A"&amp;ROW(#REF!),ROW(#REF!))</f>
        <v>#REF!</v>
      </c>
      <c r="L18" s="74" t="e">
        <f ca="1">HYPERLINK("#"&amp;C18&amp;"!"&amp;ADDRESS(4,COLUMN(#REF!),1),COLUMN(#REF!))</f>
        <v>#REF!</v>
      </c>
      <c r="M18" s="74" t="e">
        <f ca="1">HYPERLINK("#"&amp;C18&amp;"!"&amp;ADDRESS(4,COLUMN(#REF!),1),COLUMN(#REF!))</f>
        <v>#REF!</v>
      </c>
      <c r="N18" s="74" t="e">
        <f ca="1">HYPERLINK("#"&amp;C18&amp;"!"&amp;ADDRESS(4,COLUMN(#REF!),1),COLUMN(#REF!))</f>
        <v>#REF!</v>
      </c>
      <c r="O18" s="74" t="e">
        <f ca="1">HYPERLINK("#"&amp;C18&amp;"!"&amp;ADDRESS(4,COLUMN(#REF!),1),COLUMN(#REF!))</f>
        <v>#REF!</v>
      </c>
      <c r="P18" s="74" t="e">
        <f ca="1">HYPERLINK("#"&amp;C18&amp;"!"&amp;ADDRESS(4,COLUMN(#REF!),1),COLUMN(#REF!))</f>
        <v>#REF!</v>
      </c>
      <c r="Q18" s="74" t="e">
        <f ca="1">HYPERLINK("#"&amp;C18&amp;"!"&amp;ADDRESS(4,COLUMN(#REF!),1),COLUMN(#REF!))</f>
        <v>#REF!</v>
      </c>
      <c r="R18" s="74" t="e">
        <f ca="1">HYPERLINK("#"&amp;C18&amp;"!"&amp;ADDRESS(4,COLUMN(#REF!),1),COLUMN(#REF!))</f>
        <v>#REF!</v>
      </c>
      <c r="S18" s="74" t="e">
        <f ca="1">HYPERLINK("#"&amp;C18&amp;"!"&amp;ADDRESS(4,COLUMN(#REF!),1),COLUMN(#REF!))</f>
        <v>#REF!</v>
      </c>
      <c r="T18" s="73"/>
      <c r="U18" s="73"/>
      <c r="V18" s="73"/>
      <c r="W18" s="73"/>
      <c r="X18" s="74" t="e">
        <f ca="1">HYPERLINK("#"&amp;C18&amp;"!"&amp;ADDRESS(4,COLUMN(#REF!),1),COLUMN(#REF!))</f>
        <v>#REF!</v>
      </c>
    </row>
    <row r="19" spans="2:24" hidden="1" x14ac:dyDescent="0.3">
      <c r="B19" s="68" t="s">
        <v>430</v>
      </c>
      <c r="C19" s="70" t="e">
        <f ca="1">IF(D19="","일위대가표",MID(D19,FIND("]",D19)+1,LEN(D19)))</f>
        <v>#REF!</v>
      </c>
      <c r="D19" s="70" t="e">
        <f ca="1">CELL("filename",#REF!)</f>
        <v>#REF!</v>
      </c>
      <c r="E19" s="73"/>
      <c r="F19" s="74" t="e">
        <f ca="1">HYPERLINK("#"&amp;C19&amp;"!"&amp;ADDRESS(4,COLUMN(#REF!),1),COLUMN(#REF!))</f>
        <v>#REF!</v>
      </c>
      <c r="G19" s="74" t="e">
        <f ca="1">HYPERLINK("#"&amp;C19&amp;"!"&amp;ADDRESS(4,COLUMN(#REF!),1),COLUMN(#REF!))</f>
        <v>#REF!</v>
      </c>
      <c r="H19" s="74" t="e">
        <f ca="1">HYPERLINK("#"&amp;C19&amp;"!"&amp;ADDRESS(4,COLUMN(#REF!),1),COLUMN(#REF!))</f>
        <v>#REF!</v>
      </c>
      <c r="I19" s="74" t="e">
        <f ca="1">HYPERLINK("#"&amp;C19&amp;"!"&amp;ADDRESS(4,COLUMN(#REF!),1),COLUMN(#REF!))</f>
        <v>#REF!</v>
      </c>
      <c r="J19" s="74" t="e">
        <f ca="1">HYPERLINK("#"&amp;C19&amp;"!A"&amp;ROW(#REF!),ROW(#REF!))</f>
        <v>#REF!</v>
      </c>
      <c r="K19" s="74" t="e">
        <f ca="1">HYPERLINK("#"&amp;C19&amp;"!A"&amp;ROW(#REF!),ROW(#REF!))</f>
        <v>#REF!</v>
      </c>
      <c r="L19" s="74" t="e">
        <f ca="1">HYPERLINK("#"&amp;C19&amp;"!"&amp;ADDRESS(4,COLUMN(#REF!),1),COLUMN(#REF!))</f>
        <v>#REF!</v>
      </c>
      <c r="M19" s="74" t="e">
        <f ca="1">HYPERLINK("#"&amp;C19&amp;"!"&amp;ADDRESS(4,COLUMN(#REF!),1),COLUMN(#REF!))</f>
        <v>#REF!</v>
      </c>
      <c r="N19" s="74" t="e">
        <f ca="1">HYPERLINK("#"&amp;C19&amp;"!"&amp;ADDRESS(4,COLUMN(#REF!),1),COLUMN(#REF!))</f>
        <v>#REF!</v>
      </c>
      <c r="O19" s="74" t="e">
        <f ca="1">HYPERLINK("#"&amp;C19&amp;"!"&amp;ADDRESS(4,COLUMN(#REF!),1),COLUMN(#REF!))</f>
        <v>#REF!</v>
      </c>
      <c r="P19" s="74" t="e">
        <f ca="1">HYPERLINK("#"&amp;C19&amp;"!"&amp;ADDRESS(4,COLUMN(#REF!),1),COLUMN(#REF!))</f>
        <v>#REF!</v>
      </c>
      <c r="Q19" s="74" t="e">
        <f ca="1">HYPERLINK("#"&amp;C19&amp;"!"&amp;ADDRESS(4,COLUMN(#REF!),1),COLUMN(#REF!))</f>
        <v>#REF!</v>
      </c>
      <c r="R19" s="74" t="e">
        <f ca="1">HYPERLINK("#"&amp;C19&amp;"!"&amp;ADDRESS(4,COLUMN(#REF!),1),COLUMN(#REF!))</f>
        <v>#REF!</v>
      </c>
      <c r="S19" s="74" t="e">
        <f ca="1">HYPERLINK("#"&amp;C19&amp;"!"&amp;ADDRESS(4,COLUMN(#REF!),1),COLUMN(#REF!))</f>
        <v>#REF!</v>
      </c>
      <c r="T19" s="73"/>
      <c r="U19" s="73"/>
      <c r="V19" s="73"/>
      <c r="W19" s="73"/>
      <c r="X19" s="74" t="e">
        <f ca="1">HYPERLINK("#"&amp;C19&amp;"!"&amp;ADDRESS(4,COLUMN(#REF!),1),COLUMN(#REF!))</f>
        <v>#REF!</v>
      </c>
    </row>
    <row r="20" spans="2:24" hidden="1" x14ac:dyDescent="0.3">
      <c r="B20" s="68" t="s">
        <v>431</v>
      </c>
      <c r="C20" s="70" t="e">
        <f ca="1">IF(D20="","단가산출근거",MID(D20,FIND("]",D20)+1,LEN(D20)))</f>
        <v>#REF!</v>
      </c>
      <c r="D20" s="70" t="e">
        <f ca="1">CELL("filename",#REF!)</f>
        <v>#REF!</v>
      </c>
      <c r="E20" s="74" t="e">
        <f ca="1">HYPERLINK("#"&amp;C20&amp;"!"&amp;ADDRESS(4,COLUMN(#REF!),1),COLUMN(#REF!))</f>
        <v>#REF!</v>
      </c>
      <c r="F20" s="74" t="e">
        <f ca="1">HYPERLINK("#"&amp;C20&amp;"!"&amp;ADDRESS(4,COLUMN(#REF!),1),COLUMN(#REF!))</f>
        <v>#REF!</v>
      </c>
      <c r="G20" s="73"/>
      <c r="H20" s="73"/>
      <c r="I20" s="73"/>
      <c r="J20" s="74" t="e">
        <f ca="1">HYPERLINK("#"&amp;C20&amp;"!A"&amp;ROW(#REF!),ROW(#REF!))</f>
        <v>#REF!</v>
      </c>
      <c r="K20" s="74" t="e">
        <f ca="1">HYPERLINK("#"&amp;C20&amp;"!A"&amp;ROW(#REF!),ROW(#REF!))</f>
        <v>#REF!</v>
      </c>
      <c r="L20" s="74" t="e">
        <f ca="1">HYPERLINK("#"&amp;C20&amp;"!"&amp;ADDRESS(4,COLUMN(#REF!),1),COLUMN(#REF!))</f>
        <v>#REF!</v>
      </c>
      <c r="M20" s="73"/>
      <c r="N20" s="74" t="e">
        <f ca="1">HYPERLINK("#"&amp;C20&amp;"!"&amp;ADDRESS(4,COLUMN(#REF!),1),COLUMN(#REF!))</f>
        <v>#REF!</v>
      </c>
      <c r="O20" s="73"/>
      <c r="P20" s="74" t="e">
        <f ca="1">HYPERLINK("#"&amp;C20&amp;"!"&amp;ADDRESS(4,COLUMN(#REF!),1),COLUMN(#REF!))</f>
        <v>#REF!</v>
      </c>
      <c r="Q20" s="73"/>
      <c r="R20" s="74" t="e">
        <f ca="1">HYPERLINK("#"&amp;C20&amp;"!"&amp;ADDRESS(4,COLUMN(#REF!),1),COLUMN(#REF!))</f>
        <v>#REF!</v>
      </c>
      <c r="S20" s="73"/>
      <c r="T20" s="73"/>
      <c r="U20" s="73"/>
      <c r="V20" s="73"/>
      <c r="W20" s="73"/>
      <c r="X20" s="74" t="e">
        <f ca="1">HYPERLINK("#"&amp;C20&amp;"!"&amp;ADDRESS(4,COLUMN(#REF!),1),COLUMN(#REF!))</f>
        <v>#REF!</v>
      </c>
    </row>
    <row r="21" spans="2:24" hidden="1" x14ac:dyDescent="0.3">
      <c r="B21" s="68" t="s">
        <v>432</v>
      </c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</row>
    <row r="22" spans="2:24" hidden="1" x14ac:dyDescent="0.3">
      <c r="B22" s="68" t="s">
        <v>433</v>
      </c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</row>
    <row r="23" spans="2:24" hidden="1" x14ac:dyDescent="0.3">
      <c r="B23" s="68" t="s">
        <v>434</v>
      </c>
      <c r="C23" s="68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</row>
    <row r="24" spans="2:24" hidden="1" x14ac:dyDescent="0.3">
      <c r="B24" s="66" t="s">
        <v>435</v>
      </c>
      <c r="D24" s="72">
        <f>ROW(C33)</f>
        <v>33</v>
      </c>
    </row>
    <row r="25" spans="2:24" hidden="1" x14ac:dyDescent="0.3">
      <c r="B25" s="68" t="s">
        <v>436</v>
      </c>
      <c r="C25" s="68" t="s">
        <v>437</v>
      </c>
    </row>
    <row r="26" spans="2:24" hidden="1" x14ac:dyDescent="0.3">
      <c r="B26" s="68" t="s">
        <v>438</v>
      </c>
      <c r="C26" s="68" t="s">
        <v>439</v>
      </c>
    </row>
    <row r="27" spans="2:24" hidden="1" x14ac:dyDescent="0.3">
      <c r="B27" s="68" t="s">
        <v>440</v>
      </c>
      <c r="C27" s="68" t="s">
        <v>441</v>
      </c>
    </row>
    <row r="28" spans="2:24" hidden="1" x14ac:dyDescent="0.3">
      <c r="B28" s="68" t="s">
        <v>442</v>
      </c>
      <c r="C28" s="68" t="s">
        <v>441</v>
      </c>
    </row>
    <row r="29" spans="2:24" hidden="1" x14ac:dyDescent="0.3">
      <c r="B29" s="68" t="s">
        <v>443</v>
      </c>
      <c r="C29" s="68" t="s">
        <v>441</v>
      </c>
    </row>
    <row r="30" spans="2:24" hidden="1" x14ac:dyDescent="0.3">
      <c r="B30" s="68" t="s">
        <v>444</v>
      </c>
      <c r="C30" s="70" t="s">
        <v>445</v>
      </c>
    </row>
    <row r="31" spans="2:24" hidden="1" x14ac:dyDescent="0.3">
      <c r="B31" s="68" t="s">
        <v>446</v>
      </c>
      <c r="C31" s="68" t="s">
        <v>87</v>
      </c>
    </row>
    <row r="32" spans="2:24" hidden="1" x14ac:dyDescent="0.3">
      <c r="B32" s="68" t="s">
        <v>447</v>
      </c>
      <c r="C32" s="68" t="s">
        <v>88</v>
      </c>
    </row>
    <row r="33" spans="2:10" hidden="1" x14ac:dyDescent="0.3">
      <c r="B33" s="66" t="s">
        <v>448</v>
      </c>
      <c r="D33" s="72">
        <f>ROW(C52)</f>
        <v>52</v>
      </c>
    </row>
    <row r="34" spans="2:10" hidden="1" x14ac:dyDescent="0.3">
      <c r="B34" s="68" t="s">
        <v>449</v>
      </c>
      <c r="C34" s="68" t="s">
        <v>87</v>
      </c>
      <c r="D34" s="68" t="s">
        <v>87</v>
      </c>
      <c r="E34" s="68" t="s">
        <v>441</v>
      </c>
      <c r="F34" s="68" t="s">
        <v>441</v>
      </c>
      <c r="G34" s="68" t="s">
        <v>441</v>
      </c>
      <c r="H34" s="68" t="s">
        <v>441</v>
      </c>
    </row>
    <row r="35" spans="2:10" hidden="1" x14ac:dyDescent="0.3">
      <c r="B35" s="68" t="s">
        <v>450</v>
      </c>
      <c r="C35" s="71" t="e">
        <f>#REF!</f>
        <v>#REF!</v>
      </c>
      <c r="D35" s="71" t="e">
        <f>#REF!</f>
        <v>#REF!</v>
      </c>
      <c r="E35" s="71" t="e">
        <f>#REF!</f>
        <v>#REF!</v>
      </c>
      <c r="F35" s="71" t="e">
        <f>#REF!</f>
        <v>#REF!</v>
      </c>
      <c r="G35" s="71" t="e">
        <f>#REF!</f>
        <v>#REF!</v>
      </c>
      <c r="H35" s="71" t="e">
        <f>#REF!</f>
        <v>#REF!</v>
      </c>
      <c r="I35" s="71" t="e">
        <f>#REF!</f>
        <v>#REF!</v>
      </c>
      <c r="J35" s="71" t="e">
        <f>#REF!</f>
        <v>#REF!</v>
      </c>
    </row>
    <row r="36" spans="2:10" hidden="1" x14ac:dyDescent="0.3">
      <c r="B36" s="68" t="s">
        <v>451</v>
      </c>
      <c r="C36" s="70" t="s">
        <v>452</v>
      </c>
    </row>
    <row r="37" spans="2:10" hidden="1" x14ac:dyDescent="0.3">
      <c r="B37" s="68" t="s">
        <v>453</v>
      </c>
      <c r="C37" s="68" t="s">
        <v>454</v>
      </c>
      <c r="D37" s="68"/>
      <c r="E37" s="68"/>
      <c r="F37" s="68"/>
      <c r="G37" s="68"/>
      <c r="H37" s="68"/>
    </row>
    <row r="38" spans="2:10" hidden="1" x14ac:dyDescent="0.3">
      <c r="B38" s="68" t="s">
        <v>455</v>
      </c>
      <c r="C38" s="68" t="s">
        <v>456</v>
      </c>
      <c r="D38" s="68"/>
      <c r="E38" s="68"/>
      <c r="F38" s="68"/>
      <c r="G38" s="68"/>
      <c r="H38" s="68"/>
    </row>
    <row r="39" spans="2:10" hidden="1" x14ac:dyDescent="0.3">
      <c r="B39" s="68" t="s">
        <v>457</v>
      </c>
      <c r="C39" s="68" t="s">
        <v>87</v>
      </c>
    </row>
    <row r="40" spans="2:10" hidden="1" x14ac:dyDescent="0.3">
      <c r="B40" s="68" t="s">
        <v>458</v>
      </c>
      <c r="C40" s="68" t="s">
        <v>441</v>
      </c>
    </row>
    <row r="41" spans="2:10" hidden="1" x14ac:dyDescent="0.3">
      <c r="B41" s="68" t="s">
        <v>459</v>
      </c>
      <c r="C41" s="68" t="s">
        <v>441</v>
      </c>
    </row>
    <row r="42" spans="2:10" hidden="1" x14ac:dyDescent="0.3">
      <c r="B42" s="68" t="s">
        <v>460</v>
      </c>
      <c r="C42" s="68" t="s">
        <v>87</v>
      </c>
    </row>
    <row r="43" spans="2:10" hidden="1" x14ac:dyDescent="0.3">
      <c r="B43" s="68" t="s">
        <v>461</v>
      </c>
      <c r="C43" s="68" t="s">
        <v>87</v>
      </c>
    </row>
    <row r="44" spans="2:10" hidden="1" x14ac:dyDescent="0.3">
      <c r="B44" s="68" t="s">
        <v>462</v>
      </c>
      <c r="C44" s="68" t="s">
        <v>88</v>
      </c>
    </row>
    <row r="45" spans="2:10" hidden="1" x14ac:dyDescent="0.3">
      <c r="B45" s="68" t="s">
        <v>463</v>
      </c>
      <c r="C45" s="70" t="s">
        <v>445</v>
      </c>
    </row>
    <row r="46" spans="2:10" hidden="1" x14ac:dyDescent="0.3">
      <c r="B46" s="68" t="s">
        <v>464</v>
      </c>
      <c r="C46" s="70" t="s">
        <v>445</v>
      </c>
    </row>
    <row r="47" spans="2:10" hidden="1" x14ac:dyDescent="0.3">
      <c r="B47" s="68" t="s">
        <v>465</v>
      </c>
      <c r="C47" s="70" t="s">
        <v>445</v>
      </c>
    </row>
    <row r="48" spans="2:10" hidden="1" x14ac:dyDescent="0.3">
      <c r="B48" s="68" t="s">
        <v>466</v>
      </c>
      <c r="C48" s="70" t="s">
        <v>452</v>
      </c>
    </row>
    <row r="49" spans="2:6" hidden="1" x14ac:dyDescent="0.3">
      <c r="B49" s="68" t="s">
        <v>467</v>
      </c>
      <c r="C49" s="68" t="s">
        <v>468</v>
      </c>
    </row>
    <row r="50" spans="2:6" hidden="1" x14ac:dyDescent="0.3">
      <c r="B50" s="68" t="s">
        <v>469</v>
      </c>
      <c r="C50" s="70" t="s">
        <v>445</v>
      </c>
    </row>
    <row r="51" spans="2:6" hidden="1" x14ac:dyDescent="0.3">
      <c r="B51" s="68" t="s">
        <v>470</v>
      </c>
      <c r="C51" s="68"/>
    </row>
    <row r="52" spans="2:6" hidden="1" x14ac:dyDescent="0.3">
      <c r="B52" s="66" t="s">
        <v>471</v>
      </c>
      <c r="D52" s="72">
        <f>ROW(C75)</f>
        <v>75</v>
      </c>
    </row>
    <row r="53" spans="2:6" hidden="1" x14ac:dyDescent="0.3">
      <c r="B53" s="68" t="s">
        <v>472</v>
      </c>
      <c r="C53" s="68" t="s">
        <v>7</v>
      </c>
      <c r="D53" s="68" t="s">
        <v>6</v>
      </c>
      <c r="E53" s="68" t="s">
        <v>8</v>
      </c>
      <c r="F53" s="68" t="s">
        <v>5</v>
      </c>
    </row>
    <row r="54" spans="2:6" hidden="1" x14ac:dyDescent="0.3">
      <c r="B54" s="68" t="s">
        <v>473</v>
      </c>
      <c r="C54" s="68" t="s">
        <v>474</v>
      </c>
    </row>
    <row r="55" spans="2:6" hidden="1" x14ac:dyDescent="0.3">
      <c r="B55" s="68" t="s">
        <v>475</v>
      </c>
      <c r="C55" s="68" t="s">
        <v>476</v>
      </c>
    </row>
    <row r="56" spans="2:6" hidden="1" x14ac:dyDescent="0.3">
      <c r="B56" s="68" t="s">
        <v>477</v>
      </c>
      <c r="C56" s="68" t="s">
        <v>119</v>
      </c>
      <c r="D56" s="68" t="s">
        <v>126</v>
      </c>
    </row>
    <row r="57" spans="2:6" hidden="1" x14ac:dyDescent="0.3">
      <c r="B57" s="68" t="s">
        <v>478</v>
      </c>
      <c r="C57" s="68" t="s">
        <v>121</v>
      </c>
      <c r="D57" s="68" t="s">
        <v>127</v>
      </c>
    </row>
    <row r="58" spans="2:6" hidden="1" x14ac:dyDescent="0.3">
      <c r="B58" s="68" t="s">
        <v>479</v>
      </c>
      <c r="C58" s="68" t="s">
        <v>122</v>
      </c>
      <c r="D58" s="68" t="s">
        <v>128</v>
      </c>
    </row>
    <row r="59" spans="2:6" hidden="1" x14ac:dyDescent="0.3">
      <c r="B59" s="68" t="s">
        <v>480</v>
      </c>
      <c r="C59" s="68" t="s">
        <v>123</v>
      </c>
      <c r="D59" s="68" t="s">
        <v>129</v>
      </c>
    </row>
    <row r="60" spans="2:6" hidden="1" x14ac:dyDescent="0.3">
      <c r="B60" s="68" t="s">
        <v>481</v>
      </c>
      <c r="C60" s="68" t="s">
        <v>124</v>
      </c>
      <c r="D60" s="68" t="s">
        <v>130</v>
      </c>
    </row>
    <row r="61" spans="2:6" hidden="1" x14ac:dyDescent="0.3">
      <c r="B61" s="68" t="s">
        <v>482</v>
      </c>
      <c r="C61" s="68" t="s">
        <v>125</v>
      </c>
    </row>
    <row r="62" spans="2:6" hidden="1" x14ac:dyDescent="0.3">
      <c r="B62" s="68" t="s">
        <v>483</v>
      </c>
      <c r="C62" s="68" t="s">
        <v>484</v>
      </c>
    </row>
    <row r="63" spans="2:6" hidden="1" x14ac:dyDescent="0.3">
      <c r="B63" s="68" t="s">
        <v>485</v>
      </c>
      <c r="C63" s="68" t="s">
        <v>1</v>
      </c>
    </row>
    <row r="64" spans="2:6" hidden="1" x14ac:dyDescent="0.3">
      <c r="B64" s="68" t="s">
        <v>486</v>
      </c>
      <c r="C64" s="68" t="s">
        <v>487</v>
      </c>
    </row>
    <row r="65" spans="2:4" hidden="1" x14ac:dyDescent="0.3">
      <c r="B65" s="68" t="s">
        <v>488</v>
      </c>
      <c r="C65" s="68" t="s">
        <v>489</v>
      </c>
    </row>
    <row r="66" spans="2:4" hidden="1" x14ac:dyDescent="0.3">
      <c r="B66" s="68" t="s">
        <v>490</v>
      </c>
      <c r="C66" s="68" t="s">
        <v>132</v>
      </c>
    </row>
    <row r="67" spans="2:4" hidden="1" x14ac:dyDescent="0.3">
      <c r="B67" s="68" t="s">
        <v>491</v>
      </c>
      <c r="C67" s="68" t="s">
        <v>2</v>
      </c>
    </row>
    <row r="68" spans="2:4" hidden="1" x14ac:dyDescent="0.3">
      <c r="B68" s="68" t="s">
        <v>492</v>
      </c>
      <c r="C68" s="68" t="s">
        <v>3</v>
      </c>
    </row>
    <row r="69" spans="2:4" hidden="1" x14ac:dyDescent="0.3">
      <c r="B69" s="68" t="s">
        <v>493</v>
      </c>
      <c r="C69" s="68" t="s">
        <v>133</v>
      </c>
    </row>
    <row r="70" spans="2:4" hidden="1" x14ac:dyDescent="0.3">
      <c r="B70" s="68" t="s">
        <v>494</v>
      </c>
      <c r="C70" s="68" t="s">
        <v>4</v>
      </c>
    </row>
    <row r="71" spans="2:4" hidden="1" x14ac:dyDescent="0.3">
      <c r="B71" s="68" t="s">
        <v>495</v>
      </c>
      <c r="C71" s="68" t="s">
        <v>89</v>
      </c>
    </row>
    <row r="72" spans="2:4" hidden="1" x14ac:dyDescent="0.3">
      <c r="B72" s="68" t="s">
        <v>496</v>
      </c>
      <c r="C72" s="68" t="s">
        <v>120</v>
      </c>
    </row>
    <row r="73" spans="2:4" hidden="1" x14ac:dyDescent="0.3">
      <c r="B73" s="68" t="s">
        <v>497</v>
      </c>
      <c r="C73" s="68" t="s">
        <v>134</v>
      </c>
    </row>
    <row r="74" spans="2:4" hidden="1" x14ac:dyDescent="0.3">
      <c r="B74" s="68" t="s">
        <v>498</v>
      </c>
      <c r="C74" s="68" t="s">
        <v>9</v>
      </c>
    </row>
    <row r="75" spans="2:4" hidden="1" x14ac:dyDescent="0.3">
      <c r="B75" s="66" t="s">
        <v>499</v>
      </c>
      <c r="D75" s="72">
        <f>ROW(C79)</f>
        <v>79</v>
      </c>
    </row>
    <row r="76" spans="2:4" hidden="1" x14ac:dyDescent="0.3">
      <c r="B76" s="68" t="s">
        <v>500</v>
      </c>
      <c r="C76" s="68" t="s">
        <v>501</v>
      </c>
    </row>
    <row r="77" spans="2:4" hidden="1" x14ac:dyDescent="0.3">
      <c r="B77" s="68" t="s">
        <v>502</v>
      </c>
      <c r="C77" s="68" t="s">
        <v>503</v>
      </c>
    </row>
    <row r="78" spans="2:4" hidden="1" x14ac:dyDescent="0.3">
      <c r="B78" s="68" t="s">
        <v>504</v>
      </c>
      <c r="C78" s="68" t="s">
        <v>505</v>
      </c>
    </row>
    <row r="79" spans="2:4" hidden="1" x14ac:dyDescent="0.3">
      <c r="B79" s="66" t="s">
        <v>506</v>
      </c>
    </row>
    <row r="80" spans="2:4" hidden="1" x14ac:dyDescent="0.3"/>
  </sheetData>
  <sheetProtection password="FE8C" sheet="1" objects="1" scenarios="1"/>
  <mergeCells count="1">
    <mergeCell ref="B2:X2"/>
  </mergeCells>
  <phoneticPr fontId="16" type="noConversion"/>
  <pageMargins left="0.59055118110236215" right="0.59055118110236215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〓 목 차 〓</vt:lpstr>
      <vt:lpstr>공사원가계산서</vt:lpstr>
      <vt:lpstr>총괄설계내역서</vt:lpstr>
      <vt:lpstr>설계내역서</vt:lpstr>
      <vt:lpstr>'〓 목 차 〓'!Print_Area</vt:lpstr>
      <vt:lpstr>공사원가계산서!Print_Area</vt:lpstr>
      <vt:lpstr>설계내역서!Print_Area</vt:lpstr>
      <vt:lpstr>총괄설계내역서!Print_Area</vt:lpstr>
      <vt:lpstr>공사원가계산서!Print_Titles</vt:lpstr>
      <vt:lpstr>설계내역서!Print_Titles</vt:lpstr>
      <vt:lpstr>총괄설계내역서!Print_Titles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2026년도 간선임도사업(경산 남천 송백 ~ 남천 하도1)</dc:title>
  <dc:creator/>
  <dc:description>STmate w26.10로 작성</dc:description>
  <cp:lastModifiedBy>USER</cp:lastModifiedBy>
  <dcterms:created xsi:type="dcterms:W3CDTF">2026-10-13T11:00:07Z</dcterms:created>
  <dcterms:modified xsi:type="dcterms:W3CDTF">2026-10-29T07:40:37Z</dcterms:modified>
</cp:coreProperties>
</file>