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남정초 외 2\"/>
    </mc:Choice>
  </mc:AlternateContent>
  <xr:revisionPtr revIDLastSave="0" documentId="13_ncr:1_{EC3B8CD3-B2AF-4001-A9F5-235DFA80091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설계용역비" sheetId="1" r:id="rId1"/>
  </sheets>
  <definedNames>
    <definedName name="_xlnm.Print_Area" localSheetId="0">설계용역비!$A$1:$I$50</definedName>
  </definedNames>
  <calcPr calcId="191029"/>
</workbook>
</file>

<file path=xl/calcChain.xml><?xml version="1.0" encoding="utf-8"?>
<calcChain xmlns="http://schemas.openxmlformats.org/spreadsheetml/2006/main">
  <c r="D46" i="1" l="1"/>
  <c r="G46" i="1" s="1"/>
  <c r="G44" i="1"/>
  <c r="G45" i="1"/>
  <c r="G47" i="1"/>
  <c r="G48" i="1"/>
  <c r="C50" i="1" l="1"/>
  <c r="C44" i="1"/>
  <c r="C45" i="1"/>
  <c r="C46" i="1"/>
  <c r="C47" i="1"/>
  <c r="C48" i="1"/>
  <c r="D15" i="1" l="1"/>
  <c r="O23" i="1" l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F19" i="1" l="1"/>
  <c r="C49" i="1" l="1"/>
  <c r="D18" i="1" l="1"/>
  <c r="D19" i="1"/>
  <c r="D21" i="1" s="1"/>
  <c r="E30" i="1" l="1"/>
  <c r="E32" i="1" s="1"/>
  <c r="E31" i="1" l="1"/>
  <c r="D27" i="1"/>
  <c r="D30" i="1" l="1"/>
  <c r="D37" i="1"/>
  <c r="D31" i="1" l="1"/>
  <c r="D32" i="1"/>
  <c r="F32" i="1" l="1"/>
  <c r="F37" i="1" s="1"/>
  <c r="G37" i="1" l="1"/>
  <c r="D38" i="1" l="1"/>
  <c r="G38" i="1" s="1"/>
  <c r="D39" i="1" s="1"/>
  <c r="G39" i="1" s="1"/>
  <c r="G41" i="1" l="1"/>
  <c r="D43" i="1" s="1"/>
  <c r="D47" i="1" l="1"/>
  <c r="D49" i="1"/>
  <c r="D50" i="1"/>
  <c r="D48" i="1"/>
  <c r="D44" i="1"/>
  <c r="D45" i="1"/>
  <c r="G43" i="1"/>
  <c r="D52" i="1" l="1"/>
</calcChain>
</file>

<file path=xl/sharedStrings.xml><?xml version="1.0" encoding="utf-8"?>
<sst xmlns="http://schemas.openxmlformats.org/spreadsheetml/2006/main" count="97" uniqueCount="75">
  <si>
    <t>설계용역비 산출서</t>
    <phoneticPr fontId="3" type="noConversion"/>
  </si>
  <si>
    <t xml:space="preserve">  1. 용 역  명 : </t>
    <phoneticPr fontId="3" type="noConversion"/>
  </si>
  <si>
    <t xml:space="preserve">  2. 설계용역 대상공사비 산출</t>
    <phoneticPr fontId="3" type="noConversion"/>
  </si>
  <si>
    <t>(금액단위 : 원)</t>
    <phoneticPr fontId="3" type="noConversion"/>
  </si>
  <si>
    <t xml:space="preserve"> </t>
    <phoneticPr fontId="3" type="noConversion"/>
  </si>
  <si>
    <t>구분</t>
    <phoneticPr fontId="3" type="noConversion"/>
  </si>
  <si>
    <t>예상소요액</t>
    <phoneticPr fontId="3" type="noConversion"/>
  </si>
  <si>
    <t>비고</t>
    <phoneticPr fontId="3" type="noConversion"/>
  </si>
  <si>
    <t xml:space="preserve">  3. 설계용역비 산출 및 관련조문</t>
    <phoneticPr fontId="3" type="noConversion"/>
  </si>
  <si>
    <t>원</t>
    <phoneticPr fontId="3" type="noConversion"/>
  </si>
  <si>
    <t>다. 용역 대상 요율산출</t>
    <phoneticPr fontId="3" type="noConversion"/>
  </si>
  <si>
    <t>비 고</t>
    <phoneticPr fontId="3" type="noConversion"/>
  </si>
  <si>
    <t>직선보간</t>
    <phoneticPr fontId="3" type="noConversion"/>
  </si>
  <si>
    <t>라. 용역비 산출</t>
    <phoneticPr fontId="3" type="noConversion"/>
  </si>
  <si>
    <t>구 분</t>
    <phoneticPr fontId="3" type="noConversion"/>
  </si>
  <si>
    <t>산출식</t>
    <phoneticPr fontId="3" type="noConversion"/>
  </si>
  <si>
    <t>산출금액</t>
    <phoneticPr fontId="3" type="noConversion"/>
  </si>
  <si>
    <t>1) 설계비</t>
    <phoneticPr fontId="3" type="noConversion"/>
  </si>
  <si>
    <t>*</t>
    <phoneticPr fontId="3" type="noConversion"/>
  </si>
  <si>
    <t>요율합계</t>
    <phoneticPr fontId="3" type="noConversion"/>
  </si>
  <si>
    <t xml:space="preserve">  4. 금회 설계용역비 : </t>
    <phoneticPr fontId="3" type="noConversion"/>
  </si>
  <si>
    <t>공사명</t>
    <phoneticPr fontId="3" type="noConversion"/>
  </si>
  <si>
    <t>적용요율
(직선보간법)</t>
    <phoneticPr fontId="3" type="noConversion"/>
  </si>
  <si>
    <t>범위</t>
    <phoneticPr fontId="3" type="noConversion"/>
  </si>
  <si>
    <t>②실시설계</t>
    <phoneticPr fontId="3" type="noConversion"/>
  </si>
  <si>
    <t>요율</t>
    <phoneticPr fontId="3" type="noConversion"/>
  </si>
  <si>
    <t>소계</t>
    <phoneticPr fontId="3" type="noConversion"/>
  </si>
  <si>
    <t>추정공사비</t>
    <phoneticPr fontId="3" type="noConversion"/>
  </si>
  <si>
    <t>추정설계비</t>
    <phoneticPr fontId="3" type="noConversion"/>
  </si>
  <si>
    <t>추정감리비</t>
    <phoneticPr fontId="3" type="noConversion"/>
  </si>
  <si>
    <t>총 예산소요액의</t>
    <phoneticPr fontId="3" type="noConversion"/>
  </si>
  <si>
    <t>추정공사비에서 부가세(10%) 제외</t>
    <phoneticPr fontId="3" type="noConversion"/>
  </si>
  <si>
    <t>용역대상 공사비</t>
    <phoneticPr fontId="3" type="noConversion"/>
  </si>
  <si>
    <t>나. 용역대상 공사비:</t>
    <phoneticPr fontId="3" type="noConversion"/>
  </si>
  <si>
    <t>3) 합  계</t>
    <phoneticPr fontId="3" type="noConversion"/>
  </si>
  <si>
    <t>: 실시설계 요율표의 90%적용(전력기술관리법 운영요령 제19조에 의거 조정)</t>
    <phoneticPr fontId="3" type="noConversion"/>
  </si>
  <si>
    <t>기준요율적용(실시설계 90%)</t>
    <phoneticPr fontId="3" type="noConversion"/>
  </si>
  <si>
    <t>* 공사비 산정기준 : 동일공종 설계업무로 대상학교 공사비 합산</t>
    <phoneticPr fontId="3" type="noConversion"/>
  </si>
  <si>
    <t>(천단위이하 절삭)</t>
    <phoneticPr fontId="3" type="noConversion"/>
  </si>
  <si>
    <t>-</t>
    <phoneticPr fontId="3" type="noConversion"/>
  </si>
  <si>
    <t>기본설계+실시설계</t>
    <phoneticPr fontId="3" type="noConversion"/>
  </si>
  <si>
    <t>5000만원 이하</t>
  </si>
  <si>
    <t>1억원 이하</t>
  </si>
  <si>
    <t>2억원 이하</t>
  </si>
  <si>
    <t>3억원 이하</t>
  </si>
  <si>
    <t>5억원 이하</t>
  </si>
  <si>
    <t>10억원 이하</t>
  </si>
  <si>
    <t>20억원 이하</t>
  </si>
  <si>
    <t>30억원 이하</t>
  </si>
  <si>
    <t>50억원 이하</t>
  </si>
  <si>
    <t xml:space="preserve">100억원 이하 </t>
  </si>
  <si>
    <t>200억원 이하</t>
  </si>
  <si>
    <t>300억원 이하</t>
  </si>
  <si>
    <t>500억원 이하</t>
  </si>
  <si>
    <t>1000억원 이하</t>
  </si>
  <si>
    <t>2000억원 이하</t>
  </si>
  <si>
    <t>3000억원 이하</t>
  </si>
  <si>
    <t>5000억원 이하</t>
  </si>
  <si>
    <t>가. 관련</t>
    <phoneticPr fontId="3" type="noConversion"/>
  </si>
  <si>
    <t>1. 전력기술관리법 운영요령 제19조(요율의 조정) [산업통상자원부 고시 제2020-93호(2020. 6. 8.)]</t>
  </si>
  <si>
    <t>2. 학교시설사업 설계 표준화 추진계획(안)[서울특별시교육청 교육시설과(2011. 3.)]</t>
  </si>
  <si>
    <r>
      <rPr>
        <sz val="12"/>
        <color rgb="FF000000"/>
        <rFont val="한양중고딕,한컴돋움"/>
        <family val="3"/>
        <charset val="129"/>
      </rPr>
      <t>3</t>
    </r>
    <r>
      <rPr>
        <sz val="12"/>
        <color indexed="8"/>
        <rFont val="한양중고딕,한컴돋움"/>
        <family val="3"/>
        <charset val="129"/>
      </rPr>
      <t xml:space="preserve">000만원 </t>
    </r>
    <r>
      <rPr>
        <sz val="12"/>
        <color rgb="FF000000"/>
        <rFont val="한양중고딕,한컴돋움"/>
        <family val="3"/>
        <charset val="129"/>
      </rPr>
      <t>이하</t>
    </r>
    <phoneticPr fontId="3" type="noConversion"/>
  </si>
  <si>
    <t>전력기술관리법 운영요령 별표1</t>
    <phoneticPr fontId="3" type="noConversion"/>
  </si>
  <si>
    <r>
      <rPr>
        <sz val="12"/>
        <color rgb="FF000000"/>
        <rFont val="한양중고딕,한컴돋움"/>
        <family val="3"/>
        <charset val="129"/>
      </rPr>
      <t>2</t>
    </r>
    <r>
      <rPr>
        <sz val="12"/>
        <color indexed="8"/>
        <rFont val="한양중고딕,한컴돋움"/>
        <family val="3"/>
        <charset val="129"/>
      </rPr>
      <t xml:space="preserve">000만원 </t>
    </r>
    <r>
      <rPr>
        <sz val="12"/>
        <color rgb="FF000000"/>
        <rFont val="한양중고딕,한컴돋움"/>
        <family val="3"/>
        <charset val="129"/>
      </rPr>
      <t>이하</t>
    </r>
    <phoneticPr fontId="3" type="noConversion"/>
  </si>
  <si>
    <t>예상계약금액</t>
    <phoneticPr fontId="3" type="noConversion"/>
  </si>
  <si>
    <t>2) 용역손해배상보험,공제</t>
    <phoneticPr fontId="3" type="noConversion"/>
  </si>
  <si>
    <t>3) 부가가치세</t>
    <phoneticPr fontId="3" type="noConversion"/>
  </si>
  <si>
    <t>남정초</t>
  </si>
  <si>
    <t>선린중</t>
  </si>
  <si>
    <t>신용산초</t>
  </si>
  <si>
    <t>용강중</t>
  </si>
  <si>
    <t>급식실환기개선</t>
    <phoneticPr fontId="3" type="noConversion"/>
  </si>
  <si>
    <t>강당동화장실개선</t>
    <phoneticPr fontId="3" type="noConversion"/>
  </si>
  <si>
    <t>남관동 내진보강공사</t>
    <phoneticPr fontId="3" type="noConversion"/>
  </si>
  <si>
    <t>남정초 외 3교(신용산초, 선린중, 용강중) 급식실환기개선 및 기타 전기공사 설계용역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</si>
</sst>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#,##0_ "/>
    <numFmt numFmtId="178" formatCode="0.000%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2"/>
      <color indexed="8"/>
      <name val="한양중고딕,한컴돋움"/>
      <family val="3"/>
      <charset val="129"/>
    </font>
    <font>
      <sz val="12"/>
      <color indexed="8"/>
      <name val="한양중고딕,한컴돋움"/>
      <family val="3"/>
      <charset val="129"/>
    </font>
    <font>
      <sz val="12"/>
      <name val="한양중고딕,한컴돋움"/>
      <family val="3"/>
      <charset val="129"/>
    </font>
    <font>
      <sz val="12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color theme="1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1" fontId="6" fillId="0" borderId="1" xfId="2" applyFont="1" applyBorder="1" applyAlignment="1">
      <alignment vertical="center"/>
    </xf>
    <xf numFmtId="41" fontId="6" fillId="0" borderId="0" xfId="2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41" fontId="8" fillId="2" borderId="0" xfId="0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41" fontId="2" fillId="0" borderId="0" xfId="2" applyFont="1" applyBorder="1" applyAlignment="1">
      <alignment vertical="center"/>
    </xf>
    <xf numFmtId="41" fontId="6" fillId="4" borderId="1" xfId="2" applyFont="1" applyFill="1" applyBorder="1" applyAlignment="1">
      <alignment vertical="center"/>
    </xf>
    <xf numFmtId="43" fontId="6" fillId="4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177" fontId="11" fillId="0" borderId="0" xfId="2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9" fontId="6" fillId="5" borderId="4" xfId="0" applyNumberFormat="1" applyFont="1" applyFill="1" applyBorder="1" applyAlignment="1">
      <alignment horizontal="left" vertical="center" wrapText="1"/>
    </xf>
    <xf numFmtId="41" fontId="6" fillId="0" borderId="1" xfId="2" applyFont="1" applyFill="1" applyBorder="1" applyAlignment="1">
      <alignment vertical="center"/>
    </xf>
    <xf numFmtId="10" fontId="6" fillId="0" borderId="1" xfId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41" fontId="8" fillId="2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78" fontId="6" fillId="0" borderId="1" xfId="1" applyNumberFormat="1" applyFont="1" applyBorder="1" applyAlignment="1">
      <alignment horizontal="center" vertical="center"/>
    </xf>
    <xf numFmtId="41" fontId="6" fillId="6" borderId="0" xfId="0" applyNumberFormat="1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1" fontId="6" fillId="0" borderId="4" xfId="2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9" fontId="12" fillId="0" borderId="0" xfId="1" applyFont="1" applyBorder="1" applyAlignment="1">
      <alignment horizontal="center" vertical="center"/>
    </xf>
    <xf numFmtId="9" fontId="12" fillId="0" borderId="0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41" fontId="2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0" fontId="6" fillId="5" borderId="4" xfId="0" applyNumberFormat="1" applyFont="1" applyFill="1" applyBorder="1" applyAlignment="1">
      <alignment horizontal="left" vertical="center" wrapText="1"/>
    </xf>
    <xf numFmtId="177" fontId="2" fillId="0" borderId="0" xfId="0" applyNumberFormat="1" applyFont="1" applyAlignment="1">
      <alignment vertical="center"/>
    </xf>
    <xf numFmtId="41" fontId="2" fillId="0" borderId="0" xfId="0" applyNumberFormat="1" applyFont="1" applyBorder="1" applyAlignment="1">
      <alignment vertical="center"/>
    </xf>
    <xf numFmtId="9" fontId="2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0" xfId="0" applyNumberFormat="1" applyFont="1" applyBorder="1" applyAlignment="1">
      <alignment vertical="center"/>
    </xf>
    <xf numFmtId="41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16" fillId="7" borderId="0" xfId="0" applyFont="1" applyFill="1" applyAlignment="1">
      <alignment vertical="center"/>
    </xf>
    <xf numFmtId="0" fontId="16" fillId="0" borderId="9" xfId="0" applyFont="1" applyFill="1" applyBorder="1" applyAlignment="1">
      <alignment vertical="center"/>
    </xf>
    <xf numFmtId="41" fontId="6" fillId="0" borderId="1" xfId="2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41" fontId="6" fillId="0" borderId="1" xfId="2" applyFont="1" applyFill="1" applyBorder="1" applyAlignment="1">
      <alignment horizontal="center" vertical="center"/>
    </xf>
    <xf numFmtId="9" fontId="6" fillId="0" borderId="2" xfId="0" applyNumberFormat="1" applyFont="1" applyFill="1" applyBorder="1" applyAlignment="1">
      <alignment horizontal="left" vertical="center"/>
    </xf>
    <xf numFmtId="9" fontId="6" fillId="0" borderId="3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</cellXfs>
  <cellStyles count="4">
    <cellStyle name="백분율" xfId="1" builtinId="5"/>
    <cellStyle name="쉼표 [0]" xfId="2" builtinId="6"/>
    <cellStyle name="쉼표 [0] 2" xfId="3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abSelected="1" view="pageBreakPreview" zoomScale="85" zoomScaleNormal="85" zoomScaleSheetLayoutView="85" workbookViewId="0">
      <selection activeCell="E9" sqref="E9:G9"/>
    </sheetView>
  </sheetViews>
  <sheetFormatPr defaultColWidth="8.77734375" defaultRowHeight="20.100000000000001" customHeight="1"/>
  <cols>
    <col min="1" max="1" width="3.5546875" style="1" customWidth="1"/>
    <col min="2" max="2" width="2.6640625" style="1" customWidth="1"/>
    <col min="3" max="3" width="15.33203125" style="1" customWidth="1"/>
    <col min="4" max="4" width="15" style="1" customWidth="1"/>
    <col min="5" max="5" width="17.109375" style="1" bestFit="1" customWidth="1"/>
    <col min="6" max="6" width="13.21875" style="1" customWidth="1"/>
    <col min="7" max="7" width="29" style="1" customWidth="1"/>
    <col min="8" max="8" width="10.6640625" style="1" customWidth="1"/>
    <col min="9" max="9" width="4.77734375" style="1" customWidth="1"/>
    <col min="10" max="10" width="12.21875" style="1" customWidth="1"/>
    <col min="11" max="11" width="8.77734375" style="1" customWidth="1"/>
    <col min="12" max="12" width="14.33203125" style="1" customWidth="1"/>
    <col min="13" max="13" width="17.33203125" style="18" customWidth="1"/>
    <col min="14" max="14" width="13.21875" style="1" customWidth="1"/>
    <col min="15" max="15" width="9.5546875" style="1" customWidth="1"/>
    <col min="16" max="17" width="8.77734375" style="1" customWidth="1"/>
    <col min="18" max="16384" width="8.77734375" style="1"/>
  </cols>
  <sheetData>
    <row r="1" spans="1:16" ht="27" customHeight="1">
      <c r="A1" s="96" t="s">
        <v>0</v>
      </c>
      <c r="B1" s="97"/>
      <c r="C1" s="97"/>
      <c r="D1" s="97"/>
      <c r="E1" s="97"/>
      <c r="F1" s="97"/>
      <c r="G1" s="97"/>
      <c r="H1" s="97"/>
      <c r="I1" s="98"/>
      <c r="M1" s="17"/>
    </row>
    <row r="2" spans="1:16" ht="9" customHeight="1">
      <c r="A2" s="53"/>
      <c r="B2" s="2"/>
      <c r="C2" s="2"/>
      <c r="D2" s="2"/>
      <c r="E2" s="2"/>
      <c r="F2" s="2"/>
      <c r="G2" s="2"/>
      <c r="H2" s="2"/>
      <c r="I2" s="48"/>
      <c r="M2" s="17"/>
    </row>
    <row r="3" spans="1:16" ht="27.75" customHeight="1">
      <c r="A3" s="54" t="s">
        <v>1</v>
      </c>
      <c r="B3" s="3"/>
      <c r="C3" s="3"/>
      <c r="D3" s="65" t="s">
        <v>74</v>
      </c>
      <c r="E3" s="65"/>
      <c r="F3" s="65"/>
      <c r="G3" s="65"/>
      <c r="H3" s="65"/>
      <c r="I3" s="66"/>
      <c r="L3" s="68" t="s">
        <v>5</v>
      </c>
      <c r="M3" s="19" t="s">
        <v>23</v>
      </c>
      <c r="N3" s="19" t="s">
        <v>25</v>
      </c>
      <c r="P3" s="1" t="s">
        <v>62</v>
      </c>
    </row>
    <row r="4" spans="1:16" ht="20.100000000000001" customHeight="1">
      <c r="A4" s="54" t="s">
        <v>2</v>
      </c>
      <c r="B4" s="3"/>
      <c r="C4" s="3"/>
      <c r="D4" s="3"/>
      <c r="E4" s="3"/>
      <c r="F4" s="3"/>
      <c r="G4" s="3"/>
      <c r="H4" s="3"/>
      <c r="I4" s="48"/>
      <c r="L4" s="68"/>
      <c r="M4" s="20"/>
      <c r="N4" s="21" t="s">
        <v>24</v>
      </c>
    </row>
    <row r="5" spans="1:16" ht="20.100000000000001" customHeight="1">
      <c r="A5" s="47"/>
      <c r="B5" s="32" t="s">
        <v>37</v>
      </c>
      <c r="C5" s="4"/>
      <c r="D5" s="4"/>
      <c r="E5" s="4"/>
      <c r="F5" s="4"/>
      <c r="G5" s="99" t="s">
        <v>3</v>
      </c>
      <c r="H5" s="99"/>
      <c r="I5" s="48"/>
      <c r="L5" s="22" t="s">
        <v>63</v>
      </c>
      <c r="M5" s="23">
        <v>20000000</v>
      </c>
      <c r="N5" s="21">
        <v>13.48</v>
      </c>
      <c r="O5" s="35">
        <f t="shared" ref="O5:O10" si="0">TRUNC(N5*0.9,2)</f>
        <v>12.13</v>
      </c>
    </row>
    <row r="6" spans="1:16" ht="20.100000000000001" customHeight="1">
      <c r="A6" s="47"/>
      <c r="B6" s="32"/>
      <c r="C6" s="4"/>
      <c r="D6" s="4"/>
      <c r="E6" s="4"/>
      <c r="F6" s="4"/>
      <c r="G6" s="64"/>
      <c r="H6" s="64"/>
      <c r="I6" s="48"/>
      <c r="L6" s="22" t="s">
        <v>61</v>
      </c>
      <c r="M6" s="23">
        <v>30000000</v>
      </c>
      <c r="N6" s="21">
        <v>10.89</v>
      </c>
      <c r="O6" s="35">
        <f t="shared" si="0"/>
        <v>9.8000000000000007</v>
      </c>
    </row>
    <row r="7" spans="1:16" ht="20.100000000000001" customHeight="1">
      <c r="A7" s="47"/>
      <c r="B7" s="4" t="s">
        <v>4</v>
      </c>
      <c r="C7" s="51" t="s">
        <v>14</v>
      </c>
      <c r="D7" s="51" t="s">
        <v>6</v>
      </c>
      <c r="E7" s="69" t="s">
        <v>21</v>
      </c>
      <c r="F7" s="69"/>
      <c r="G7" s="69"/>
      <c r="H7" s="5" t="s">
        <v>7</v>
      </c>
      <c r="I7" s="48"/>
      <c r="L7" s="22" t="s">
        <v>41</v>
      </c>
      <c r="M7" s="23">
        <v>50000000</v>
      </c>
      <c r="N7" s="21">
        <v>7.61</v>
      </c>
      <c r="O7" s="35">
        <f t="shared" si="0"/>
        <v>6.84</v>
      </c>
    </row>
    <row r="8" spans="1:16" ht="20.100000000000001" customHeight="1">
      <c r="A8" s="47"/>
      <c r="B8" s="4"/>
      <c r="C8" s="67" t="s">
        <v>67</v>
      </c>
      <c r="D8" s="67">
        <v>50000000</v>
      </c>
      <c r="E8" s="76" t="s">
        <v>71</v>
      </c>
      <c r="F8" s="76"/>
      <c r="G8" s="76"/>
      <c r="H8" s="60"/>
      <c r="I8" s="48"/>
      <c r="J8" s="50"/>
      <c r="L8" s="22" t="s">
        <v>42</v>
      </c>
      <c r="M8" s="23">
        <v>100000000</v>
      </c>
      <c r="N8" s="21">
        <v>7.12</v>
      </c>
      <c r="O8" s="35">
        <f t="shared" si="0"/>
        <v>6.4</v>
      </c>
    </row>
    <row r="9" spans="1:16" ht="20.100000000000001" customHeight="1">
      <c r="A9" s="47"/>
      <c r="B9" s="4"/>
      <c r="C9" s="67" t="s">
        <v>68</v>
      </c>
      <c r="D9" s="67">
        <v>50000000</v>
      </c>
      <c r="E9" s="76" t="s">
        <v>71</v>
      </c>
      <c r="F9" s="76"/>
      <c r="G9" s="76"/>
      <c r="H9" s="60"/>
      <c r="I9" s="48"/>
      <c r="J9" s="50"/>
      <c r="L9" s="22" t="s">
        <v>43</v>
      </c>
      <c r="M9" s="23">
        <v>200000000</v>
      </c>
      <c r="N9" s="21">
        <v>5.69</v>
      </c>
      <c r="O9" s="35">
        <f t="shared" si="0"/>
        <v>5.12</v>
      </c>
    </row>
    <row r="10" spans="1:16" ht="20.100000000000001" customHeight="1">
      <c r="A10" s="47"/>
      <c r="B10" s="4"/>
      <c r="C10" s="67" t="s">
        <v>69</v>
      </c>
      <c r="D10" s="67">
        <v>110000000</v>
      </c>
      <c r="E10" s="76" t="s">
        <v>72</v>
      </c>
      <c r="F10" s="76"/>
      <c r="G10" s="76"/>
      <c r="H10" s="60"/>
      <c r="I10" s="48"/>
      <c r="J10" s="50"/>
      <c r="L10" s="22" t="s">
        <v>44</v>
      </c>
      <c r="M10" s="23">
        <v>300000000</v>
      </c>
      <c r="N10" s="21">
        <v>5.19</v>
      </c>
      <c r="O10" s="35">
        <f t="shared" si="0"/>
        <v>4.67</v>
      </c>
    </row>
    <row r="11" spans="1:16" ht="20.100000000000001" customHeight="1">
      <c r="A11" s="47"/>
      <c r="B11" s="4"/>
      <c r="C11" s="67" t="s">
        <v>70</v>
      </c>
      <c r="D11" s="67">
        <v>50000000</v>
      </c>
      <c r="E11" s="76" t="s">
        <v>71</v>
      </c>
      <c r="F11" s="76"/>
      <c r="G11" s="76"/>
      <c r="H11" s="60"/>
      <c r="I11" s="48"/>
      <c r="J11" s="50"/>
      <c r="L11" s="22" t="s">
        <v>45</v>
      </c>
      <c r="M11" s="23">
        <v>500000000</v>
      </c>
      <c r="N11" s="21">
        <v>4.7</v>
      </c>
      <c r="O11" s="35">
        <f>TRUNC(N11*0.9,2)</f>
        <v>4.2300000000000004</v>
      </c>
    </row>
    <row r="12" spans="1:16" ht="20.100000000000001" customHeight="1">
      <c r="A12" s="47"/>
      <c r="B12" s="4"/>
      <c r="C12" s="67" t="s">
        <v>70</v>
      </c>
      <c r="D12" s="67">
        <v>50000000</v>
      </c>
      <c r="E12" s="76" t="s">
        <v>73</v>
      </c>
      <c r="F12" s="76"/>
      <c r="G12" s="76"/>
      <c r="H12" s="60"/>
      <c r="I12" s="48"/>
      <c r="J12" s="50"/>
      <c r="L12" s="22" t="s">
        <v>46</v>
      </c>
      <c r="M12" s="23">
        <v>1000000000</v>
      </c>
      <c r="N12" s="21">
        <v>4.16</v>
      </c>
      <c r="O12" s="35">
        <f t="shared" ref="O12:O23" si="1">TRUNC(N12*0.9,2)</f>
        <v>3.74</v>
      </c>
    </row>
    <row r="13" spans="1:16" ht="19.5" customHeight="1">
      <c r="A13" s="47"/>
      <c r="B13" s="4"/>
      <c r="C13" s="30"/>
      <c r="D13" s="67"/>
      <c r="E13" s="76"/>
      <c r="F13" s="76"/>
      <c r="G13" s="76"/>
      <c r="H13" s="39"/>
      <c r="I13" s="48"/>
      <c r="J13" s="50"/>
      <c r="L13" s="22" t="s">
        <v>47</v>
      </c>
      <c r="M13" s="23">
        <v>2000000000</v>
      </c>
      <c r="N13" s="21">
        <v>3.82</v>
      </c>
      <c r="O13" s="35">
        <f t="shared" si="1"/>
        <v>3.43</v>
      </c>
    </row>
    <row r="14" spans="1:16" ht="20.100000000000001" customHeight="1">
      <c r="A14" s="47"/>
      <c r="B14" s="4"/>
      <c r="C14" s="30"/>
      <c r="D14" s="67"/>
      <c r="E14" s="78"/>
      <c r="F14" s="78"/>
      <c r="G14" s="78"/>
      <c r="H14" s="39"/>
      <c r="I14" s="48"/>
      <c r="L14" s="22" t="s">
        <v>48</v>
      </c>
      <c r="M14" s="23">
        <v>3000000000</v>
      </c>
      <c r="N14" s="21">
        <v>3.68</v>
      </c>
      <c r="O14" s="35">
        <f t="shared" si="1"/>
        <v>3.31</v>
      </c>
    </row>
    <row r="15" spans="1:16" ht="20.100000000000001" customHeight="1">
      <c r="A15" s="47"/>
      <c r="B15" s="4"/>
      <c r="C15" s="30" t="s">
        <v>26</v>
      </c>
      <c r="D15" s="28">
        <f>SUM(D8:D14)</f>
        <v>310000000</v>
      </c>
      <c r="E15" s="70"/>
      <c r="F15" s="71"/>
      <c r="G15" s="72"/>
      <c r="H15" s="31"/>
      <c r="I15" s="48"/>
      <c r="J15" s="50"/>
      <c r="L15" s="22" t="s">
        <v>49</v>
      </c>
      <c r="M15" s="23">
        <v>5000000000</v>
      </c>
      <c r="N15" s="21">
        <v>3.63</v>
      </c>
      <c r="O15" s="35">
        <f t="shared" si="1"/>
        <v>3.26</v>
      </c>
    </row>
    <row r="16" spans="1:16" s="25" customFormat="1" ht="20.100000000000001" customHeight="1">
      <c r="A16" s="55"/>
      <c r="C16" s="52"/>
      <c r="D16" s="40"/>
      <c r="E16" s="83"/>
      <c r="F16" s="83"/>
      <c r="G16" s="83"/>
      <c r="H16" s="26"/>
      <c r="I16" s="56"/>
      <c r="L16" s="22" t="s">
        <v>50</v>
      </c>
      <c r="M16" s="23">
        <v>10000000000</v>
      </c>
      <c r="N16" s="21">
        <v>3.42</v>
      </c>
      <c r="O16" s="35">
        <f t="shared" si="1"/>
        <v>3.07</v>
      </c>
    </row>
    <row r="17" spans="1:15" ht="20.100000000000001" customHeight="1">
      <c r="A17" s="47"/>
      <c r="B17" s="4" t="s">
        <v>4</v>
      </c>
      <c r="C17" s="51" t="s">
        <v>14</v>
      </c>
      <c r="D17" s="51" t="s">
        <v>6</v>
      </c>
      <c r="E17" s="69" t="s">
        <v>21</v>
      </c>
      <c r="F17" s="69"/>
      <c r="G17" s="69"/>
      <c r="H17" s="5" t="s">
        <v>7</v>
      </c>
      <c r="I17" s="48"/>
      <c r="L17" s="22" t="s">
        <v>51</v>
      </c>
      <c r="M17" s="23">
        <v>20000000000</v>
      </c>
      <c r="N17" s="21">
        <v>3.4</v>
      </c>
      <c r="O17" s="35">
        <f t="shared" si="1"/>
        <v>3.06</v>
      </c>
    </row>
    <row r="18" spans="1:15" ht="20.100000000000001" customHeight="1">
      <c r="A18" s="47"/>
      <c r="B18" s="4"/>
      <c r="C18" s="9" t="s">
        <v>28</v>
      </c>
      <c r="D18" s="28">
        <f>TRUNC(D15*F18,0)</f>
        <v>14291000</v>
      </c>
      <c r="E18" s="12" t="s">
        <v>30</v>
      </c>
      <c r="F18" s="57">
        <v>4.6100000000000002E-2</v>
      </c>
      <c r="G18" s="13"/>
      <c r="H18" s="6"/>
      <c r="I18" s="48"/>
      <c r="L18" s="22" t="s">
        <v>52</v>
      </c>
      <c r="M18" s="23">
        <v>30000000000</v>
      </c>
      <c r="N18" s="24">
        <v>3.33</v>
      </c>
      <c r="O18" s="35">
        <f t="shared" si="1"/>
        <v>2.99</v>
      </c>
    </row>
    <row r="19" spans="1:15" ht="20.100000000000001" customHeight="1">
      <c r="A19" s="47"/>
      <c r="B19" s="4"/>
      <c r="C19" s="9" t="s">
        <v>27</v>
      </c>
      <c r="D19" s="28">
        <f>TRUNC(D15*F19,0)</f>
        <v>295709000</v>
      </c>
      <c r="E19" s="12" t="s">
        <v>30</v>
      </c>
      <c r="F19" s="57">
        <f>(1-F18-F20)</f>
        <v>0.95389999999999997</v>
      </c>
      <c r="G19" s="13"/>
      <c r="H19" s="6"/>
      <c r="I19" s="48"/>
      <c r="L19" s="22" t="s">
        <v>53</v>
      </c>
      <c r="M19" s="23">
        <v>50000000000</v>
      </c>
      <c r="N19" s="21">
        <v>3.28</v>
      </c>
      <c r="O19" s="35">
        <f t="shared" si="1"/>
        <v>2.95</v>
      </c>
    </row>
    <row r="20" spans="1:15" ht="20.100000000000001" customHeight="1">
      <c r="A20" s="47"/>
      <c r="B20" s="4"/>
      <c r="C20" s="9" t="s">
        <v>29</v>
      </c>
      <c r="D20" s="28">
        <v>0</v>
      </c>
      <c r="E20" s="12" t="s">
        <v>30</v>
      </c>
      <c r="F20" s="27"/>
      <c r="G20" s="13"/>
      <c r="H20" s="6"/>
      <c r="I20" s="48"/>
      <c r="L20" s="22" t="s">
        <v>54</v>
      </c>
      <c r="M20" s="23">
        <v>100000000000</v>
      </c>
      <c r="N20" s="21">
        <v>3.22</v>
      </c>
      <c r="O20" s="35">
        <f t="shared" si="1"/>
        <v>2.89</v>
      </c>
    </row>
    <row r="21" spans="1:15" ht="20.100000000000001" customHeight="1">
      <c r="A21" s="47"/>
      <c r="B21" s="4"/>
      <c r="C21" s="9" t="s">
        <v>32</v>
      </c>
      <c r="D21" s="15">
        <f>TRUNC(D19/1.1,-3)</f>
        <v>268826000</v>
      </c>
      <c r="E21" s="73" t="s">
        <v>31</v>
      </c>
      <c r="F21" s="74"/>
      <c r="G21" s="75"/>
      <c r="H21" s="6"/>
      <c r="I21" s="48"/>
      <c r="L21" s="22" t="s">
        <v>55</v>
      </c>
      <c r="M21" s="23">
        <v>200000000000</v>
      </c>
      <c r="N21" s="21">
        <v>3.16</v>
      </c>
      <c r="O21" s="35">
        <f t="shared" si="1"/>
        <v>2.84</v>
      </c>
    </row>
    <row r="22" spans="1:15" ht="20.100000000000001" customHeight="1">
      <c r="A22" s="54" t="s">
        <v>8</v>
      </c>
      <c r="B22" s="3"/>
      <c r="C22" s="3"/>
      <c r="D22" s="3"/>
      <c r="E22" s="3"/>
      <c r="F22" s="3"/>
      <c r="G22" s="3"/>
      <c r="H22" s="3"/>
      <c r="I22" s="48"/>
      <c r="L22" s="22" t="s">
        <v>56</v>
      </c>
      <c r="M22" s="23">
        <v>300000000000</v>
      </c>
      <c r="N22" s="21">
        <v>3.13</v>
      </c>
      <c r="O22" s="35">
        <f t="shared" si="1"/>
        <v>2.81</v>
      </c>
    </row>
    <row r="23" spans="1:15" ht="20.100000000000001" customHeight="1">
      <c r="A23" s="47"/>
      <c r="B23" s="32" t="s">
        <v>58</v>
      </c>
      <c r="C23" s="32"/>
      <c r="D23" s="32"/>
      <c r="E23" s="32"/>
      <c r="F23" s="32"/>
      <c r="G23" s="32"/>
      <c r="H23" s="32"/>
      <c r="I23" s="48"/>
      <c r="L23" s="22" t="s">
        <v>57</v>
      </c>
      <c r="M23" s="23">
        <v>500000000000</v>
      </c>
      <c r="N23" s="24">
        <v>2.64</v>
      </c>
      <c r="O23" s="35">
        <f t="shared" si="1"/>
        <v>2.37</v>
      </c>
    </row>
    <row r="24" spans="1:15" ht="20.100000000000001" customHeight="1">
      <c r="A24" s="47"/>
      <c r="B24" s="32"/>
      <c r="C24" s="62" t="s">
        <v>59</v>
      </c>
      <c r="D24" s="32"/>
      <c r="E24" s="32"/>
      <c r="F24" s="32"/>
      <c r="G24" s="32"/>
      <c r="H24" s="32"/>
      <c r="I24" s="48"/>
      <c r="L24" s="22"/>
      <c r="M24" s="23"/>
      <c r="N24" s="24"/>
      <c r="O24" s="35"/>
    </row>
    <row r="25" spans="1:15" ht="20.100000000000001" customHeight="1">
      <c r="A25" s="47"/>
      <c r="B25" s="32"/>
      <c r="C25" s="62" t="s">
        <v>60</v>
      </c>
      <c r="D25" s="32"/>
      <c r="E25" s="32"/>
      <c r="F25" s="32"/>
      <c r="G25" s="32"/>
      <c r="H25" s="32"/>
      <c r="I25" s="48"/>
      <c r="L25" s="22"/>
      <c r="M25" s="23"/>
      <c r="N25" s="21"/>
      <c r="O25" s="35"/>
    </row>
    <row r="26" spans="1:15" ht="20.100000000000001" customHeight="1">
      <c r="A26" s="47"/>
      <c r="B26" s="32" t="s">
        <v>33</v>
      </c>
      <c r="C26" s="32" t="s">
        <v>35</v>
      </c>
      <c r="D26" s="32"/>
      <c r="E26" s="32"/>
      <c r="F26" s="32"/>
      <c r="G26" s="32"/>
      <c r="H26" s="32"/>
      <c r="I26" s="48"/>
      <c r="L26" s="22"/>
      <c r="M26" s="23"/>
      <c r="N26" s="21"/>
      <c r="O26" s="35"/>
    </row>
    <row r="27" spans="1:15" ht="20.100000000000001" customHeight="1">
      <c r="A27" s="47"/>
      <c r="B27" s="32" t="s">
        <v>10</v>
      </c>
      <c r="C27" s="32"/>
      <c r="D27" s="8">
        <f>D21</f>
        <v>268826000</v>
      </c>
      <c r="E27" s="32" t="s">
        <v>9</v>
      </c>
      <c r="F27" s="32"/>
      <c r="G27" s="32"/>
      <c r="H27" s="32"/>
      <c r="I27" s="48"/>
      <c r="L27" s="22"/>
      <c r="M27" s="23"/>
      <c r="N27" s="21"/>
      <c r="O27" s="35"/>
    </row>
    <row r="28" spans="1:15" ht="20.100000000000001" customHeight="1">
      <c r="A28" s="47"/>
      <c r="B28" s="32"/>
      <c r="C28" s="32"/>
      <c r="D28" s="8"/>
      <c r="E28" s="32"/>
      <c r="F28" s="32"/>
      <c r="G28" s="32"/>
      <c r="H28" s="32"/>
      <c r="I28" s="48"/>
      <c r="L28" s="22"/>
      <c r="M28" s="23"/>
      <c r="N28" s="21"/>
      <c r="O28" s="35"/>
    </row>
    <row r="29" spans="1:15" ht="19.5" customHeight="1">
      <c r="A29" s="47"/>
      <c r="B29" s="32"/>
      <c r="C29" s="84" t="s">
        <v>5</v>
      </c>
      <c r="D29" s="81" t="s">
        <v>36</v>
      </c>
      <c r="E29" s="82"/>
      <c r="F29" s="87" t="s">
        <v>22</v>
      </c>
      <c r="G29" s="90" t="s">
        <v>11</v>
      </c>
      <c r="H29" s="91"/>
      <c r="I29" s="48"/>
      <c r="L29" s="22"/>
      <c r="M29" s="23"/>
      <c r="N29" s="21"/>
      <c r="O29" s="35"/>
    </row>
    <row r="30" spans="1:15" ht="20.100000000000001" customHeight="1">
      <c r="A30" s="47"/>
      <c r="B30" s="32"/>
      <c r="C30" s="85"/>
      <c r="D30" s="63" t="str">
        <f>INDEX($L$5:$L$23,MATCH(D27,$M$5:$M$23))</f>
        <v>2억원 이하</v>
      </c>
      <c r="E30" s="63" t="str">
        <f>INDEX($L$5:$L$29,MATCH(D21,$M$5:$M$29)+1)</f>
        <v>3억원 이하</v>
      </c>
      <c r="F30" s="88"/>
      <c r="G30" s="92"/>
      <c r="H30" s="93"/>
      <c r="I30" s="48"/>
      <c r="L30" s="22"/>
      <c r="M30" s="23"/>
      <c r="N30" s="21"/>
      <c r="O30" s="35"/>
    </row>
    <row r="31" spans="1:15" ht="20.100000000000001" customHeight="1">
      <c r="A31" s="47"/>
      <c r="B31" s="32"/>
      <c r="C31" s="86"/>
      <c r="D31" s="33">
        <f>VLOOKUP(D30,$L$5:$M$23,2,0)</f>
        <v>200000000</v>
      </c>
      <c r="E31" s="33">
        <f>VLOOKUP(E30,$L$5:$M$23,2,0)</f>
        <v>300000000</v>
      </c>
      <c r="F31" s="89"/>
      <c r="G31" s="94"/>
      <c r="H31" s="95"/>
      <c r="I31" s="48"/>
      <c r="L31" s="22"/>
      <c r="M31" s="23"/>
      <c r="N31" s="24"/>
      <c r="O31" s="35"/>
    </row>
    <row r="32" spans="1:15" ht="20.100000000000001" customHeight="1">
      <c r="A32" s="47"/>
      <c r="B32" s="32"/>
      <c r="C32" s="9" t="s">
        <v>40</v>
      </c>
      <c r="D32" s="34">
        <f>TRUNC(VLOOKUP(D30,$L$5:$O$23,4,0),2)</f>
        <v>5.12</v>
      </c>
      <c r="E32" s="30">
        <f>TRUNC(VLOOKUP(E30,$L$5:$O$23,4,0),2)</f>
        <v>4.67</v>
      </c>
      <c r="F32" s="16">
        <f>TRUNC(((E32+((D32-E32)*((E31-D21)/(E31-D31))))),2)</f>
        <v>4.8099999999999996</v>
      </c>
      <c r="G32" s="79" t="s">
        <v>12</v>
      </c>
      <c r="H32" s="80"/>
      <c r="I32" s="48"/>
      <c r="L32" s="22"/>
      <c r="M32" s="23"/>
      <c r="N32" s="21"/>
      <c r="O32" s="35"/>
    </row>
    <row r="33" spans="1:16" ht="20.100000000000001" customHeight="1">
      <c r="A33" s="47"/>
      <c r="B33" s="32"/>
      <c r="C33" s="32"/>
      <c r="D33" s="32"/>
      <c r="E33" s="32"/>
      <c r="F33" s="32"/>
      <c r="G33" s="32"/>
      <c r="H33" s="32"/>
      <c r="I33" s="48"/>
      <c r="L33" s="22"/>
      <c r="M33" s="23"/>
      <c r="N33" s="24"/>
      <c r="O33" s="35"/>
    </row>
    <row r="34" spans="1:16" ht="20.100000000000001" customHeight="1">
      <c r="A34" s="47"/>
      <c r="B34" s="32" t="s">
        <v>13</v>
      </c>
      <c r="C34" s="32"/>
      <c r="D34" s="32"/>
      <c r="E34" s="32"/>
      <c r="F34" s="32"/>
      <c r="G34" s="32"/>
      <c r="H34" s="32"/>
      <c r="I34" s="48"/>
      <c r="L34" s="35"/>
      <c r="M34" s="35"/>
      <c r="N34" s="35"/>
      <c r="O34" s="35"/>
    </row>
    <row r="35" spans="1:16" ht="20.100000000000001" customHeight="1">
      <c r="A35" s="47"/>
      <c r="B35" s="32"/>
      <c r="C35" s="32"/>
      <c r="D35" s="32"/>
      <c r="E35" s="32"/>
      <c r="F35" s="32"/>
      <c r="G35" s="77" t="s">
        <v>3</v>
      </c>
      <c r="H35" s="77"/>
      <c r="I35" s="48"/>
      <c r="L35" s="35"/>
      <c r="M35" s="20"/>
      <c r="N35" s="35"/>
      <c r="O35" s="35"/>
    </row>
    <row r="36" spans="1:16" ht="20.100000000000001" customHeight="1">
      <c r="A36" s="47"/>
      <c r="B36" s="32"/>
      <c r="C36" s="51" t="s">
        <v>14</v>
      </c>
      <c r="D36" s="69" t="s">
        <v>15</v>
      </c>
      <c r="E36" s="69"/>
      <c r="F36" s="69"/>
      <c r="G36" s="61" t="s">
        <v>16</v>
      </c>
      <c r="H36" s="61" t="s">
        <v>7</v>
      </c>
      <c r="I36" s="48"/>
      <c r="L36" s="35"/>
      <c r="M36" s="20"/>
      <c r="N36" s="35"/>
      <c r="O36" s="35"/>
    </row>
    <row r="37" spans="1:16" ht="20.100000000000001" customHeight="1">
      <c r="A37" s="47"/>
      <c r="B37" s="32"/>
      <c r="C37" s="6" t="s">
        <v>17</v>
      </c>
      <c r="D37" s="7">
        <f>$D$27</f>
        <v>268826000</v>
      </c>
      <c r="E37" s="9" t="s">
        <v>18</v>
      </c>
      <c r="F37" s="29">
        <f>F32/100</f>
        <v>4.8099999999999997E-2</v>
      </c>
      <c r="G37" s="7">
        <f>TRUNC(D37*F37)</f>
        <v>12930530</v>
      </c>
      <c r="H37" s="9" t="s">
        <v>19</v>
      </c>
      <c r="I37" s="48"/>
      <c r="K37" s="38"/>
      <c r="L37" s="35"/>
      <c r="M37" s="20"/>
      <c r="N37" s="35"/>
      <c r="O37" s="35"/>
      <c r="P37" s="38"/>
    </row>
    <row r="38" spans="1:16" ht="20.100000000000001" customHeight="1">
      <c r="A38" s="47"/>
      <c r="B38" s="32"/>
      <c r="C38" s="6" t="s">
        <v>65</v>
      </c>
      <c r="D38" s="7">
        <f>G37</f>
        <v>12930530</v>
      </c>
      <c r="E38" s="9" t="s">
        <v>18</v>
      </c>
      <c r="F38" s="36">
        <v>4.7499999999999999E-3</v>
      </c>
      <c r="G38" s="7">
        <f>D38*F38</f>
        <v>61420.017500000002</v>
      </c>
      <c r="H38" s="9"/>
      <c r="I38" s="48"/>
      <c r="K38" s="38"/>
      <c r="L38" s="35"/>
      <c r="M38" s="20"/>
      <c r="N38" s="35"/>
      <c r="O38" s="35"/>
      <c r="P38" s="38"/>
    </row>
    <row r="39" spans="1:16" ht="20.100000000000001" customHeight="1">
      <c r="A39" s="47"/>
      <c r="B39" s="32"/>
      <c r="C39" s="6" t="s">
        <v>66</v>
      </c>
      <c r="D39" s="7">
        <f>G37+G38</f>
        <v>12991950.0175</v>
      </c>
      <c r="E39" s="9" t="s">
        <v>18</v>
      </c>
      <c r="F39" s="10">
        <v>0.1</v>
      </c>
      <c r="G39" s="7">
        <f>D39*F39</f>
        <v>1299195.0017500001</v>
      </c>
      <c r="H39" s="6"/>
      <c r="I39" s="48"/>
      <c r="K39" s="38"/>
      <c r="L39" s="41"/>
      <c r="M39" s="42"/>
      <c r="N39" s="41"/>
      <c r="O39" s="41"/>
      <c r="P39" s="43"/>
    </row>
    <row r="40" spans="1:16" ht="20.100000000000001" customHeight="1">
      <c r="A40" s="47"/>
      <c r="B40" s="32"/>
      <c r="C40" s="6"/>
      <c r="D40" s="7"/>
      <c r="E40" s="9"/>
      <c r="F40" s="36"/>
      <c r="G40" s="7"/>
      <c r="H40" s="9"/>
      <c r="I40" s="48"/>
      <c r="K40" s="38"/>
      <c r="L40" s="41"/>
      <c r="M40" s="44"/>
      <c r="N40" s="44"/>
      <c r="O40" s="45"/>
      <c r="P40" s="43"/>
    </row>
    <row r="41" spans="1:16" ht="20.100000000000001" customHeight="1">
      <c r="A41" s="47"/>
      <c r="B41" s="32"/>
      <c r="C41" s="6" t="s">
        <v>34</v>
      </c>
      <c r="D41" s="6"/>
      <c r="E41" s="6"/>
      <c r="F41" s="9"/>
      <c r="G41" s="7">
        <f>ROUNDDOWN(SUM(G37:G40),-3)</f>
        <v>14291000</v>
      </c>
      <c r="H41" s="6"/>
      <c r="I41" s="48"/>
      <c r="K41" s="38"/>
      <c r="L41" s="41"/>
      <c r="M41" s="44"/>
      <c r="N41" s="44"/>
      <c r="O41" s="46"/>
      <c r="P41" s="43"/>
    </row>
    <row r="42" spans="1:16" ht="20.100000000000001" customHeight="1">
      <c r="A42" s="47"/>
      <c r="B42" s="4"/>
      <c r="C42" s="4"/>
      <c r="D42" s="4"/>
      <c r="E42" s="4"/>
      <c r="F42" s="4"/>
      <c r="G42" s="4"/>
      <c r="H42" s="4"/>
      <c r="I42" s="48"/>
      <c r="K42" s="38"/>
      <c r="L42" s="41"/>
      <c r="M42" s="44"/>
      <c r="N42" s="44"/>
      <c r="O42" s="46"/>
      <c r="P42" s="43"/>
    </row>
    <row r="43" spans="1:16" ht="20.100000000000001" customHeight="1">
      <c r="A43" s="49" t="s">
        <v>20</v>
      </c>
      <c r="B43" s="4"/>
      <c r="C43" s="4"/>
      <c r="D43" s="11">
        <f>ROUNDDOWN((G41/1000),0)*1000</f>
        <v>14291000</v>
      </c>
      <c r="E43" s="4" t="s">
        <v>38</v>
      </c>
      <c r="F43" s="59" t="s">
        <v>64</v>
      </c>
      <c r="G43" s="14">
        <f>D43*0.9</f>
        <v>12861900</v>
      </c>
      <c r="H43" s="4"/>
      <c r="I43" s="48"/>
      <c r="J43" s="58"/>
      <c r="K43" s="38"/>
      <c r="L43" s="41"/>
      <c r="M43" s="44"/>
      <c r="N43" s="44"/>
      <c r="O43" s="46"/>
      <c r="P43" s="43"/>
    </row>
    <row r="44" spans="1:16" ht="20.100000000000001" customHeight="1">
      <c r="A44" s="49"/>
      <c r="B44" s="4" t="s">
        <v>39</v>
      </c>
      <c r="C44" s="4" t="str">
        <f t="shared" ref="C44:C48" si="2">C8</f>
        <v>남정초</v>
      </c>
      <c r="D44" s="37">
        <f t="shared" ref="D44:D48" si="3">ROUND((D$43*(D8/D$15)/1000),0)*1000</f>
        <v>2305000</v>
      </c>
      <c r="E44" s="4"/>
      <c r="F44" s="59"/>
      <c r="G44" s="14">
        <f>D44*0.9</f>
        <v>2074500</v>
      </c>
      <c r="H44" s="4"/>
      <c r="I44" s="48"/>
      <c r="J44" s="58"/>
      <c r="K44" s="38"/>
      <c r="L44" s="41"/>
      <c r="M44" s="44"/>
      <c r="N44" s="44"/>
      <c r="O44" s="43"/>
      <c r="P44" s="43"/>
    </row>
    <row r="45" spans="1:16" ht="20.100000000000001" customHeight="1">
      <c r="A45" s="47"/>
      <c r="B45" s="4" t="s">
        <v>39</v>
      </c>
      <c r="C45" s="4" t="str">
        <f t="shared" si="2"/>
        <v>선린중</v>
      </c>
      <c r="D45" s="37">
        <f t="shared" si="3"/>
        <v>2305000</v>
      </c>
      <c r="E45" s="4"/>
      <c r="F45" s="4"/>
      <c r="G45" s="14">
        <f>D45*0.9</f>
        <v>2074500</v>
      </c>
      <c r="H45" s="4"/>
      <c r="I45" s="48"/>
      <c r="J45" s="58"/>
      <c r="M45" s="17"/>
    </row>
    <row r="46" spans="1:16" ht="20.100000000000001" customHeight="1">
      <c r="A46" s="47"/>
      <c r="B46" s="4" t="s">
        <v>39</v>
      </c>
      <c r="C46" s="4" t="str">
        <f t="shared" si="2"/>
        <v>신용산초</v>
      </c>
      <c r="D46" s="37">
        <f>ROUND((D$43*(D10/D$15)/1000),0)*1000</f>
        <v>5071000</v>
      </c>
      <c r="E46" s="4"/>
      <c r="F46" s="4"/>
      <c r="G46" s="14">
        <f>D46*0.9</f>
        <v>4563900</v>
      </c>
      <c r="H46" s="4"/>
      <c r="I46" s="48"/>
      <c r="J46" s="58"/>
      <c r="L46" s="50"/>
      <c r="M46" s="17"/>
    </row>
    <row r="47" spans="1:16" ht="20.100000000000001" customHeight="1">
      <c r="A47" s="4"/>
      <c r="B47" s="4" t="s">
        <v>39</v>
      </c>
      <c r="C47" s="4" t="str">
        <f t="shared" si="2"/>
        <v>용강중</v>
      </c>
      <c r="D47" s="37">
        <f t="shared" si="3"/>
        <v>2305000</v>
      </c>
      <c r="E47" s="4"/>
      <c r="F47" s="4"/>
      <c r="G47" s="14">
        <f>D47*0.9</f>
        <v>2074500</v>
      </c>
      <c r="H47" s="4"/>
      <c r="I47" s="4"/>
      <c r="J47" s="58"/>
      <c r="M47" s="17"/>
    </row>
    <row r="48" spans="1:16" ht="20.100000000000001" customHeight="1">
      <c r="A48" s="4"/>
      <c r="B48" s="4" t="s">
        <v>39</v>
      </c>
      <c r="C48" s="4" t="str">
        <f t="shared" si="2"/>
        <v>용강중</v>
      </c>
      <c r="D48" s="37">
        <f t="shared" si="3"/>
        <v>2305000</v>
      </c>
      <c r="E48" s="4"/>
      <c r="F48" s="4"/>
      <c r="G48" s="14">
        <f>D48*0.9</f>
        <v>2074500</v>
      </c>
      <c r="H48" s="4"/>
      <c r="I48" s="4"/>
      <c r="J48" s="58"/>
      <c r="M48" s="17"/>
    </row>
    <row r="49" spans="1:13" ht="20.100000000000001" customHeight="1">
      <c r="A49" s="4"/>
      <c r="B49" s="4" t="s">
        <v>39</v>
      </c>
      <c r="C49" s="4">
        <f>C13</f>
        <v>0</v>
      </c>
      <c r="D49" s="37">
        <f>ROUND((D$43*(D13/D$15)/1000),0)*1000</f>
        <v>0</v>
      </c>
      <c r="E49" s="4"/>
      <c r="F49" s="4"/>
      <c r="G49" s="14"/>
      <c r="H49" s="4"/>
      <c r="I49" s="4"/>
      <c r="J49" s="58"/>
      <c r="M49" s="17"/>
    </row>
    <row r="50" spans="1:13" ht="20.100000000000001" customHeight="1">
      <c r="A50" s="4"/>
      <c r="B50" s="4" t="s">
        <v>39</v>
      </c>
      <c r="C50" s="4">
        <f>C14</f>
        <v>0</v>
      </c>
      <c r="D50" s="37">
        <f>ROUND((D$43*(D14/D$15)/1000),0)*1000</f>
        <v>0</v>
      </c>
      <c r="E50" s="4"/>
      <c r="F50" s="4"/>
      <c r="G50" s="14"/>
      <c r="H50" s="4"/>
      <c r="I50" s="4"/>
      <c r="M50" s="17"/>
    </row>
    <row r="51" spans="1:13" ht="20.100000000000001" customHeight="1">
      <c r="D51" s="50"/>
      <c r="M51" s="17"/>
    </row>
    <row r="52" spans="1:13" ht="20.100000000000001" customHeight="1">
      <c r="D52" s="50">
        <f>D50+D49+D48+D47+D46+D45+D44-D43</f>
        <v>0</v>
      </c>
      <c r="M52" s="17"/>
    </row>
    <row r="53" spans="1:13" ht="20.100000000000001" customHeight="1">
      <c r="M53" s="17"/>
    </row>
    <row r="54" spans="1:13" ht="20.100000000000001" customHeight="1">
      <c r="M54" s="17"/>
    </row>
    <row r="55" spans="1:13" ht="20.100000000000001" customHeight="1">
      <c r="D55" s="50"/>
      <c r="M55" s="17"/>
    </row>
    <row r="56" spans="1:13" ht="20.100000000000001" customHeight="1">
      <c r="M56" s="17"/>
    </row>
    <row r="57" spans="1:13" ht="20.100000000000001" customHeight="1">
      <c r="M57" s="17"/>
    </row>
    <row r="58" spans="1:13" ht="20.100000000000001" customHeight="1">
      <c r="M58" s="17"/>
    </row>
    <row r="59" spans="1:13" ht="20.100000000000001" customHeight="1">
      <c r="M59" s="17"/>
    </row>
    <row r="60" spans="1:13" ht="20.100000000000001" customHeight="1">
      <c r="M60" s="17"/>
    </row>
    <row r="61" spans="1:13" ht="20.100000000000001" customHeight="1">
      <c r="M61" s="17"/>
    </row>
    <row r="62" spans="1:13" ht="20.100000000000001" customHeight="1">
      <c r="M62" s="17"/>
    </row>
    <row r="63" spans="1:13" ht="20.100000000000001" customHeight="1">
      <c r="M63" s="17"/>
    </row>
    <row r="64" spans="1:13" ht="20.100000000000001" customHeight="1">
      <c r="M64" s="17"/>
    </row>
    <row r="65" spans="13:13" ht="20.100000000000001" customHeight="1">
      <c r="M65" s="17"/>
    </row>
    <row r="66" spans="13:13" ht="20.100000000000001" customHeight="1">
      <c r="M66" s="17"/>
    </row>
  </sheetData>
  <mergeCells count="22">
    <mergeCell ref="C29:C31"/>
    <mergeCell ref="F29:F31"/>
    <mergeCell ref="G29:H31"/>
    <mergeCell ref="A1:I1"/>
    <mergeCell ref="G5:H5"/>
    <mergeCell ref="E7:G7"/>
    <mergeCell ref="E9:G9"/>
    <mergeCell ref="L3:L4"/>
    <mergeCell ref="E17:G17"/>
    <mergeCell ref="E15:G15"/>
    <mergeCell ref="D36:F36"/>
    <mergeCell ref="E21:G21"/>
    <mergeCell ref="E8:G8"/>
    <mergeCell ref="G35:H35"/>
    <mergeCell ref="E11:G11"/>
    <mergeCell ref="E12:G12"/>
    <mergeCell ref="E13:G13"/>
    <mergeCell ref="E14:G14"/>
    <mergeCell ref="G32:H32"/>
    <mergeCell ref="D29:E29"/>
    <mergeCell ref="E10:G10"/>
    <mergeCell ref="E16:G16"/>
  </mergeCells>
  <phoneticPr fontId="3" type="noConversion"/>
  <pageMargins left="0.6692913385826772" right="0.31496062992125984" top="0.47244094488188981" bottom="0.39370078740157483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설계용역비</vt:lpstr>
      <vt:lpstr>설계용역비!Print_Area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2026-10-13T02:05:36Z</cp:lastPrinted>
  <dcterms:created xsi:type="dcterms:W3CDTF">2009-01-22T00:29:54Z</dcterms:created>
  <dcterms:modified xsi:type="dcterms:W3CDTF">2026-10-14T23:17:22Z</dcterms:modified>
</cp:coreProperties>
</file>